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6\Rendelet módosítások\Negyedik_12_31\Leadott\"/>
    </mc:Choice>
  </mc:AlternateContent>
  <bookViews>
    <workbookView xWindow="0" yWindow="0" windowWidth="19170" windowHeight="10320" tabRatio="668"/>
  </bookViews>
  <sheets>
    <sheet name="1.sz.melléklet" sheetId="1" r:id="rId1"/>
    <sheet name="2.sz.melléklet" sheetId="2" r:id="rId2"/>
    <sheet name="3.sz.melléklet" sheetId="3" r:id="rId3"/>
    <sheet name="4.sz.melléklet" sheetId="4" r:id="rId4"/>
  </sheets>
  <definedNames>
    <definedName name="Excel_BuiltIn__FilterDatabase_2">'2.sz.melléklet'!$A$15:$AP$135</definedName>
    <definedName name="Excel_BuiltIn__FilterDatabase_3">#REF!</definedName>
    <definedName name="Excel_BuiltIn__FilterDatabase_3_3">'1.sz.melléklet'!$C$7:$W$17</definedName>
    <definedName name="_xlnm.Print_Titles" localSheetId="0">'1.sz.melléklet'!$7:$13</definedName>
    <definedName name="_xlnm.Print_Titles" localSheetId="1">'2.sz.melléklet'!$7:$14</definedName>
    <definedName name="_xlnm.Print_Titles" localSheetId="2">'3.sz.melléklet'!$8:$14</definedName>
    <definedName name="_xlnm.Print_Titles" localSheetId="3">'4.sz.melléklet'!$8:$15</definedName>
    <definedName name="_xlnm.Print_Area" localSheetId="0">'1.sz.melléklet'!$A$1:$W$211</definedName>
    <definedName name="_xlnm.Print_Area" localSheetId="1">'2.sz.melléklet'!$A$1:$Z$514</definedName>
    <definedName name="_xlnm.Print_Area" localSheetId="2">'3.sz.melléklet'!$A$1:$X$202</definedName>
    <definedName name="_xlnm.Print_Area" localSheetId="3">'4.sz.melléklet'!$A$1:$Y$242</definedName>
  </definedNames>
  <calcPr calcId="152511"/>
</workbook>
</file>

<file path=xl/calcChain.xml><?xml version="1.0" encoding="utf-8"?>
<calcChain xmlns="http://schemas.openxmlformats.org/spreadsheetml/2006/main">
  <c r="X116" i="3" l="1"/>
  <c r="F148" i="4" l="1"/>
  <c r="X115" i="3"/>
  <c r="K395" i="2"/>
  <c r="Z395" i="2"/>
  <c r="D146" i="4"/>
  <c r="X113" i="3"/>
  <c r="Z375" i="2"/>
  <c r="O214" i="1" l="1"/>
  <c r="W214" i="1" s="1"/>
  <c r="K414" i="2" l="1"/>
  <c r="F158" i="4"/>
  <c r="H128" i="3"/>
  <c r="G128" i="3"/>
  <c r="U129" i="3"/>
  <c r="U130" i="3"/>
  <c r="O129" i="3"/>
  <c r="O130" i="3"/>
  <c r="F413" i="2"/>
  <c r="F412" i="2"/>
  <c r="L411" i="2"/>
  <c r="R411" i="2"/>
  <c r="F411" i="2"/>
  <c r="X411" i="2"/>
  <c r="L413" i="2"/>
  <c r="G412" i="2"/>
  <c r="R412" i="2" s="1"/>
  <c r="Y412" i="2" s="1"/>
  <c r="F410" i="2"/>
  <c r="H165" i="1"/>
  <c r="O165" i="1"/>
  <c r="F409" i="2"/>
  <c r="F454" i="2" s="1"/>
  <c r="D409" i="2"/>
  <c r="L117" i="3"/>
  <c r="O117" i="3" s="1"/>
  <c r="X117" i="3"/>
  <c r="Z408" i="2"/>
  <c r="K408" i="2"/>
  <c r="R408" i="2"/>
  <c r="F407" i="2"/>
  <c r="H164" i="1"/>
  <c r="O164" i="1" s="1"/>
  <c r="F163" i="1"/>
  <c r="O163" i="1" s="1"/>
  <c r="G149" i="4"/>
  <c r="Z403" i="2"/>
  <c r="D160" i="1"/>
  <c r="K162" i="1"/>
  <c r="K405" i="2"/>
  <c r="K404" i="2"/>
  <c r="F160" i="1"/>
  <c r="L402" i="2"/>
  <c r="F402" i="2"/>
  <c r="R402" i="2"/>
  <c r="K401" i="2"/>
  <c r="E157" i="4"/>
  <c r="D157" i="4"/>
  <c r="F127" i="3"/>
  <c r="G401" i="2"/>
  <c r="D159" i="1"/>
  <c r="K400" i="2"/>
  <c r="F400" i="2"/>
  <c r="H158" i="1"/>
  <c r="O158" i="1"/>
  <c r="Z399" i="2"/>
  <c r="E399" i="2"/>
  <c r="D399" i="2"/>
  <c r="D454" i="2" s="1"/>
  <c r="F398" i="2"/>
  <c r="Z398" i="2"/>
  <c r="Z397" i="2"/>
  <c r="F397" i="2"/>
  <c r="D157" i="1"/>
  <c r="L163" i="4"/>
  <c r="L166" i="4" s="1"/>
  <c r="L156" i="4"/>
  <c r="L126" i="3"/>
  <c r="H126" i="3"/>
  <c r="Q396" i="2"/>
  <c r="K396" i="2"/>
  <c r="E148" i="4"/>
  <c r="D148" i="4"/>
  <c r="J148" i="4"/>
  <c r="I148" i="4"/>
  <c r="R395" i="2"/>
  <c r="K394" i="2"/>
  <c r="F394" i="2"/>
  <c r="H156" i="1"/>
  <c r="F147" i="4"/>
  <c r="X114" i="3"/>
  <c r="Z393" i="2"/>
  <c r="F393" i="2"/>
  <c r="R393" i="2" s="1"/>
  <c r="J392" i="2"/>
  <c r="F392" i="2"/>
  <c r="R392" i="2"/>
  <c r="Y392" i="2" s="1"/>
  <c r="K391" i="2"/>
  <c r="F391" i="2"/>
  <c r="K390" i="2"/>
  <c r="J390" i="2"/>
  <c r="K389" i="2"/>
  <c r="F389" i="2"/>
  <c r="K388" i="2"/>
  <c r="Q388" i="2"/>
  <c r="K387" i="2"/>
  <c r="J387" i="2"/>
  <c r="K386" i="2"/>
  <c r="J386" i="2"/>
  <c r="R386" i="2" s="1"/>
  <c r="L155" i="1"/>
  <c r="H155" i="1"/>
  <c r="L385" i="2"/>
  <c r="H384" i="2"/>
  <c r="R384" i="2" s="1"/>
  <c r="K384" i="2"/>
  <c r="M383" i="2"/>
  <c r="L383" i="2"/>
  <c r="R383" i="2"/>
  <c r="Y383" i="2" s="1"/>
  <c r="L382" i="2"/>
  <c r="F382" i="2"/>
  <c r="J381" i="2"/>
  <c r="F381" i="2"/>
  <c r="L380" i="2"/>
  <c r="K380" i="2"/>
  <c r="Q379" i="2"/>
  <c r="K379" i="2"/>
  <c r="J377" i="2"/>
  <c r="Q378" i="2"/>
  <c r="K378" i="2"/>
  <c r="R378" i="2" s="1"/>
  <c r="F377" i="2"/>
  <c r="F376" i="2"/>
  <c r="K376" i="2"/>
  <c r="D154" i="1"/>
  <c r="D179" i="1" s="1"/>
  <c r="E146" i="4"/>
  <c r="R146" i="4" s="1"/>
  <c r="Z372" i="2"/>
  <c r="X149" i="4"/>
  <c r="X150" i="4"/>
  <c r="X151" i="4"/>
  <c r="R149" i="4"/>
  <c r="Y149" i="4"/>
  <c r="R150" i="4"/>
  <c r="Y150" i="4" s="1"/>
  <c r="R151" i="4"/>
  <c r="Y151" i="4" s="1"/>
  <c r="U117" i="3"/>
  <c r="U118" i="3"/>
  <c r="O118" i="3"/>
  <c r="R517" i="2"/>
  <c r="Y517" i="2" s="1"/>
  <c r="F295" i="2"/>
  <c r="R295" i="2" s="1"/>
  <c r="Y295" i="2" s="1"/>
  <c r="E295" i="2"/>
  <c r="D295" i="2"/>
  <c r="H110" i="1"/>
  <c r="G110" i="1"/>
  <c r="G126" i="1"/>
  <c r="U102" i="3"/>
  <c r="U103" i="3"/>
  <c r="U104" i="3"/>
  <c r="U105" i="3"/>
  <c r="W105" i="3" s="1"/>
  <c r="O103" i="3"/>
  <c r="O104" i="3"/>
  <c r="O105" i="3"/>
  <c r="E136" i="4"/>
  <c r="D136" i="4"/>
  <c r="R136" i="4" s="1"/>
  <c r="J135" i="4"/>
  <c r="I135" i="4"/>
  <c r="F135" i="4"/>
  <c r="E135" i="4"/>
  <c r="D135" i="4"/>
  <c r="F102" i="3"/>
  <c r="O102" i="3"/>
  <c r="E134" i="4"/>
  <c r="R134" i="4" s="1"/>
  <c r="D134" i="4"/>
  <c r="F101" i="3"/>
  <c r="L294" i="2"/>
  <c r="F294" i="2"/>
  <c r="I293" i="2"/>
  <c r="F293" i="2"/>
  <c r="R293" i="2"/>
  <c r="F133" i="4"/>
  <c r="H100" i="3"/>
  <c r="H106" i="3"/>
  <c r="F292" i="2"/>
  <c r="Z292" i="2"/>
  <c r="E292" i="2"/>
  <c r="E343" i="2" s="1"/>
  <c r="D292" i="2"/>
  <c r="Z291" i="2"/>
  <c r="E291" i="2"/>
  <c r="D291" i="2"/>
  <c r="R291" i="2" s="1"/>
  <c r="Y291" i="2" s="1"/>
  <c r="Z290" i="2"/>
  <c r="L290" i="2"/>
  <c r="L289" i="2"/>
  <c r="F289" i="2"/>
  <c r="R289" i="2" s="1"/>
  <c r="D271" i="2"/>
  <c r="E271" i="2"/>
  <c r="K280" i="2"/>
  <c r="R280" i="2" s="1"/>
  <c r="Y280" i="2" s="1"/>
  <c r="D281" i="2"/>
  <c r="E281" i="2"/>
  <c r="D286" i="2"/>
  <c r="E286" i="2"/>
  <c r="K286" i="2"/>
  <c r="F287" i="2"/>
  <c r="J287" i="2"/>
  <c r="F288" i="2"/>
  <c r="K288" i="2"/>
  <c r="R288" i="2" s="1"/>
  <c r="Y288" i="2" s="1"/>
  <c r="Z286" i="2"/>
  <c r="Z281" i="2"/>
  <c r="X280" i="2"/>
  <c r="X281" i="2"/>
  <c r="Z280" i="2"/>
  <c r="X271" i="2"/>
  <c r="R271" i="2"/>
  <c r="Z271" i="2"/>
  <c r="J279" i="2"/>
  <c r="E279" i="2"/>
  <c r="D279" i="2"/>
  <c r="K285" i="2"/>
  <c r="F285" i="2"/>
  <c r="R285" i="2" s="1"/>
  <c r="K284" i="2"/>
  <c r="R284" i="2" s="1"/>
  <c r="Y284" i="2" s="1"/>
  <c r="J284" i="2"/>
  <c r="Q283" i="2"/>
  <c r="K283" i="2"/>
  <c r="F279" i="2"/>
  <c r="L278" i="2"/>
  <c r="F278" i="2"/>
  <c r="R278" i="2" s="1"/>
  <c r="F277" i="2"/>
  <c r="R277" i="2" s="1"/>
  <c r="F109" i="1"/>
  <c r="Q276" i="2"/>
  <c r="K276" i="2"/>
  <c r="Q275" i="2"/>
  <c r="R275" i="2" s="1"/>
  <c r="K275" i="2"/>
  <c r="L274" i="2"/>
  <c r="K274" i="2"/>
  <c r="R274" i="2" s="1"/>
  <c r="Y274" i="2" s="1"/>
  <c r="X274" i="2"/>
  <c r="X275" i="2"/>
  <c r="X276" i="2"/>
  <c r="X277" i="2"/>
  <c r="X278" i="2"/>
  <c r="X279" i="2"/>
  <c r="K273" i="2"/>
  <c r="F273" i="2"/>
  <c r="H107" i="1"/>
  <c r="F272" i="2"/>
  <c r="R272" i="2" s="1"/>
  <c r="L272" i="2"/>
  <c r="Z270" i="2"/>
  <c r="F270" i="2"/>
  <c r="R270" i="2" s="1"/>
  <c r="J132" i="4"/>
  <c r="I132" i="4"/>
  <c r="F132" i="4"/>
  <c r="K269" i="2"/>
  <c r="J269" i="2"/>
  <c r="R269" i="2" s="1"/>
  <c r="Y269" i="2" s="1"/>
  <c r="F268" i="2"/>
  <c r="J268" i="2"/>
  <c r="R268" i="2" s="1"/>
  <c r="K267" i="2"/>
  <c r="R267" i="2" s="1"/>
  <c r="J267" i="2"/>
  <c r="K266" i="2"/>
  <c r="R266" i="2"/>
  <c r="J266" i="2"/>
  <c r="Z265" i="2"/>
  <c r="L265" i="2"/>
  <c r="R265" i="2" s="1"/>
  <c r="Z264" i="2"/>
  <c r="F264" i="2"/>
  <c r="F263" i="2"/>
  <c r="J263" i="2"/>
  <c r="R263" i="2" s="1"/>
  <c r="Y263" i="2" s="1"/>
  <c r="Z262" i="2"/>
  <c r="J262" i="2"/>
  <c r="F261" i="2"/>
  <c r="R261" i="2"/>
  <c r="J261" i="2"/>
  <c r="Z260" i="2"/>
  <c r="J260" i="2"/>
  <c r="J259" i="2"/>
  <c r="F259" i="2"/>
  <c r="R259" i="2" s="1"/>
  <c r="K258" i="2"/>
  <c r="R258" i="2" s="1"/>
  <c r="F258" i="2"/>
  <c r="K257" i="2"/>
  <c r="F257" i="2"/>
  <c r="R257" i="2" s="1"/>
  <c r="Y257" i="2" s="1"/>
  <c r="H106" i="1"/>
  <c r="L256" i="2"/>
  <c r="F256" i="2"/>
  <c r="R256" i="2"/>
  <c r="Q255" i="2"/>
  <c r="K255" i="2"/>
  <c r="F254" i="2"/>
  <c r="J254" i="2"/>
  <c r="R254" i="2"/>
  <c r="E121" i="4"/>
  <c r="D121" i="4"/>
  <c r="X90" i="3"/>
  <c r="Z253" i="2"/>
  <c r="F253" i="2"/>
  <c r="G252" i="2"/>
  <c r="K252" i="2"/>
  <c r="R252" i="2" s="1"/>
  <c r="Y252" i="2" s="1"/>
  <c r="D105" i="1"/>
  <c r="L251" i="2"/>
  <c r="F251" i="2"/>
  <c r="F99" i="3"/>
  <c r="E131" i="4"/>
  <c r="R131" i="4" s="1"/>
  <c r="D131" i="4"/>
  <c r="Z249" i="2"/>
  <c r="F249" i="2"/>
  <c r="U102" i="1"/>
  <c r="U103" i="1"/>
  <c r="O102" i="1"/>
  <c r="O103" i="1"/>
  <c r="W103" i="1" s="1"/>
  <c r="X248" i="2"/>
  <c r="X249" i="2"/>
  <c r="R248" i="2"/>
  <c r="R249" i="2"/>
  <c r="Y249" i="2" s="1"/>
  <c r="Z248" i="2"/>
  <c r="D100" i="1"/>
  <c r="O100" i="1" s="1"/>
  <c r="U100" i="1"/>
  <c r="U101" i="1"/>
  <c r="O101" i="1"/>
  <c r="X246" i="2"/>
  <c r="X247" i="2"/>
  <c r="R246" i="2"/>
  <c r="R247" i="2"/>
  <c r="Y247" i="2" s="1"/>
  <c r="X238" i="2"/>
  <c r="Z238" i="2"/>
  <c r="K238" i="2"/>
  <c r="R238" i="2"/>
  <c r="D120" i="4"/>
  <c r="X89" i="3"/>
  <c r="K250" i="2"/>
  <c r="Z245" i="2"/>
  <c r="K104" i="1"/>
  <c r="D99" i="1"/>
  <c r="K244" i="2"/>
  <c r="J244" i="2"/>
  <c r="R244" i="2"/>
  <c r="F243" i="2"/>
  <c r="K243" i="2"/>
  <c r="R243" i="2" s="1"/>
  <c r="J242" i="2"/>
  <c r="R242" i="2" s="1"/>
  <c r="K242" i="2"/>
  <c r="F98" i="3"/>
  <c r="O98" i="3" s="1"/>
  <c r="E130" i="4"/>
  <c r="D130" i="4"/>
  <c r="L119" i="4"/>
  <c r="X88" i="3"/>
  <c r="Z241" i="2"/>
  <c r="L241" i="2"/>
  <c r="R241" i="2"/>
  <c r="X87" i="3"/>
  <c r="E118" i="4"/>
  <c r="D118" i="4"/>
  <c r="Z240" i="2"/>
  <c r="K240" i="2"/>
  <c r="R240" i="2"/>
  <c r="Y240" i="2" s="1"/>
  <c r="K239" i="2"/>
  <c r="J239" i="2"/>
  <c r="L237" i="2"/>
  <c r="F237" i="2"/>
  <c r="R237" i="2" s="1"/>
  <c r="Y237" i="2" s="1"/>
  <c r="F129" i="4"/>
  <c r="F97" i="3"/>
  <c r="M236" i="2"/>
  <c r="K236" i="2"/>
  <c r="R236" i="2" s="1"/>
  <c r="L235" i="2"/>
  <c r="F235" i="2"/>
  <c r="F234" i="2"/>
  <c r="R234" i="2" s="1"/>
  <c r="K234" i="2"/>
  <c r="R457" i="2"/>
  <c r="Y457" i="2"/>
  <c r="X457" i="2"/>
  <c r="R458" i="2"/>
  <c r="X458" i="2"/>
  <c r="R459" i="2"/>
  <c r="Y459" i="2" s="1"/>
  <c r="X459" i="2"/>
  <c r="R460" i="2"/>
  <c r="Y460" i="2" s="1"/>
  <c r="X460" i="2"/>
  <c r="R461" i="2"/>
  <c r="X461" i="2"/>
  <c r="Y461" i="2"/>
  <c r="R462" i="2"/>
  <c r="X462" i="2"/>
  <c r="Y462" i="2" s="1"/>
  <c r="R463" i="2"/>
  <c r="Y463" i="2" s="1"/>
  <c r="X463" i="2"/>
  <c r="R464" i="2"/>
  <c r="Y464" i="2"/>
  <c r="X464" i="2"/>
  <c r="R465" i="2"/>
  <c r="X465" i="2"/>
  <c r="R466" i="2"/>
  <c r="X466" i="2"/>
  <c r="R467" i="2"/>
  <c r="X467" i="2"/>
  <c r="R468" i="2"/>
  <c r="Y468" i="2" s="1"/>
  <c r="X468" i="2"/>
  <c r="R469" i="2"/>
  <c r="Y469" i="2" s="1"/>
  <c r="X469" i="2"/>
  <c r="R470" i="2"/>
  <c r="X470" i="2"/>
  <c r="Y470" i="2" s="1"/>
  <c r="R471" i="2"/>
  <c r="X471" i="2"/>
  <c r="R472" i="2"/>
  <c r="Y472" i="2"/>
  <c r="X472" i="2"/>
  <c r="R473" i="2"/>
  <c r="X473" i="2"/>
  <c r="R474" i="2"/>
  <c r="X474" i="2"/>
  <c r="R475" i="2"/>
  <c r="X475" i="2"/>
  <c r="Y475" i="2" s="1"/>
  <c r="R476" i="2"/>
  <c r="X476" i="2"/>
  <c r="Y476" i="2"/>
  <c r="R477" i="2"/>
  <c r="Y477" i="2" s="1"/>
  <c r="X477" i="2"/>
  <c r="R478" i="2"/>
  <c r="X478" i="2"/>
  <c r="R479" i="2"/>
  <c r="X479" i="2"/>
  <c r="R480" i="2"/>
  <c r="X480" i="2"/>
  <c r="R481" i="2"/>
  <c r="X481" i="2"/>
  <c r="Y481" i="2" s="1"/>
  <c r="R482" i="2"/>
  <c r="Y482" i="2" s="1"/>
  <c r="X482" i="2"/>
  <c r="R483" i="2"/>
  <c r="Y483" i="2" s="1"/>
  <c r="X483" i="2"/>
  <c r="R484" i="2"/>
  <c r="X484" i="2"/>
  <c r="R485" i="2"/>
  <c r="X485" i="2"/>
  <c r="R486" i="2"/>
  <c r="X486" i="2"/>
  <c r="Y486" i="2" s="1"/>
  <c r="R487" i="2"/>
  <c r="X487" i="2"/>
  <c r="Y487" i="2" s="1"/>
  <c r="R488" i="2"/>
  <c r="Y488" i="2" s="1"/>
  <c r="X488" i="2"/>
  <c r="R489" i="2"/>
  <c r="X489" i="2"/>
  <c r="R490" i="2"/>
  <c r="X490" i="2"/>
  <c r="Y490" i="2" s="1"/>
  <c r="R491" i="2"/>
  <c r="Y491" i="2" s="1"/>
  <c r="X491" i="2"/>
  <c r="R492" i="2"/>
  <c r="Y492" i="2" s="1"/>
  <c r="X492" i="2"/>
  <c r="R493" i="2"/>
  <c r="X493" i="2"/>
  <c r="R494" i="2"/>
  <c r="Y494" i="2" s="1"/>
  <c r="X494" i="2"/>
  <c r="R495" i="2"/>
  <c r="X495" i="2"/>
  <c r="R496" i="2"/>
  <c r="X496" i="2"/>
  <c r="R497" i="2"/>
  <c r="Y497" i="2"/>
  <c r="X497" i="2"/>
  <c r="R498" i="2"/>
  <c r="X498" i="2"/>
  <c r="R499" i="2"/>
  <c r="Y499" i="2" s="1"/>
  <c r="X499" i="2"/>
  <c r="R500" i="2"/>
  <c r="X500" i="2"/>
  <c r="R501" i="2"/>
  <c r="X501" i="2"/>
  <c r="Y501" i="2" s="1"/>
  <c r="R502" i="2"/>
  <c r="X502" i="2"/>
  <c r="R503" i="2"/>
  <c r="Y503" i="2"/>
  <c r="X503" i="2"/>
  <c r="R504" i="2"/>
  <c r="X504" i="2"/>
  <c r="Y504" i="2"/>
  <c r="R505" i="2"/>
  <c r="X505" i="2"/>
  <c r="R506" i="2"/>
  <c r="X506" i="2"/>
  <c r="R507" i="2"/>
  <c r="X507" i="2"/>
  <c r="R508" i="2"/>
  <c r="X508" i="2"/>
  <c r="R509" i="2"/>
  <c r="X509" i="2"/>
  <c r="Y509" i="2" s="1"/>
  <c r="R510" i="2"/>
  <c r="X510" i="2"/>
  <c r="R511" i="2"/>
  <c r="X511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P513" i="2"/>
  <c r="Q513" i="2"/>
  <c r="T513" i="2"/>
  <c r="U513" i="2"/>
  <c r="V513" i="2"/>
  <c r="W513" i="2"/>
  <c r="Z513" i="2"/>
  <c r="F74" i="3"/>
  <c r="E100" i="4"/>
  <c r="D100" i="4"/>
  <c r="K209" i="2"/>
  <c r="D60" i="1"/>
  <c r="M208" i="2"/>
  <c r="L208" i="2"/>
  <c r="R208" i="2" s="1"/>
  <c r="L207" i="2"/>
  <c r="R207" i="2" s="1"/>
  <c r="F207" i="2"/>
  <c r="X202" i="2"/>
  <c r="F202" i="2"/>
  <c r="R202" i="2" s="1"/>
  <c r="E202" i="2"/>
  <c r="Y202" i="2"/>
  <c r="Z206" i="2"/>
  <c r="K206" i="2"/>
  <c r="Z205" i="2"/>
  <c r="L205" i="2"/>
  <c r="R205" i="2" s="1"/>
  <c r="Z204" i="2"/>
  <c r="L204" i="2"/>
  <c r="Z203" i="2"/>
  <c r="L203" i="2"/>
  <c r="R203" i="2" s="1"/>
  <c r="X198" i="2"/>
  <c r="Z198" i="2"/>
  <c r="K198" i="2"/>
  <c r="R198" i="2" s="1"/>
  <c r="L201" i="2"/>
  <c r="K201" i="2"/>
  <c r="R201" i="2"/>
  <c r="J200" i="2"/>
  <c r="F200" i="2"/>
  <c r="R200" i="2" s="1"/>
  <c r="Z199" i="2"/>
  <c r="K199" i="2"/>
  <c r="F77" i="4"/>
  <c r="E77" i="4"/>
  <c r="D77" i="4"/>
  <c r="X56" i="3"/>
  <c r="L99" i="4"/>
  <c r="F99" i="4"/>
  <c r="R99" i="4"/>
  <c r="L197" i="2"/>
  <c r="K197" i="2"/>
  <c r="R197" i="2" s="1"/>
  <c r="Y197" i="2" s="1"/>
  <c r="K196" i="2"/>
  <c r="I196" i="2"/>
  <c r="R196" i="2"/>
  <c r="Y196" i="2" s="1"/>
  <c r="L98" i="4"/>
  <c r="R98" i="4" s="1"/>
  <c r="F98" i="4"/>
  <c r="N195" i="2"/>
  <c r="K195" i="2"/>
  <c r="R195" i="2" s="1"/>
  <c r="Y195" i="2" s="1"/>
  <c r="Z194" i="2"/>
  <c r="L194" i="2"/>
  <c r="R194" i="2"/>
  <c r="L193" i="2"/>
  <c r="F193" i="2"/>
  <c r="I59" i="1"/>
  <c r="K192" i="2"/>
  <c r="K191" i="2"/>
  <c r="F191" i="2"/>
  <c r="Z190" i="2"/>
  <c r="D58" i="1"/>
  <c r="D57" i="1"/>
  <c r="Z189" i="2"/>
  <c r="Z188" i="2"/>
  <c r="D56" i="1"/>
  <c r="D55" i="1"/>
  <c r="X55" i="3"/>
  <c r="E76" i="4"/>
  <c r="D76" i="4"/>
  <c r="D92" i="4" s="1"/>
  <c r="Z187" i="2"/>
  <c r="L186" i="2"/>
  <c r="K186" i="2"/>
  <c r="R186" i="2"/>
  <c r="K185" i="2"/>
  <c r="F185" i="2"/>
  <c r="R185" i="2"/>
  <c r="H54" i="1"/>
  <c r="L184" i="2"/>
  <c r="F184" i="2"/>
  <c r="L75" i="4"/>
  <c r="X54" i="3"/>
  <c r="Z183" i="2"/>
  <c r="L183" i="2"/>
  <c r="Q182" i="2"/>
  <c r="R182" i="2"/>
  <c r="K182" i="2"/>
  <c r="X177" i="2"/>
  <c r="L177" i="2"/>
  <c r="K177" i="2"/>
  <c r="Z181" i="2"/>
  <c r="F181" i="2"/>
  <c r="Z180" i="2"/>
  <c r="F180" i="2"/>
  <c r="E180" i="2"/>
  <c r="D180" i="2"/>
  <c r="Z179" i="2"/>
  <c r="E179" i="2"/>
  <c r="D179" i="2"/>
  <c r="R179" i="2" s="1"/>
  <c r="Y179" i="2" s="1"/>
  <c r="Z178" i="2"/>
  <c r="F178" i="2"/>
  <c r="R178" i="2"/>
  <c r="N176" i="2"/>
  <c r="H176" i="2"/>
  <c r="H221" i="2" s="1"/>
  <c r="K176" i="2"/>
  <c r="K175" i="2"/>
  <c r="R175" i="2" s="1"/>
  <c r="K174" i="2"/>
  <c r="R174" i="2" s="1"/>
  <c r="F173" i="2"/>
  <c r="I53" i="1"/>
  <c r="F53" i="1"/>
  <c r="O53" i="1" s="1"/>
  <c r="I52" i="1"/>
  <c r="H52" i="1"/>
  <c r="H51" i="1"/>
  <c r="D50" i="1"/>
  <c r="K172" i="2"/>
  <c r="K171" i="2"/>
  <c r="J171" i="2"/>
  <c r="R171" i="2" s="1"/>
  <c r="E97" i="4"/>
  <c r="D97" i="4"/>
  <c r="L96" i="4"/>
  <c r="F96" i="4"/>
  <c r="R96" i="4" s="1"/>
  <c r="L169" i="2"/>
  <c r="F169" i="2"/>
  <c r="K168" i="2"/>
  <c r="L168" i="2"/>
  <c r="L167" i="2"/>
  <c r="K167" i="2"/>
  <c r="R167" i="2"/>
  <c r="Z170" i="2"/>
  <c r="L170" i="2"/>
  <c r="K166" i="2"/>
  <c r="I166" i="2"/>
  <c r="R166" i="2" s="1"/>
  <c r="J165" i="2"/>
  <c r="F165" i="2"/>
  <c r="R165" i="2"/>
  <c r="E160" i="2"/>
  <c r="F160" i="2"/>
  <c r="X160" i="2"/>
  <c r="M74" i="4"/>
  <c r="R74" i="4" s="1"/>
  <c r="Y74" i="4" s="1"/>
  <c r="X53" i="3"/>
  <c r="Z159" i="2"/>
  <c r="X159" i="2"/>
  <c r="M159" i="2"/>
  <c r="R159" i="2"/>
  <c r="L156" i="2"/>
  <c r="F156" i="2"/>
  <c r="R156" i="2"/>
  <c r="Y156" i="2" s="1"/>
  <c r="K155" i="2"/>
  <c r="R155" i="2" s="1"/>
  <c r="J155" i="2"/>
  <c r="L95" i="4"/>
  <c r="F95" i="4"/>
  <c r="Z146" i="2"/>
  <c r="K157" i="2"/>
  <c r="R157" i="2"/>
  <c r="L152" i="2"/>
  <c r="Z164" i="2"/>
  <c r="E164" i="2"/>
  <c r="D164" i="2"/>
  <c r="Z163" i="2"/>
  <c r="F163" i="2"/>
  <c r="R163" i="2"/>
  <c r="Z162" i="2"/>
  <c r="F162" i="2"/>
  <c r="R162" i="2"/>
  <c r="F161" i="2"/>
  <c r="R161" i="2" s="1"/>
  <c r="Z161" i="2"/>
  <c r="D49" i="1"/>
  <c r="Z158" i="2"/>
  <c r="J158" i="2"/>
  <c r="R158" i="2"/>
  <c r="Z157" i="2"/>
  <c r="F146" i="2"/>
  <c r="R146" i="2" s="1"/>
  <c r="E145" i="2"/>
  <c r="Z145" i="2"/>
  <c r="D145" i="2"/>
  <c r="R145" i="2" s="1"/>
  <c r="Z144" i="2"/>
  <c r="E144" i="2"/>
  <c r="D144" i="2"/>
  <c r="Z143" i="2"/>
  <c r="E143" i="2"/>
  <c r="D143" i="2"/>
  <c r="L154" i="2"/>
  <c r="K154" i="2"/>
  <c r="R154" i="2" s="1"/>
  <c r="L153" i="2"/>
  <c r="R153" i="2" s="1"/>
  <c r="K153" i="2"/>
  <c r="K152" i="2"/>
  <c r="R152" i="2" s="1"/>
  <c r="K151" i="2"/>
  <c r="F151" i="2"/>
  <c r="Q150" i="2"/>
  <c r="K150" i="2"/>
  <c r="I149" i="2"/>
  <c r="F149" i="2"/>
  <c r="Q148" i="2"/>
  <c r="K148" i="2"/>
  <c r="H48" i="1"/>
  <c r="K147" i="2"/>
  <c r="F147" i="2"/>
  <c r="F142" i="2"/>
  <c r="K142" i="2"/>
  <c r="Z68" i="2"/>
  <c r="U45" i="4"/>
  <c r="V45" i="4"/>
  <c r="W45" i="4"/>
  <c r="T45" i="4"/>
  <c r="N45" i="4"/>
  <c r="O45" i="4"/>
  <c r="P45" i="4"/>
  <c r="Q45" i="4"/>
  <c r="M45" i="4"/>
  <c r="G45" i="4"/>
  <c r="H45" i="4"/>
  <c r="I45" i="4"/>
  <c r="J45" i="4"/>
  <c r="K45" i="4"/>
  <c r="F45" i="4"/>
  <c r="F35" i="3"/>
  <c r="F41" i="3" s="1"/>
  <c r="E43" i="4"/>
  <c r="D43" i="4"/>
  <c r="L42" i="4"/>
  <c r="F42" i="4"/>
  <c r="R42" i="4" s="1"/>
  <c r="X42" i="4"/>
  <c r="Y42" i="4"/>
  <c r="R43" i="4"/>
  <c r="Y43" i="4" s="1"/>
  <c r="X43" i="4"/>
  <c r="Z55" i="2"/>
  <c r="X55" i="2"/>
  <c r="J55" i="2"/>
  <c r="R55" i="2"/>
  <c r="Z59" i="2"/>
  <c r="Z63" i="2"/>
  <c r="Z64" i="2"/>
  <c r="Z65" i="2"/>
  <c r="Z66" i="2"/>
  <c r="Z67" i="2"/>
  <c r="Z77" i="2"/>
  <c r="U33" i="1"/>
  <c r="K81" i="2"/>
  <c r="R81" i="2"/>
  <c r="J81" i="2"/>
  <c r="J58" i="2"/>
  <c r="F58" i="2"/>
  <c r="X77" i="2"/>
  <c r="Y77" i="2" s="1"/>
  <c r="K77" i="2"/>
  <c r="R77" i="2"/>
  <c r="F72" i="2"/>
  <c r="R72" i="2" s="1"/>
  <c r="J72" i="2"/>
  <c r="K68" i="2"/>
  <c r="R68" i="2"/>
  <c r="Y68" i="2" s="1"/>
  <c r="F67" i="2"/>
  <c r="R67" i="2"/>
  <c r="D33" i="1"/>
  <c r="O33" i="1" s="1"/>
  <c r="W33" i="1" s="1"/>
  <c r="X66" i="2"/>
  <c r="X67" i="2"/>
  <c r="X68" i="2"/>
  <c r="R66" i="2"/>
  <c r="Y66" i="2" s="1"/>
  <c r="D32" i="1"/>
  <c r="X63" i="2"/>
  <c r="X64" i="2"/>
  <c r="R63" i="2"/>
  <c r="R64" i="2"/>
  <c r="K59" i="2"/>
  <c r="R59" i="2"/>
  <c r="Y59" i="2" s="1"/>
  <c r="X58" i="2"/>
  <c r="X59" i="2"/>
  <c r="F41" i="4"/>
  <c r="L34" i="3"/>
  <c r="H34" i="3"/>
  <c r="O34" i="3" s="1"/>
  <c r="E28" i="4"/>
  <c r="D28" i="4"/>
  <c r="R28" i="4"/>
  <c r="X26" i="3"/>
  <c r="R65" i="2"/>
  <c r="X65" i="2"/>
  <c r="Y65" i="2" s="1"/>
  <c r="U34" i="1"/>
  <c r="I34" i="1"/>
  <c r="O34" i="1" s="1"/>
  <c r="W34" i="1" s="1"/>
  <c r="J80" i="2"/>
  <c r="R80" i="2" s="1"/>
  <c r="Y80" i="2" s="1"/>
  <c r="F79" i="2"/>
  <c r="E79" i="2"/>
  <c r="D79" i="2"/>
  <c r="R79" i="2" s="1"/>
  <c r="Y79" i="2" s="1"/>
  <c r="L78" i="2"/>
  <c r="R78" i="2" s="1"/>
  <c r="F78" i="2"/>
  <c r="K76" i="2"/>
  <c r="J76" i="2"/>
  <c r="R76" i="2" s="1"/>
  <c r="Y76" i="2" s="1"/>
  <c r="F40" i="4"/>
  <c r="U34" i="3"/>
  <c r="U35" i="3"/>
  <c r="U36" i="3"/>
  <c r="U37" i="3"/>
  <c r="U38" i="3"/>
  <c r="U39" i="3"/>
  <c r="O35" i="3"/>
  <c r="W35" i="3" s="1"/>
  <c r="O36" i="3"/>
  <c r="O37" i="3"/>
  <c r="O38" i="3"/>
  <c r="O39" i="3"/>
  <c r="W39" i="3" s="1"/>
  <c r="H33" i="3"/>
  <c r="O33" i="3"/>
  <c r="L75" i="2"/>
  <c r="R75" i="2" s="1"/>
  <c r="F75" i="2"/>
  <c r="K74" i="2"/>
  <c r="J74" i="2"/>
  <c r="R74" i="2" s="1"/>
  <c r="K73" i="2"/>
  <c r="R73" i="2"/>
  <c r="F73" i="2"/>
  <c r="L71" i="2"/>
  <c r="K71" i="2"/>
  <c r="R71" i="2"/>
  <c r="Y71" i="2" s="1"/>
  <c r="L70" i="2"/>
  <c r="K70" i="2"/>
  <c r="R70" i="2" s="1"/>
  <c r="I69" i="2"/>
  <c r="R69" i="2" s="1"/>
  <c r="I91" i="2"/>
  <c r="F69" i="2"/>
  <c r="L62" i="2"/>
  <c r="K62" i="2"/>
  <c r="L61" i="2"/>
  <c r="F61" i="2"/>
  <c r="R61" i="2"/>
  <c r="K60" i="2"/>
  <c r="J60" i="2"/>
  <c r="K57" i="2"/>
  <c r="J57" i="2"/>
  <c r="L51" i="2"/>
  <c r="K56" i="2"/>
  <c r="F56" i="2"/>
  <c r="H31" i="1"/>
  <c r="O31" i="1"/>
  <c r="K54" i="2"/>
  <c r="F54" i="2"/>
  <c r="R54" i="2"/>
  <c r="Y54" i="2" s="1"/>
  <c r="K53" i="2"/>
  <c r="J53" i="2"/>
  <c r="L52" i="2"/>
  <c r="F52" i="2"/>
  <c r="F51" i="2"/>
  <c r="Q50" i="2"/>
  <c r="K50" i="2"/>
  <c r="K49" i="2"/>
  <c r="J49" i="2"/>
  <c r="U45" i="2"/>
  <c r="X45" i="2"/>
  <c r="Q29" i="1"/>
  <c r="U29" i="1"/>
  <c r="X50" i="4"/>
  <c r="L50" i="4"/>
  <c r="R50" i="4"/>
  <c r="Y50" i="4"/>
  <c r="Z93" i="2"/>
  <c r="X93" i="2"/>
  <c r="L93" i="2"/>
  <c r="R93" i="2"/>
  <c r="V96" i="2"/>
  <c r="X96" i="2"/>
  <c r="R45" i="1"/>
  <c r="L60" i="4"/>
  <c r="L66" i="4"/>
  <c r="L64" i="4"/>
  <c r="M63" i="4"/>
  <c r="L63" i="4"/>
  <c r="R63" i="4" s="1"/>
  <c r="F63" i="4"/>
  <c r="F56" i="4"/>
  <c r="F69" i="4"/>
  <c r="Q117" i="2"/>
  <c r="F117" i="2"/>
  <c r="L131" i="2"/>
  <c r="R131" i="2"/>
  <c r="R132" i="2"/>
  <c r="R133" i="2"/>
  <c r="R134" i="2"/>
  <c r="R135" i="2"/>
  <c r="R136" i="2"/>
  <c r="R137" i="2"/>
  <c r="F130" i="2"/>
  <c r="R130" i="2"/>
  <c r="L130" i="2"/>
  <c r="L129" i="2"/>
  <c r="R129" i="2"/>
  <c r="F122" i="2"/>
  <c r="R122" i="2" s="1"/>
  <c r="L122" i="2"/>
  <c r="F121" i="2"/>
  <c r="R121" i="2" s="1"/>
  <c r="L121" i="2"/>
  <c r="F120" i="2"/>
  <c r="L120" i="2"/>
  <c r="F119" i="2"/>
  <c r="L119" i="2"/>
  <c r="F115" i="2"/>
  <c r="R115" i="2"/>
  <c r="M114" i="2"/>
  <c r="L112" i="2"/>
  <c r="F112" i="2"/>
  <c r="R112" i="2"/>
  <c r="Y112" i="2" s="1"/>
  <c r="M112" i="2"/>
  <c r="M139" i="2" s="1"/>
  <c r="J111" i="2"/>
  <c r="F111" i="2"/>
  <c r="R111" i="2"/>
  <c r="F110" i="2"/>
  <c r="R110" i="2" s="1"/>
  <c r="X109" i="2"/>
  <c r="R109" i="2"/>
  <c r="Y109" i="2" s="1"/>
  <c r="F107" i="2"/>
  <c r="F106" i="2"/>
  <c r="R106" i="2" s="1"/>
  <c r="F105" i="2"/>
  <c r="R105" i="2"/>
  <c r="F98" i="2"/>
  <c r="I98" i="2"/>
  <c r="I139" i="2"/>
  <c r="K96" i="2"/>
  <c r="R96" i="2" s="1"/>
  <c r="Y96" i="2" s="1"/>
  <c r="E35" i="4"/>
  <c r="E45" i="4" s="1"/>
  <c r="D35" i="4"/>
  <c r="D45" i="4" s="1"/>
  <c r="F32" i="3"/>
  <c r="H31" i="3"/>
  <c r="F34" i="4"/>
  <c r="L33" i="4"/>
  <c r="L45" i="4" s="1"/>
  <c r="F33" i="4"/>
  <c r="R33" i="4"/>
  <c r="X22" i="3"/>
  <c r="G27" i="2"/>
  <c r="R27" i="2"/>
  <c r="H22" i="1"/>
  <c r="D22" i="1"/>
  <c r="D26" i="1"/>
  <c r="M34" i="2"/>
  <c r="M91" i="2"/>
  <c r="E48" i="2"/>
  <c r="D48" i="2"/>
  <c r="F48" i="2"/>
  <c r="R48" i="2" s="1"/>
  <c r="Y48" i="2" s="1"/>
  <c r="E22" i="4"/>
  <c r="D22" i="4"/>
  <c r="R22" i="4"/>
  <c r="Y22" i="4" s="1"/>
  <c r="X21" i="3"/>
  <c r="U27" i="1"/>
  <c r="D27" i="1"/>
  <c r="O27" i="1"/>
  <c r="Z42" i="2"/>
  <c r="X42" i="2"/>
  <c r="R42" i="2"/>
  <c r="Y42" i="2" s="1"/>
  <c r="E21" i="4"/>
  <c r="R21" i="4"/>
  <c r="D21" i="4"/>
  <c r="X20" i="3"/>
  <c r="X38" i="2"/>
  <c r="Z38" i="2"/>
  <c r="F38" i="2"/>
  <c r="R38" i="2"/>
  <c r="Y38" i="2"/>
  <c r="K31" i="2"/>
  <c r="J31" i="2"/>
  <c r="R31" i="2"/>
  <c r="U23" i="1"/>
  <c r="G23" i="1"/>
  <c r="O23" i="1" s="1"/>
  <c r="K30" i="2"/>
  <c r="R30" i="2"/>
  <c r="Y30" i="2" s="1"/>
  <c r="K29" i="2"/>
  <c r="J29" i="2"/>
  <c r="K28" i="2"/>
  <c r="J28" i="2"/>
  <c r="R28" i="2" s="1"/>
  <c r="Y28" i="2" s="1"/>
  <c r="U21" i="1"/>
  <c r="U22" i="1"/>
  <c r="K26" i="2"/>
  <c r="J26" i="2"/>
  <c r="F26" i="2"/>
  <c r="E26" i="2"/>
  <c r="D26" i="2"/>
  <c r="X26" i="2"/>
  <c r="X27" i="2"/>
  <c r="X28" i="2"/>
  <c r="X29" i="2"/>
  <c r="X30" i="2"/>
  <c r="X31" i="2"/>
  <c r="L25" i="2"/>
  <c r="R25" i="2" s="1"/>
  <c r="F25" i="2"/>
  <c r="I21" i="1"/>
  <c r="O21" i="1" s="1"/>
  <c r="G24" i="2"/>
  <c r="R24" i="2" s="1"/>
  <c r="F20" i="4"/>
  <c r="R20" i="4"/>
  <c r="F31" i="4"/>
  <c r="X19" i="3"/>
  <c r="Z23" i="2"/>
  <c r="F23" i="2"/>
  <c r="R23" i="2"/>
  <c r="K22" i="2"/>
  <c r="F22" i="2"/>
  <c r="H20" i="1"/>
  <c r="O20" i="1"/>
  <c r="U20" i="1"/>
  <c r="U19" i="1"/>
  <c r="K19" i="1"/>
  <c r="H19" i="1"/>
  <c r="Q21" i="2"/>
  <c r="J21" i="2"/>
  <c r="K21" i="2"/>
  <c r="G47" i="2"/>
  <c r="F47" i="2"/>
  <c r="V91" i="2"/>
  <c r="R43" i="1"/>
  <c r="Z44" i="2"/>
  <c r="K44" i="2"/>
  <c r="R44" i="2" s="1"/>
  <c r="Y44" i="2" s="1"/>
  <c r="X44" i="2"/>
  <c r="Z43" i="2"/>
  <c r="Z41" i="2"/>
  <c r="Z40" i="2"/>
  <c r="D25" i="1"/>
  <c r="D24" i="1"/>
  <c r="O24" i="1" s="1"/>
  <c r="Z39" i="2"/>
  <c r="F39" i="2"/>
  <c r="R39" i="2" s="1"/>
  <c r="F37" i="2"/>
  <c r="R37" i="2"/>
  <c r="Z37" i="2"/>
  <c r="Z36" i="2"/>
  <c r="F36" i="2"/>
  <c r="R36" i="2"/>
  <c r="Z35" i="2"/>
  <c r="K35" i="2"/>
  <c r="R35" i="2"/>
  <c r="K34" i="2"/>
  <c r="Z33" i="2"/>
  <c r="K33" i="2"/>
  <c r="R33" i="2" s="1"/>
  <c r="Z32" i="2"/>
  <c r="K32" i="2"/>
  <c r="R32" i="2"/>
  <c r="H18" i="1"/>
  <c r="F20" i="2"/>
  <c r="R20" i="2"/>
  <c r="L19" i="2"/>
  <c r="R19" i="2" s="1"/>
  <c r="K19" i="2"/>
  <c r="F19" i="2"/>
  <c r="K18" i="2"/>
  <c r="J18" i="2"/>
  <c r="F18" i="2"/>
  <c r="E18" i="2"/>
  <c r="D18" i="2"/>
  <c r="R18" i="2"/>
  <c r="U26" i="1"/>
  <c r="O17" i="1"/>
  <c r="U18" i="1"/>
  <c r="O18" i="1"/>
  <c r="W18" i="1" s="1"/>
  <c r="K43" i="1"/>
  <c r="W91" i="2"/>
  <c r="T91" i="2"/>
  <c r="AA516" i="2"/>
  <c r="H91" i="2"/>
  <c r="N91" i="2"/>
  <c r="O91" i="2"/>
  <c r="P91" i="2"/>
  <c r="R36" i="4"/>
  <c r="R37" i="4"/>
  <c r="R38" i="4"/>
  <c r="R39" i="4"/>
  <c r="R40" i="4"/>
  <c r="X35" i="4"/>
  <c r="X36" i="4"/>
  <c r="X37" i="4"/>
  <c r="Y37" i="4" s="1"/>
  <c r="X38" i="4"/>
  <c r="X39" i="4"/>
  <c r="X40" i="4"/>
  <c r="Y40" i="4" s="1"/>
  <c r="X41" i="4"/>
  <c r="R83" i="2"/>
  <c r="Y83" i="2" s="1"/>
  <c r="X23" i="4"/>
  <c r="X24" i="4"/>
  <c r="X25" i="4"/>
  <c r="X26" i="4"/>
  <c r="X27" i="4"/>
  <c r="X28" i="4"/>
  <c r="X29" i="4"/>
  <c r="R23" i="4"/>
  <c r="Y23" i="4" s="1"/>
  <c r="R24" i="4"/>
  <c r="Y24" i="4"/>
  <c r="R25" i="4"/>
  <c r="Y25" i="4" s="1"/>
  <c r="R26" i="4"/>
  <c r="Y26" i="4"/>
  <c r="R27" i="4"/>
  <c r="R29" i="4"/>
  <c r="Y29" i="4" s="1"/>
  <c r="O22" i="3"/>
  <c r="O23" i="3"/>
  <c r="O24" i="3"/>
  <c r="O25" i="3"/>
  <c r="O26" i="3"/>
  <c r="U22" i="3"/>
  <c r="W22" i="3" s="1"/>
  <c r="U23" i="3"/>
  <c r="U24" i="3"/>
  <c r="U25" i="3"/>
  <c r="U26" i="3"/>
  <c r="W26" i="3" s="1"/>
  <c r="U19" i="3"/>
  <c r="U20" i="3"/>
  <c r="R82" i="2"/>
  <c r="R84" i="2"/>
  <c r="R85" i="2"/>
  <c r="R86" i="2"/>
  <c r="R87" i="2"/>
  <c r="Y87" i="2" s="1"/>
  <c r="R88" i="2"/>
  <c r="Y88" i="2" s="1"/>
  <c r="X74" i="2"/>
  <c r="X75" i="2"/>
  <c r="X76" i="2"/>
  <c r="X78" i="2"/>
  <c r="Y78" i="2" s="1"/>
  <c r="X79" i="2"/>
  <c r="X80" i="2"/>
  <c r="X81" i="2"/>
  <c r="X82" i="2"/>
  <c r="Y82" i="2" s="1"/>
  <c r="X83" i="2"/>
  <c r="X84" i="2"/>
  <c r="X85" i="2"/>
  <c r="X86" i="2"/>
  <c r="Y86" i="2" s="1"/>
  <c r="X87" i="2"/>
  <c r="X88" i="2"/>
  <c r="E31" i="4"/>
  <c r="E48" i="4" s="1"/>
  <c r="O26" i="1"/>
  <c r="X24" i="2"/>
  <c r="Y24" i="2" s="1"/>
  <c r="X25" i="2"/>
  <c r="U24" i="1"/>
  <c r="U25" i="1"/>
  <c r="X60" i="2"/>
  <c r="X61" i="2"/>
  <c r="X62" i="2"/>
  <c r="X49" i="2"/>
  <c r="X50" i="2"/>
  <c r="X51" i="2"/>
  <c r="X52" i="2"/>
  <c r="X53" i="2"/>
  <c r="X54" i="2"/>
  <c r="X56" i="2"/>
  <c r="X57" i="2"/>
  <c r="X69" i="2"/>
  <c r="X70" i="2"/>
  <c r="Y70" i="2"/>
  <c r="X71" i="2"/>
  <c r="X72" i="2"/>
  <c r="X47" i="2"/>
  <c r="X48" i="2"/>
  <c r="O37" i="1"/>
  <c r="O38" i="1"/>
  <c r="O39" i="1"/>
  <c r="O40" i="1"/>
  <c r="U37" i="1"/>
  <c r="U38" i="1"/>
  <c r="W38" i="1" s="1"/>
  <c r="U39" i="1"/>
  <c r="U40" i="1"/>
  <c r="U35" i="1"/>
  <c r="U36" i="1"/>
  <c r="U31" i="1"/>
  <c r="U32" i="1"/>
  <c r="O29" i="1"/>
  <c r="O30" i="1"/>
  <c r="O32" i="1"/>
  <c r="O35" i="1"/>
  <c r="O36" i="1"/>
  <c r="R46" i="2"/>
  <c r="R43" i="2"/>
  <c r="O28" i="1"/>
  <c r="R158" i="4"/>
  <c r="X158" i="4"/>
  <c r="Y158" i="4" s="1"/>
  <c r="R159" i="4"/>
  <c r="X159" i="4"/>
  <c r="U150" i="3"/>
  <c r="G153" i="3"/>
  <c r="F176" i="4"/>
  <c r="R172" i="4"/>
  <c r="O193" i="1"/>
  <c r="H210" i="1"/>
  <c r="F210" i="1"/>
  <c r="R183" i="4"/>
  <c r="G176" i="4"/>
  <c r="M186" i="4"/>
  <c r="X181" i="4"/>
  <c r="X182" i="4"/>
  <c r="X183" i="4"/>
  <c r="X184" i="4"/>
  <c r="R181" i="4"/>
  <c r="Y181" i="4"/>
  <c r="R180" i="4"/>
  <c r="O151" i="3"/>
  <c r="O149" i="3"/>
  <c r="D186" i="4"/>
  <c r="U185" i="1"/>
  <c r="O185" i="1"/>
  <c r="K210" i="1"/>
  <c r="O183" i="1"/>
  <c r="F186" i="4"/>
  <c r="U203" i="1"/>
  <c r="U204" i="1"/>
  <c r="U205" i="1"/>
  <c r="U206" i="1"/>
  <c r="U195" i="1"/>
  <c r="U196" i="1"/>
  <c r="U197" i="1"/>
  <c r="U198" i="1"/>
  <c r="U199" i="1"/>
  <c r="U200" i="1"/>
  <c r="W200" i="1" s="1"/>
  <c r="U201" i="1"/>
  <c r="U202" i="1"/>
  <c r="U184" i="1"/>
  <c r="U186" i="1"/>
  <c r="U187" i="1"/>
  <c r="U188" i="1"/>
  <c r="U189" i="1"/>
  <c r="U190" i="1"/>
  <c r="U191" i="1"/>
  <c r="U192" i="1"/>
  <c r="U193" i="1"/>
  <c r="U194" i="1"/>
  <c r="U183" i="1"/>
  <c r="W183" i="1" s="1"/>
  <c r="U182" i="1"/>
  <c r="T210" i="1"/>
  <c r="S210" i="1"/>
  <c r="R210" i="1"/>
  <c r="Q210" i="1"/>
  <c r="N210" i="1"/>
  <c r="M210" i="1"/>
  <c r="L210" i="1"/>
  <c r="J210" i="1"/>
  <c r="I210" i="1"/>
  <c r="G210" i="1"/>
  <c r="E210" i="1"/>
  <c r="U208" i="1"/>
  <c r="O208" i="1"/>
  <c r="W208" i="1" s="1"/>
  <c r="O206" i="1"/>
  <c r="W206" i="1" s="1"/>
  <c r="O205" i="1"/>
  <c r="W205" i="1" s="1"/>
  <c r="O204" i="1"/>
  <c r="O203" i="1"/>
  <c r="W203" i="1" s="1"/>
  <c r="O202" i="1"/>
  <c r="W202" i="1" s="1"/>
  <c r="O201" i="1"/>
  <c r="W201" i="1" s="1"/>
  <c r="O200" i="1"/>
  <c r="O199" i="1"/>
  <c r="W199" i="1" s="1"/>
  <c r="O198" i="1"/>
  <c r="W198" i="1" s="1"/>
  <c r="O197" i="1"/>
  <c r="O196" i="1"/>
  <c r="O195" i="1"/>
  <c r="O194" i="1"/>
  <c r="W194" i="1" s="1"/>
  <c r="O192" i="1"/>
  <c r="W192" i="1" s="1"/>
  <c r="O190" i="1"/>
  <c r="O189" i="1"/>
  <c r="W189" i="1" s="1"/>
  <c r="O188" i="1"/>
  <c r="W188" i="1" s="1"/>
  <c r="O187" i="1"/>
  <c r="O184" i="1"/>
  <c r="W184" i="1" s="1"/>
  <c r="O182" i="1"/>
  <c r="W182" i="1" s="1"/>
  <c r="X399" i="2"/>
  <c r="R399" i="2"/>
  <c r="Y399" i="2" s="1"/>
  <c r="R396" i="2"/>
  <c r="Y396" i="2" s="1"/>
  <c r="X396" i="2"/>
  <c r="X395" i="2"/>
  <c r="U151" i="1"/>
  <c r="O151" i="1"/>
  <c r="R394" i="2"/>
  <c r="X394" i="2"/>
  <c r="U152" i="1"/>
  <c r="J454" i="2"/>
  <c r="R156" i="4"/>
  <c r="F163" i="4"/>
  <c r="F166" i="4" s="1"/>
  <c r="X388" i="2"/>
  <c r="X389" i="2"/>
  <c r="R387" i="2"/>
  <c r="R382" i="2"/>
  <c r="R385" i="2"/>
  <c r="E454" i="2"/>
  <c r="X373" i="2"/>
  <c r="X374" i="2"/>
  <c r="R373" i="2"/>
  <c r="X375" i="2"/>
  <c r="Y375" i="2"/>
  <c r="R375" i="2"/>
  <c r="R377" i="2"/>
  <c r="Y377" i="2" s="1"/>
  <c r="R376" i="2"/>
  <c r="R119" i="4"/>
  <c r="Z365" i="2"/>
  <c r="W365" i="2"/>
  <c r="V365" i="2"/>
  <c r="U365" i="2"/>
  <c r="T365" i="2"/>
  <c r="Q365" i="2"/>
  <c r="P365" i="2"/>
  <c r="O365" i="2"/>
  <c r="N365" i="2"/>
  <c r="M365" i="2"/>
  <c r="J365" i="2"/>
  <c r="I365" i="2"/>
  <c r="H365" i="2"/>
  <c r="G365" i="2"/>
  <c r="D365" i="2"/>
  <c r="E365" i="2"/>
  <c r="R347" i="2"/>
  <c r="Y347" i="2" s="1"/>
  <c r="R349" i="2"/>
  <c r="Y349" i="2" s="1"/>
  <c r="R346" i="2"/>
  <c r="Y346" i="2" s="1"/>
  <c r="K365" i="2"/>
  <c r="L365" i="2"/>
  <c r="U130" i="1"/>
  <c r="O130" i="1"/>
  <c r="W130" i="1" s="1"/>
  <c r="H144" i="1"/>
  <c r="D144" i="1"/>
  <c r="O123" i="1"/>
  <c r="O90" i="3"/>
  <c r="W90" i="3" s="1"/>
  <c r="O91" i="3"/>
  <c r="W91" i="3" s="1"/>
  <c r="U90" i="3"/>
  <c r="U91" i="3"/>
  <c r="X336" i="2"/>
  <c r="R336" i="2"/>
  <c r="U101" i="3"/>
  <c r="O101" i="3"/>
  <c r="X137" i="4"/>
  <c r="R137" i="4"/>
  <c r="X133" i="4"/>
  <c r="X134" i="4"/>
  <c r="X135" i="4"/>
  <c r="X136" i="4"/>
  <c r="R133" i="4"/>
  <c r="Y133" i="4" s="1"/>
  <c r="Y134" i="4"/>
  <c r="R135" i="4"/>
  <c r="F140" i="4"/>
  <c r="U100" i="3"/>
  <c r="X337" i="2"/>
  <c r="R335" i="2"/>
  <c r="X335" i="2"/>
  <c r="Y335" i="2" s="1"/>
  <c r="O122" i="1"/>
  <c r="R330" i="2"/>
  <c r="R329" i="2"/>
  <c r="Y329" i="2" s="1"/>
  <c r="X121" i="4"/>
  <c r="Y121" i="4" s="1"/>
  <c r="X122" i="4"/>
  <c r="R121" i="4"/>
  <c r="R122" i="4"/>
  <c r="R326" i="2"/>
  <c r="X323" i="2"/>
  <c r="X324" i="2"/>
  <c r="X325" i="2"/>
  <c r="X326" i="2"/>
  <c r="Y326" i="2"/>
  <c r="X327" i="2"/>
  <c r="X328" i="2"/>
  <c r="X329" i="2"/>
  <c r="X330" i="2"/>
  <c r="R324" i="2"/>
  <c r="Y324" i="2" s="1"/>
  <c r="R323" i="2"/>
  <c r="R334" i="2"/>
  <c r="R333" i="2"/>
  <c r="R332" i="2"/>
  <c r="Y332" i="2" s="1"/>
  <c r="R331" i="2"/>
  <c r="Y331" i="2" s="1"/>
  <c r="R322" i="2"/>
  <c r="G106" i="3"/>
  <c r="X131" i="4"/>
  <c r="X132" i="4"/>
  <c r="R321" i="2"/>
  <c r="Y321" i="2" s="1"/>
  <c r="R340" i="2"/>
  <c r="X321" i="2"/>
  <c r="X322" i="2"/>
  <c r="Y322" i="2" s="1"/>
  <c r="X331" i="2"/>
  <c r="X332" i="2"/>
  <c r="X333" i="2"/>
  <c r="Y333" i="2"/>
  <c r="X334" i="2"/>
  <c r="Y334" i="2" s="1"/>
  <c r="X338" i="2"/>
  <c r="X339" i="2"/>
  <c r="X340" i="2"/>
  <c r="Y340" i="2" s="1"/>
  <c r="R320" i="2"/>
  <c r="O120" i="1"/>
  <c r="R319" i="2"/>
  <c r="R318" i="2"/>
  <c r="I343" i="2"/>
  <c r="O117" i="1"/>
  <c r="R316" i="2"/>
  <c r="R314" i="2"/>
  <c r="X312" i="2"/>
  <c r="R312" i="2"/>
  <c r="Y312" i="2" s="1"/>
  <c r="U114" i="1"/>
  <c r="U115" i="1"/>
  <c r="O115" i="1"/>
  <c r="W115" i="1" s="1"/>
  <c r="O114" i="1"/>
  <c r="W114" i="1" s="1"/>
  <c r="R310" i="2"/>
  <c r="X310" i="2"/>
  <c r="Y310" i="2" s="1"/>
  <c r="X311" i="2"/>
  <c r="R311" i="2"/>
  <c r="Y311" i="2"/>
  <c r="X297" i="2"/>
  <c r="R297" i="2"/>
  <c r="Y297" i="2" s="1"/>
  <c r="O116" i="1"/>
  <c r="W116" i="1" s="1"/>
  <c r="X309" i="2"/>
  <c r="X313" i="2"/>
  <c r="X314" i="2"/>
  <c r="X315" i="2"/>
  <c r="X316" i="2"/>
  <c r="Y316" i="2" s="1"/>
  <c r="X317" i="2"/>
  <c r="X318" i="2"/>
  <c r="X319" i="2"/>
  <c r="Y319" i="2" s="1"/>
  <c r="R313" i="2"/>
  <c r="Y313" i="2" s="1"/>
  <c r="R308" i="2"/>
  <c r="R307" i="2"/>
  <c r="R306" i="2"/>
  <c r="R305" i="2"/>
  <c r="R304" i="2"/>
  <c r="X289" i="2"/>
  <c r="U110" i="1"/>
  <c r="R294" i="2"/>
  <c r="X291" i="2"/>
  <c r="X292" i="2"/>
  <c r="X293" i="2"/>
  <c r="Y293" i="2" s="1"/>
  <c r="X294" i="2"/>
  <c r="X295" i="2"/>
  <c r="X296" i="2"/>
  <c r="R299" i="2"/>
  <c r="O112" i="1"/>
  <c r="O113" i="1"/>
  <c r="R298" i="2"/>
  <c r="Y298" i="2" s="1"/>
  <c r="R303" i="2"/>
  <c r="R300" i="2"/>
  <c r="R301" i="2"/>
  <c r="R302" i="2"/>
  <c r="R342" i="2"/>
  <c r="X300" i="2"/>
  <c r="X301" i="2"/>
  <c r="X302" i="2"/>
  <c r="X303" i="2"/>
  <c r="X304" i="2"/>
  <c r="Y304" i="2"/>
  <c r="X305" i="2"/>
  <c r="X306" i="2"/>
  <c r="X307" i="2"/>
  <c r="X308" i="2"/>
  <c r="X320" i="2"/>
  <c r="Y320" i="2" s="1"/>
  <c r="O111" i="1"/>
  <c r="X282" i="2"/>
  <c r="X283" i="2"/>
  <c r="Y283" i="2" s="1"/>
  <c r="X284" i="2"/>
  <c r="X285" i="2"/>
  <c r="X286" i="2"/>
  <c r="X287" i="2"/>
  <c r="X288" i="2"/>
  <c r="X290" i="2"/>
  <c r="X298" i="2"/>
  <c r="R290" i="2"/>
  <c r="Y290" i="2" s="1"/>
  <c r="R282" i="2"/>
  <c r="Y282" i="2" s="1"/>
  <c r="O108" i="1"/>
  <c r="R264" i="2"/>
  <c r="X253" i="2"/>
  <c r="X254" i="2"/>
  <c r="R253" i="2"/>
  <c r="Y253" i="2" s="1"/>
  <c r="R262" i="2"/>
  <c r="G343" i="2"/>
  <c r="R260" i="2"/>
  <c r="O107" i="1"/>
  <c r="K126" i="1"/>
  <c r="R255" i="2"/>
  <c r="R239" i="2"/>
  <c r="O104" i="1"/>
  <c r="F92" i="4"/>
  <c r="F114" i="4"/>
  <c r="E92" i="4"/>
  <c r="R100" i="4"/>
  <c r="Y205" i="3"/>
  <c r="O54" i="1"/>
  <c r="R181" i="2"/>
  <c r="J110" i="4"/>
  <c r="I110" i="4"/>
  <c r="R97" i="4"/>
  <c r="O73" i="3"/>
  <c r="M110" i="4"/>
  <c r="M114" i="4" s="1"/>
  <c r="X94" i="4"/>
  <c r="Y94" i="4" s="1"/>
  <c r="R94" i="4"/>
  <c r="X168" i="2"/>
  <c r="R173" i="2"/>
  <c r="R172" i="2"/>
  <c r="R170" i="2"/>
  <c r="X170" i="2"/>
  <c r="Y170" i="2" s="1"/>
  <c r="X171" i="2"/>
  <c r="Y171" i="2" s="1"/>
  <c r="X172" i="2"/>
  <c r="Y172" i="2" s="1"/>
  <c r="X173" i="2"/>
  <c r="X163" i="2"/>
  <c r="Y163" i="2" s="1"/>
  <c r="X164" i="2"/>
  <c r="N83" i="1"/>
  <c r="G221" i="2"/>
  <c r="O50" i="1"/>
  <c r="W50" i="1" s="1"/>
  <c r="U50" i="1"/>
  <c r="U51" i="1"/>
  <c r="U52" i="1"/>
  <c r="U53" i="1"/>
  <c r="O49" i="1"/>
  <c r="G83" i="1"/>
  <c r="U49" i="1"/>
  <c r="X148" i="2"/>
  <c r="X149" i="2"/>
  <c r="X150" i="2"/>
  <c r="X151" i="2"/>
  <c r="X152" i="2"/>
  <c r="X153" i="2"/>
  <c r="X154" i="2"/>
  <c r="X155" i="2"/>
  <c r="X156" i="2"/>
  <c r="X157" i="2"/>
  <c r="Y157" i="2" s="1"/>
  <c r="O48" i="1"/>
  <c r="X145" i="2"/>
  <c r="O55" i="1"/>
  <c r="X167" i="2"/>
  <c r="X174" i="2"/>
  <c r="X162" i="2"/>
  <c r="Y162" i="2" s="1"/>
  <c r="X53" i="4"/>
  <c r="X240" i="4"/>
  <c r="Y240" i="4" s="1"/>
  <c r="X239" i="4"/>
  <c r="X237" i="4"/>
  <c r="X236" i="4"/>
  <c r="X235" i="4"/>
  <c r="X234" i="4"/>
  <c r="X233" i="4"/>
  <c r="X232" i="4"/>
  <c r="X231" i="4"/>
  <c r="X230" i="4"/>
  <c r="X229" i="4"/>
  <c r="X228" i="4"/>
  <c r="Y228" i="4" s="1"/>
  <c r="X227" i="4"/>
  <c r="X226" i="4"/>
  <c r="X225" i="4"/>
  <c r="X224" i="4"/>
  <c r="X223" i="4"/>
  <c r="X221" i="4"/>
  <c r="X220" i="4"/>
  <c r="Y220" i="4" s="1"/>
  <c r="X219" i="4"/>
  <c r="X218" i="4"/>
  <c r="X217" i="4"/>
  <c r="X216" i="4"/>
  <c r="X215" i="4"/>
  <c r="Y215" i="4" s="1"/>
  <c r="X214" i="4"/>
  <c r="X213" i="4"/>
  <c r="X212" i="4"/>
  <c r="X211" i="4"/>
  <c r="X210" i="4"/>
  <c r="X209" i="4"/>
  <c r="X208" i="4"/>
  <c r="X207" i="4"/>
  <c r="X206" i="4"/>
  <c r="X205" i="4"/>
  <c r="X202" i="4"/>
  <c r="X201" i="4"/>
  <c r="Y201" i="4" s="1"/>
  <c r="X200" i="4"/>
  <c r="X198" i="4"/>
  <c r="X197" i="4"/>
  <c r="Y197" i="4"/>
  <c r="X196" i="4"/>
  <c r="X195" i="4"/>
  <c r="X194" i="4"/>
  <c r="X193" i="4"/>
  <c r="X192" i="4"/>
  <c r="X191" i="4"/>
  <c r="Y191" i="4" s="1"/>
  <c r="X180" i="4"/>
  <c r="Y180" i="4" s="1"/>
  <c r="X179" i="4"/>
  <c r="X178" i="4"/>
  <c r="X174" i="4"/>
  <c r="X173" i="4"/>
  <c r="X172" i="4"/>
  <c r="Y172" i="4"/>
  <c r="X171" i="4"/>
  <c r="Y171" i="4" s="1"/>
  <c r="X170" i="4"/>
  <c r="X157" i="4"/>
  <c r="X156" i="4"/>
  <c r="Y156" i="4" s="1"/>
  <c r="X148" i="4"/>
  <c r="X147" i="4"/>
  <c r="X146" i="4"/>
  <c r="X130" i="4"/>
  <c r="X129" i="4"/>
  <c r="Y129" i="4" s="1"/>
  <c r="X120" i="4"/>
  <c r="X119" i="4"/>
  <c r="X118" i="4"/>
  <c r="X113" i="4"/>
  <c r="X112" i="4"/>
  <c r="X111" i="4"/>
  <c r="X106" i="4"/>
  <c r="Y106" i="4" s="1"/>
  <c r="X105" i="4"/>
  <c r="X104" i="4"/>
  <c r="X103" i="4"/>
  <c r="X102" i="4"/>
  <c r="X101" i="4"/>
  <c r="X100" i="4"/>
  <c r="Y100" i="4"/>
  <c r="X99" i="4"/>
  <c r="X98" i="4"/>
  <c r="X97" i="4"/>
  <c r="X96" i="4"/>
  <c r="X95" i="4"/>
  <c r="X88" i="4"/>
  <c r="X87" i="4"/>
  <c r="X86" i="4"/>
  <c r="X85" i="4"/>
  <c r="X84" i="4"/>
  <c r="X83" i="4"/>
  <c r="X82" i="4"/>
  <c r="Y82" i="4" s="1"/>
  <c r="X81" i="4"/>
  <c r="X80" i="4"/>
  <c r="X79" i="4"/>
  <c r="X78" i="4"/>
  <c r="X77" i="4"/>
  <c r="X76" i="4"/>
  <c r="X75" i="4"/>
  <c r="X74" i="4"/>
  <c r="X67" i="4"/>
  <c r="X66" i="4"/>
  <c r="X65" i="4"/>
  <c r="X64" i="4"/>
  <c r="X63" i="4"/>
  <c r="X62" i="4"/>
  <c r="Y62" i="4"/>
  <c r="X61" i="4"/>
  <c r="Y61" i="4" s="1"/>
  <c r="X60" i="4"/>
  <c r="X59" i="4"/>
  <c r="X58" i="4"/>
  <c r="X57" i="4"/>
  <c r="X56" i="4"/>
  <c r="X55" i="4"/>
  <c r="X54" i="4"/>
  <c r="X34" i="4"/>
  <c r="X33" i="4"/>
  <c r="X22" i="4"/>
  <c r="X21" i="4"/>
  <c r="X20" i="4"/>
  <c r="X19" i="4"/>
  <c r="X16" i="4"/>
  <c r="R240" i="4"/>
  <c r="R239" i="4"/>
  <c r="R237" i="4"/>
  <c r="R236" i="4"/>
  <c r="Y236" i="4"/>
  <c r="R235" i="4"/>
  <c r="R234" i="4"/>
  <c r="R233" i="4"/>
  <c r="Y233" i="4" s="1"/>
  <c r="R232" i="4"/>
  <c r="R231" i="4"/>
  <c r="Y231" i="4"/>
  <c r="R230" i="4"/>
  <c r="R229" i="4"/>
  <c r="R228" i="4"/>
  <c r="R227" i="4"/>
  <c r="R226" i="4"/>
  <c r="R225" i="4"/>
  <c r="Y225" i="4"/>
  <c r="R224" i="4"/>
  <c r="R223" i="4"/>
  <c r="R221" i="4"/>
  <c r="Y221" i="4" s="1"/>
  <c r="R220" i="4"/>
  <c r="R219" i="4"/>
  <c r="R218" i="4"/>
  <c r="Y218" i="4" s="1"/>
  <c r="R217" i="4"/>
  <c r="Y217" i="4"/>
  <c r="R216" i="4"/>
  <c r="R215" i="4"/>
  <c r="R214" i="4"/>
  <c r="R213" i="4"/>
  <c r="Y213" i="4" s="1"/>
  <c r="R212" i="4"/>
  <c r="R211" i="4"/>
  <c r="Y211" i="4" s="1"/>
  <c r="R210" i="4"/>
  <c r="Y210" i="4"/>
  <c r="R209" i="4"/>
  <c r="Y209" i="4" s="1"/>
  <c r="R208" i="4"/>
  <c r="R207" i="4"/>
  <c r="Y207" i="4"/>
  <c r="R206" i="4"/>
  <c r="Y206" i="4" s="1"/>
  <c r="R205" i="4"/>
  <c r="Y205" i="4"/>
  <c r="R202" i="4"/>
  <c r="Y202" i="4" s="1"/>
  <c r="R201" i="4"/>
  <c r="R200" i="4"/>
  <c r="Y200" i="4"/>
  <c r="R198" i="4"/>
  <c r="Y198" i="4"/>
  <c r="R197" i="4"/>
  <c r="R196" i="4"/>
  <c r="Y196" i="4" s="1"/>
  <c r="R195" i="4"/>
  <c r="Y195" i="4"/>
  <c r="R194" i="4"/>
  <c r="Y194" i="4" s="1"/>
  <c r="R193" i="4"/>
  <c r="R192" i="4"/>
  <c r="Y192" i="4" s="1"/>
  <c r="R191" i="4"/>
  <c r="R174" i="4"/>
  <c r="R173" i="4"/>
  <c r="Y173" i="4" s="1"/>
  <c r="R171" i="4"/>
  <c r="R148" i="4"/>
  <c r="Y148" i="4" s="1"/>
  <c r="R147" i="4"/>
  <c r="R129" i="4"/>
  <c r="R120" i="4"/>
  <c r="R113" i="4"/>
  <c r="Y113" i="4" s="1"/>
  <c r="R112" i="4"/>
  <c r="Y112" i="4" s="1"/>
  <c r="R111" i="4"/>
  <c r="Y111" i="4"/>
  <c r="R106" i="4"/>
  <c r="R105" i="4"/>
  <c r="Y105" i="4"/>
  <c r="R104" i="4"/>
  <c r="Y104" i="4"/>
  <c r="R103" i="4"/>
  <c r="R102" i="4"/>
  <c r="Y102" i="4" s="1"/>
  <c r="R101" i="4"/>
  <c r="Y101" i="4"/>
  <c r="R88" i="4"/>
  <c r="Y88" i="4" s="1"/>
  <c r="R87" i="4"/>
  <c r="R86" i="4"/>
  <c r="Y86" i="4" s="1"/>
  <c r="R85" i="4"/>
  <c r="R84" i="4"/>
  <c r="Y84" i="4"/>
  <c r="R83" i="4"/>
  <c r="R82" i="4"/>
  <c r="R81" i="4"/>
  <c r="Y81" i="4"/>
  <c r="R80" i="4"/>
  <c r="Y80" i="4"/>
  <c r="R79" i="4"/>
  <c r="R78" i="4"/>
  <c r="Y78" i="4" s="1"/>
  <c r="R77" i="4"/>
  <c r="Y77" i="4"/>
  <c r="R76" i="4"/>
  <c r="Y76" i="4" s="1"/>
  <c r="R75" i="4"/>
  <c r="Y75" i="4"/>
  <c r="R67" i="4"/>
  <c r="R62" i="4"/>
  <c r="R61" i="4"/>
  <c r="R59" i="4"/>
  <c r="Y59" i="4" s="1"/>
  <c r="R56" i="4"/>
  <c r="Y56" i="4"/>
  <c r="R55" i="4"/>
  <c r="Y55" i="4" s="1"/>
  <c r="R54" i="4"/>
  <c r="Y54" i="4"/>
  <c r="R53" i="4"/>
  <c r="Y53" i="4" s="1"/>
  <c r="R41" i="4"/>
  <c r="Y41" i="4"/>
  <c r="R34" i="4"/>
  <c r="R19" i="4"/>
  <c r="Y19" i="4"/>
  <c r="R16" i="4"/>
  <c r="Y16" i="4" s="1"/>
  <c r="X451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0" i="2"/>
  <c r="Y410" i="2" s="1"/>
  <c r="X409" i="2"/>
  <c r="X408" i="2"/>
  <c r="X407" i="2"/>
  <c r="X406" i="2"/>
  <c r="X405" i="2"/>
  <c r="Y405" i="2" s="1"/>
  <c r="X404" i="2"/>
  <c r="X403" i="2"/>
  <c r="X402" i="2"/>
  <c r="Y402" i="2"/>
  <c r="X401" i="2"/>
  <c r="X400" i="2"/>
  <c r="X398" i="2"/>
  <c r="X397" i="2"/>
  <c r="Y397" i="2" s="1"/>
  <c r="X393" i="2"/>
  <c r="X392" i="2"/>
  <c r="X391" i="2"/>
  <c r="X390" i="2"/>
  <c r="X387" i="2"/>
  <c r="Y387" i="2" s="1"/>
  <c r="X386" i="2"/>
  <c r="X385" i="2"/>
  <c r="X384" i="2"/>
  <c r="X383" i="2"/>
  <c r="X382" i="2"/>
  <c r="X381" i="2"/>
  <c r="X380" i="2"/>
  <c r="X379" i="2"/>
  <c r="X378" i="2"/>
  <c r="Y378" i="2" s="1"/>
  <c r="X377" i="2"/>
  <c r="X376" i="2"/>
  <c r="Y376" i="2" s="1"/>
  <c r="X372" i="2"/>
  <c r="X367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5" i="2"/>
  <c r="X344" i="2"/>
  <c r="X365" i="2" s="1"/>
  <c r="X299" i="2"/>
  <c r="X273" i="2"/>
  <c r="X272" i="2"/>
  <c r="X270" i="2"/>
  <c r="Y270" i="2" s="1"/>
  <c r="X269" i="2"/>
  <c r="X268" i="2"/>
  <c r="Y268" i="2" s="1"/>
  <c r="X267" i="2"/>
  <c r="X266" i="2"/>
  <c r="Y266" i="2"/>
  <c r="X265" i="2"/>
  <c r="X264" i="2"/>
  <c r="Y264" i="2" s="1"/>
  <c r="X263" i="2"/>
  <c r="X262" i="2"/>
  <c r="Y262" i="2"/>
  <c r="X261" i="2"/>
  <c r="X260" i="2"/>
  <c r="X259" i="2"/>
  <c r="Y259" i="2" s="1"/>
  <c r="X258" i="2"/>
  <c r="Y258" i="2" s="1"/>
  <c r="X257" i="2"/>
  <c r="X256" i="2"/>
  <c r="Y256" i="2" s="1"/>
  <c r="X255" i="2"/>
  <c r="X252" i="2"/>
  <c r="X251" i="2"/>
  <c r="X250" i="2"/>
  <c r="X245" i="2"/>
  <c r="X244" i="2"/>
  <c r="X243" i="2"/>
  <c r="X242" i="2"/>
  <c r="X241" i="2"/>
  <c r="X240" i="2"/>
  <c r="X239" i="2"/>
  <c r="X237" i="2"/>
  <c r="X236" i="2"/>
  <c r="X235" i="2"/>
  <c r="X234" i="2"/>
  <c r="X229" i="2"/>
  <c r="X228" i="2"/>
  <c r="X227" i="2"/>
  <c r="X226" i="2"/>
  <c r="X225" i="2"/>
  <c r="X224" i="2"/>
  <c r="X223" i="2"/>
  <c r="X222" i="2"/>
  <c r="X219" i="2"/>
  <c r="Y219" i="2"/>
  <c r="X218" i="2"/>
  <c r="Y218" i="2" s="1"/>
  <c r="X217" i="2"/>
  <c r="Y217" i="2"/>
  <c r="X216" i="2"/>
  <c r="Y216" i="2" s="1"/>
  <c r="X215" i="2"/>
  <c r="Y215" i="2"/>
  <c r="X214" i="2"/>
  <c r="Y214" i="2" s="1"/>
  <c r="X213" i="2"/>
  <c r="Y213" i="2" s="1"/>
  <c r="X212" i="2"/>
  <c r="Y212" i="2" s="1"/>
  <c r="X211" i="2"/>
  <c r="Y211" i="2"/>
  <c r="X209" i="2"/>
  <c r="X208" i="2"/>
  <c r="X207" i="2"/>
  <c r="X206" i="2"/>
  <c r="X205" i="2"/>
  <c r="X204" i="2"/>
  <c r="X203" i="2"/>
  <c r="Y203" i="2"/>
  <c r="X201" i="2"/>
  <c r="X200" i="2"/>
  <c r="Y200" i="2"/>
  <c r="X199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Y178" i="2"/>
  <c r="X176" i="2"/>
  <c r="X175" i="2"/>
  <c r="X169" i="2"/>
  <c r="X165" i="2"/>
  <c r="Y165" i="2" s="1"/>
  <c r="X161" i="2"/>
  <c r="X158" i="2"/>
  <c r="Y158" i="2" s="1"/>
  <c r="X147" i="2"/>
  <c r="X146" i="2"/>
  <c r="X144" i="2"/>
  <c r="X143" i="2"/>
  <c r="X142" i="2"/>
  <c r="X138" i="2"/>
  <c r="Y138" i="2"/>
  <c r="X137" i="2"/>
  <c r="X136" i="2"/>
  <c r="Y136" i="2"/>
  <c r="X135" i="2"/>
  <c r="Y135" i="2" s="1"/>
  <c r="X134" i="2"/>
  <c r="X133" i="2"/>
  <c r="X132" i="2"/>
  <c r="Y132" i="2"/>
  <c r="X131" i="2"/>
  <c r="X130" i="2"/>
  <c r="X129" i="2"/>
  <c r="Y129" i="2"/>
  <c r="X128" i="2"/>
  <c r="X127" i="2"/>
  <c r="X126" i="2"/>
  <c r="X125" i="2"/>
  <c r="X124" i="2"/>
  <c r="X123" i="2"/>
  <c r="X122" i="2"/>
  <c r="Y122" i="2"/>
  <c r="X121" i="2"/>
  <c r="X120" i="2"/>
  <c r="X119" i="2"/>
  <c r="X118" i="2"/>
  <c r="Y118" i="2" s="1"/>
  <c r="X117" i="2"/>
  <c r="X116" i="2"/>
  <c r="X115" i="2"/>
  <c r="X114" i="2"/>
  <c r="X113" i="2"/>
  <c r="X112" i="2"/>
  <c r="X111" i="2"/>
  <c r="X110" i="2"/>
  <c r="Y110" i="2" s="1"/>
  <c r="X108" i="2"/>
  <c r="X107" i="2"/>
  <c r="Y107" i="2" s="1"/>
  <c r="X106" i="2"/>
  <c r="X105" i="2"/>
  <c r="X104" i="2"/>
  <c r="X103" i="2"/>
  <c r="Y103" i="2" s="1"/>
  <c r="X102" i="2"/>
  <c r="X101" i="2"/>
  <c r="X100" i="2"/>
  <c r="X99" i="2"/>
  <c r="Y99" i="2" s="1"/>
  <c r="X98" i="2"/>
  <c r="X97" i="2"/>
  <c r="X89" i="2"/>
  <c r="X73" i="2"/>
  <c r="X46" i="2"/>
  <c r="X43" i="2"/>
  <c r="Y43" i="2"/>
  <c r="X41" i="2"/>
  <c r="Y41" i="2" s="1"/>
  <c r="X40" i="2"/>
  <c r="X39" i="2"/>
  <c r="X37" i="2"/>
  <c r="X36" i="2"/>
  <c r="Y36" i="2" s="1"/>
  <c r="X35" i="2"/>
  <c r="Y35" i="2"/>
  <c r="X34" i="2"/>
  <c r="X33" i="2"/>
  <c r="X32" i="2"/>
  <c r="X23" i="2"/>
  <c r="X22" i="2"/>
  <c r="X21" i="2"/>
  <c r="X20" i="2"/>
  <c r="X19" i="2"/>
  <c r="X18" i="2"/>
  <c r="R451" i="2"/>
  <c r="R449" i="2"/>
  <c r="R448" i="2"/>
  <c r="Y448" i="2" s="1"/>
  <c r="R447" i="2"/>
  <c r="R446" i="2"/>
  <c r="R445" i="2"/>
  <c r="Y445" i="2" s="1"/>
  <c r="R444" i="2"/>
  <c r="R443" i="2"/>
  <c r="Y443" i="2"/>
  <c r="R442" i="2"/>
  <c r="R441" i="2"/>
  <c r="R440" i="2"/>
  <c r="R439" i="2"/>
  <c r="Y439" i="2" s="1"/>
  <c r="R438" i="2"/>
  <c r="R437" i="2"/>
  <c r="Y437" i="2" s="1"/>
  <c r="R436" i="2"/>
  <c r="R435" i="2"/>
  <c r="Y435" i="2" s="1"/>
  <c r="R434" i="2"/>
  <c r="R433" i="2"/>
  <c r="R432" i="2"/>
  <c r="R431" i="2"/>
  <c r="Y431" i="2" s="1"/>
  <c r="R430" i="2"/>
  <c r="R429" i="2"/>
  <c r="R428" i="2"/>
  <c r="R427" i="2"/>
  <c r="Y427" i="2" s="1"/>
  <c r="R426" i="2"/>
  <c r="R425" i="2"/>
  <c r="R424" i="2"/>
  <c r="R423" i="2"/>
  <c r="R422" i="2"/>
  <c r="R421" i="2"/>
  <c r="Y421" i="2" s="1"/>
  <c r="R420" i="2"/>
  <c r="R419" i="2"/>
  <c r="R418" i="2"/>
  <c r="R417" i="2"/>
  <c r="R416" i="2"/>
  <c r="R415" i="2"/>
  <c r="R414" i="2"/>
  <c r="R413" i="2"/>
  <c r="Y413" i="2" s="1"/>
  <c r="R410" i="2"/>
  <c r="R407" i="2"/>
  <c r="Y407" i="2" s="1"/>
  <c r="R406" i="2"/>
  <c r="Y406" i="2" s="1"/>
  <c r="R405" i="2"/>
  <c r="R404" i="2"/>
  <c r="Y404" i="2"/>
  <c r="R403" i="2"/>
  <c r="Y403" i="2"/>
  <c r="R401" i="2"/>
  <c r="Y401" i="2"/>
  <c r="R400" i="2"/>
  <c r="Y400" i="2"/>
  <c r="R398" i="2"/>
  <c r="Y398" i="2"/>
  <c r="R397" i="2"/>
  <c r="R391" i="2"/>
  <c r="Y391" i="2" s="1"/>
  <c r="R367" i="2"/>
  <c r="R364" i="2"/>
  <c r="Y364" i="2" s="1"/>
  <c r="R363" i="2"/>
  <c r="Y363" i="2" s="1"/>
  <c r="R362" i="2"/>
  <c r="Y362" i="2"/>
  <c r="R361" i="2"/>
  <c r="Y361" i="2" s="1"/>
  <c r="R360" i="2"/>
  <c r="R359" i="2"/>
  <c r="Y359" i="2" s="1"/>
  <c r="R358" i="2"/>
  <c r="Y358" i="2" s="1"/>
  <c r="R357" i="2"/>
  <c r="R356" i="2"/>
  <c r="R355" i="2"/>
  <c r="Y355" i="2"/>
  <c r="R354" i="2"/>
  <c r="R353" i="2"/>
  <c r="R352" i="2"/>
  <c r="R351" i="2"/>
  <c r="Y351" i="2" s="1"/>
  <c r="R350" i="2"/>
  <c r="R344" i="2"/>
  <c r="R229" i="2"/>
  <c r="R228" i="2"/>
  <c r="R227" i="2"/>
  <c r="Y227" i="2"/>
  <c r="R226" i="2"/>
  <c r="Y226" i="2"/>
  <c r="R225" i="2"/>
  <c r="R224" i="2"/>
  <c r="R223" i="2"/>
  <c r="Y223" i="2"/>
  <c r="R222" i="2"/>
  <c r="R209" i="2"/>
  <c r="Y209" i="2" s="1"/>
  <c r="R206" i="2"/>
  <c r="R204" i="2"/>
  <c r="Y204" i="2" s="1"/>
  <c r="R199" i="2"/>
  <c r="R192" i="2"/>
  <c r="R190" i="2"/>
  <c r="Y190" i="2" s="1"/>
  <c r="R189" i="2"/>
  <c r="Y189" i="2" s="1"/>
  <c r="R188" i="2"/>
  <c r="R187" i="2"/>
  <c r="Y187" i="2" s="1"/>
  <c r="R184" i="2"/>
  <c r="R183" i="2"/>
  <c r="R126" i="2"/>
  <c r="Y126" i="2" s="1"/>
  <c r="R125" i="2"/>
  <c r="R124" i="2"/>
  <c r="R123" i="2"/>
  <c r="Y123" i="2" s="1"/>
  <c r="R118" i="2"/>
  <c r="R116" i="2"/>
  <c r="Y116" i="2" s="1"/>
  <c r="R103" i="2"/>
  <c r="R101" i="2"/>
  <c r="Y101" i="2"/>
  <c r="R99" i="2"/>
  <c r="R97" i="2"/>
  <c r="R89" i="2"/>
  <c r="Y89" i="2" s="1"/>
  <c r="R45" i="2"/>
  <c r="R41" i="2"/>
  <c r="R40" i="2"/>
  <c r="Y40" i="2" s="1"/>
  <c r="R15" i="2"/>
  <c r="X15" i="2"/>
  <c r="U46" i="3"/>
  <c r="U45" i="1"/>
  <c r="W45" i="1" s="1"/>
  <c r="R127" i="2"/>
  <c r="Y127" i="2"/>
  <c r="R113" i="2"/>
  <c r="Y113" i="2" s="1"/>
  <c r="G139" i="2"/>
  <c r="E139" i="2"/>
  <c r="R108" i="2"/>
  <c r="Y108" i="2"/>
  <c r="R100" i="2"/>
  <c r="Y100" i="2" s="1"/>
  <c r="R65" i="4"/>
  <c r="Y65" i="4"/>
  <c r="R64" i="4"/>
  <c r="M69" i="4"/>
  <c r="R60" i="4"/>
  <c r="Y60" i="4" s="1"/>
  <c r="E69" i="4"/>
  <c r="R58" i="4"/>
  <c r="U139" i="2"/>
  <c r="U17" i="2"/>
  <c r="V17" i="2"/>
  <c r="V95" i="2"/>
  <c r="J222" i="4"/>
  <c r="J241" i="4" s="1"/>
  <c r="J238" i="4"/>
  <c r="T238" i="4"/>
  <c r="U238" i="4"/>
  <c r="U241" i="4" s="1"/>
  <c r="T222" i="4"/>
  <c r="U222" i="4"/>
  <c r="T199" i="4"/>
  <c r="U199" i="4"/>
  <c r="T186" i="4"/>
  <c r="U186" i="4"/>
  <c r="T176" i="4"/>
  <c r="U176" i="4"/>
  <c r="T163" i="4"/>
  <c r="T166" i="4" s="1"/>
  <c r="U163" i="4"/>
  <c r="T154" i="4"/>
  <c r="U154" i="4"/>
  <c r="T69" i="4"/>
  <c r="X69" i="4" s="1"/>
  <c r="U69" i="4"/>
  <c r="T92" i="4"/>
  <c r="U92" i="4"/>
  <c r="T110" i="4"/>
  <c r="U110" i="4"/>
  <c r="T127" i="4"/>
  <c r="U127" i="4"/>
  <c r="U142" i="4"/>
  <c r="T140" i="4"/>
  <c r="T142" i="4"/>
  <c r="U140" i="4"/>
  <c r="T31" i="4"/>
  <c r="X31" i="4" s="1"/>
  <c r="U31" i="4"/>
  <c r="U48" i="4"/>
  <c r="T18" i="4"/>
  <c r="U18" i="4"/>
  <c r="U343" i="2"/>
  <c r="V343" i="2"/>
  <c r="U230" i="2"/>
  <c r="V230" i="2"/>
  <c r="U221" i="2"/>
  <c r="U454" i="2"/>
  <c r="V454" i="2"/>
  <c r="W165" i="3"/>
  <c r="W145" i="3"/>
  <c r="W16" i="3"/>
  <c r="U196" i="3"/>
  <c r="U195" i="3"/>
  <c r="U194" i="3"/>
  <c r="U193" i="3"/>
  <c r="U189" i="3"/>
  <c r="U188" i="3"/>
  <c r="W188" i="3" s="1"/>
  <c r="U187" i="3"/>
  <c r="U186" i="3"/>
  <c r="U185" i="3"/>
  <c r="U184" i="3"/>
  <c r="W184" i="3" s="1"/>
  <c r="U183" i="3"/>
  <c r="U182" i="3"/>
  <c r="U181" i="3"/>
  <c r="W181" i="3" s="1"/>
  <c r="U180" i="3"/>
  <c r="U179" i="3"/>
  <c r="U178" i="3"/>
  <c r="U177" i="3"/>
  <c r="W177" i="3" s="1"/>
  <c r="U176" i="3"/>
  <c r="U175" i="3"/>
  <c r="U174" i="3"/>
  <c r="W174" i="3" s="1"/>
  <c r="U173" i="3"/>
  <c r="U172" i="3"/>
  <c r="U168" i="3"/>
  <c r="W168" i="3" s="1"/>
  <c r="U164" i="3"/>
  <c r="U163" i="3"/>
  <c r="U162" i="3"/>
  <c r="U161" i="3"/>
  <c r="U166" i="3" s="1"/>
  <c r="U160" i="3"/>
  <c r="U159" i="3"/>
  <c r="U158" i="3"/>
  <c r="U151" i="3"/>
  <c r="U153" i="3" s="1"/>
  <c r="U149" i="3"/>
  <c r="U144" i="3"/>
  <c r="U143" i="3"/>
  <c r="U142" i="3"/>
  <c r="U141" i="3"/>
  <c r="U147" i="3"/>
  <c r="U156" i="3" s="1"/>
  <c r="U140" i="3"/>
  <c r="U128" i="3"/>
  <c r="U127" i="3"/>
  <c r="U126" i="3"/>
  <c r="U116" i="3"/>
  <c r="U115" i="3"/>
  <c r="U114" i="3"/>
  <c r="U113" i="3"/>
  <c r="U99" i="3"/>
  <c r="U98" i="3"/>
  <c r="U97" i="3"/>
  <c r="U89" i="3"/>
  <c r="U88" i="3"/>
  <c r="U87" i="3"/>
  <c r="U81" i="3"/>
  <c r="U75" i="3"/>
  <c r="U74" i="3"/>
  <c r="U73" i="3"/>
  <c r="U67" i="3"/>
  <c r="U66" i="3"/>
  <c r="U65" i="3"/>
  <c r="U64" i="3"/>
  <c r="U63" i="3"/>
  <c r="U62" i="3"/>
  <c r="U61" i="3"/>
  <c r="U60" i="3"/>
  <c r="U59" i="3"/>
  <c r="U58" i="3"/>
  <c r="W58" i="3" s="1"/>
  <c r="U57" i="3"/>
  <c r="U56" i="3"/>
  <c r="U55" i="3"/>
  <c r="U54" i="3"/>
  <c r="W54" i="3" s="1"/>
  <c r="U53" i="3"/>
  <c r="U48" i="3"/>
  <c r="U33" i="3"/>
  <c r="W33" i="3" s="1"/>
  <c r="U32" i="3"/>
  <c r="U31" i="3"/>
  <c r="U27" i="3"/>
  <c r="U21" i="3"/>
  <c r="U18" i="3"/>
  <c r="W18" i="3" s="1"/>
  <c r="O18" i="3"/>
  <c r="Q17" i="3"/>
  <c r="Q44" i="3" s="1"/>
  <c r="Q50" i="3" s="1"/>
  <c r="Q51" i="3" s="1"/>
  <c r="Q110" i="3" s="1"/>
  <c r="Q111" i="3" s="1"/>
  <c r="R17" i="3"/>
  <c r="S17" i="3"/>
  <c r="U15" i="3"/>
  <c r="U17" i="3"/>
  <c r="O196" i="3"/>
  <c r="O195" i="3"/>
  <c r="O194" i="3"/>
  <c r="O193" i="3"/>
  <c r="W193" i="3" s="1"/>
  <c r="W198" i="3" s="1"/>
  <c r="O189" i="3"/>
  <c r="O188" i="3"/>
  <c r="O187" i="3"/>
  <c r="W187" i="3" s="1"/>
  <c r="O186" i="3"/>
  <c r="O185" i="3"/>
  <c r="W185" i="3"/>
  <c r="O184" i="3"/>
  <c r="O183" i="3"/>
  <c r="W183" i="3" s="1"/>
  <c r="O182" i="3"/>
  <c r="O181" i="3"/>
  <c r="O180" i="3"/>
  <c r="W180" i="3" s="1"/>
  <c r="O179" i="3"/>
  <c r="W179" i="3"/>
  <c r="O178" i="3"/>
  <c r="W178" i="3" s="1"/>
  <c r="O177" i="3"/>
  <c r="O176" i="3"/>
  <c r="W176" i="3" s="1"/>
  <c r="O175" i="3"/>
  <c r="O174" i="3"/>
  <c r="O173" i="3"/>
  <c r="O172" i="3"/>
  <c r="O168" i="3"/>
  <c r="O164" i="3"/>
  <c r="W164" i="3" s="1"/>
  <c r="O163" i="3"/>
  <c r="W163" i="3"/>
  <c r="O162" i="3"/>
  <c r="W162" i="3" s="1"/>
  <c r="O161" i="3"/>
  <c r="O160" i="3"/>
  <c r="W160" i="3"/>
  <c r="O159" i="3"/>
  <c r="W159" i="3" s="1"/>
  <c r="O158" i="3"/>
  <c r="O148" i="3"/>
  <c r="O144" i="3"/>
  <c r="O143" i="3"/>
  <c r="W143" i="3"/>
  <c r="O142" i="3"/>
  <c r="W142" i="3" s="1"/>
  <c r="O141" i="3"/>
  <c r="O140" i="3"/>
  <c r="W140" i="3"/>
  <c r="O127" i="3"/>
  <c r="O116" i="3"/>
  <c r="O115" i="3"/>
  <c r="W115" i="3" s="1"/>
  <c r="O114" i="3"/>
  <c r="O113" i="3"/>
  <c r="O89" i="3"/>
  <c r="W89" i="3" s="1"/>
  <c r="O88" i="3"/>
  <c r="O87" i="3"/>
  <c r="O81" i="3"/>
  <c r="W81" i="3" s="1"/>
  <c r="O75" i="3"/>
  <c r="O68" i="3"/>
  <c r="O67" i="3"/>
  <c r="O66" i="3"/>
  <c r="O65" i="3"/>
  <c r="W65" i="3" s="1"/>
  <c r="O64" i="3"/>
  <c r="W64" i="3" s="1"/>
  <c r="O63" i="3"/>
  <c r="O62" i="3"/>
  <c r="O61" i="3"/>
  <c r="W61" i="3" s="1"/>
  <c r="O60" i="3"/>
  <c r="W60" i="3" s="1"/>
  <c r="O59" i="3"/>
  <c r="O58" i="3"/>
  <c r="O57" i="3"/>
  <c r="W57" i="3"/>
  <c r="O56" i="3"/>
  <c r="O71" i="3" s="1"/>
  <c r="O83" i="3" s="1"/>
  <c r="O55" i="3"/>
  <c r="W55" i="3" s="1"/>
  <c r="O54" i="3"/>
  <c r="O53" i="3"/>
  <c r="W53" i="3" s="1"/>
  <c r="O48" i="3"/>
  <c r="W48" i="3" s="1"/>
  <c r="O46" i="3"/>
  <c r="W46" i="3"/>
  <c r="O27" i="3"/>
  <c r="O21" i="3"/>
  <c r="O20" i="3"/>
  <c r="W20" i="3" s="1"/>
  <c r="O19" i="3"/>
  <c r="O15" i="3"/>
  <c r="U162" i="1"/>
  <c r="U177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1" i="1"/>
  <c r="U160" i="1"/>
  <c r="U159" i="1"/>
  <c r="U158" i="1"/>
  <c r="U157" i="1"/>
  <c r="U156" i="1"/>
  <c r="U155" i="1"/>
  <c r="U154" i="1"/>
  <c r="U153" i="1"/>
  <c r="U146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28" i="1"/>
  <c r="U144" i="1" s="1"/>
  <c r="U105" i="1"/>
  <c r="U123" i="1"/>
  <c r="W123" i="1" s="1"/>
  <c r="U122" i="1"/>
  <c r="U121" i="1"/>
  <c r="U120" i="1"/>
  <c r="U119" i="1"/>
  <c r="U118" i="1"/>
  <c r="U117" i="1"/>
  <c r="W117" i="1" s="1"/>
  <c r="U116" i="1"/>
  <c r="U112" i="1"/>
  <c r="U113" i="1"/>
  <c r="U111" i="1"/>
  <c r="U109" i="1"/>
  <c r="U108" i="1"/>
  <c r="U107" i="1"/>
  <c r="W107" i="1" s="1"/>
  <c r="U106" i="1"/>
  <c r="U104" i="1"/>
  <c r="U99" i="1"/>
  <c r="U94" i="1"/>
  <c r="U93" i="1"/>
  <c r="U92" i="1"/>
  <c r="U91" i="1"/>
  <c r="U90" i="1"/>
  <c r="W90" i="1" s="1"/>
  <c r="U89" i="1"/>
  <c r="U88" i="1"/>
  <c r="U87" i="1"/>
  <c r="U86" i="1"/>
  <c r="U85" i="1"/>
  <c r="U84" i="1"/>
  <c r="U60" i="1"/>
  <c r="U59" i="1"/>
  <c r="U58" i="1"/>
  <c r="U57" i="1"/>
  <c r="U56" i="1"/>
  <c r="U55" i="1"/>
  <c r="U54" i="1"/>
  <c r="U48" i="1"/>
  <c r="W48" i="1"/>
  <c r="U41" i="1"/>
  <c r="U28" i="1"/>
  <c r="U17" i="1"/>
  <c r="O135" i="1"/>
  <c r="W135" i="1" s="1"/>
  <c r="O136" i="1"/>
  <c r="W136" i="1" s="1"/>
  <c r="O137" i="1"/>
  <c r="O138" i="1"/>
  <c r="O175" i="1"/>
  <c r="W175" i="1" s="1"/>
  <c r="O174" i="1"/>
  <c r="W174" i="1" s="1"/>
  <c r="O173" i="1"/>
  <c r="W173" i="1" s="1"/>
  <c r="O172" i="1"/>
  <c r="O171" i="1"/>
  <c r="W171" i="1" s="1"/>
  <c r="O170" i="1"/>
  <c r="O169" i="1"/>
  <c r="W169" i="1"/>
  <c r="O168" i="1"/>
  <c r="O167" i="1"/>
  <c r="O166" i="1"/>
  <c r="W166" i="1" s="1"/>
  <c r="O162" i="1"/>
  <c r="W162" i="1" s="1"/>
  <c r="O161" i="1"/>
  <c r="O160" i="1"/>
  <c r="O159" i="1"/>
  <c r="O157" i="1"/>
  <c r="O156" i="1"/>
  <c r="W156" i="1" s="1"/>
  <c r="O155" i="1"/>
  <c r="O154" i="1"/>
  <c r="O153" i="1"/>
  <c r="O146" i="1"/>
  <c r="W146" i="1" s="1"/>
  <c r="O142" i="1"/>
  <c r="O141" i="1"/>
  <c r="W141" i="1" s="1"/>
  <c r="O140" i="1"/>
  <c r="W140" i="1" s="1"/>
  <c r="O139" i="1"/>
  <c r="W139" i="1" s="1"/>
  <c r="O134" i="1"/>
  <c r="O133" i="1"/>
  <c r="W133" i="1" s="1"/>
  <c r="O132" i="1"/>
  <c r="W132" i="1" s="1"/>
  <c r="O131" i="1"/>
  <c r="W131" i="1" s="1"/>
  <c r="O94" i="1"/>
  <c r="O93" i="1"/>
  <c r="O92" i="1"/>
  <c r="O91" i="1"/>
  <c r="W91" i="1" s="1"/>
  <c r="O90" i="1"/>
  <c r="O89" i="1"/>
  <c r="O88" i="1"/>
  <c r="O87" i="1"/>
  <c r="W87" i="1" s="1"/>
  <c r="O86" i="1"/>
  <c r="O85" i="1"/>
  <c r="W85" i="1" s="1"/>
  <c r="O84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0" i="1"/>
  <c r="W60" i="1" s="1"/>
  <c r="O59" i="1"/>
  <c r="O58" i="1"/>
  <c r="W58" i="1" s="1"/>
  <c r="O57" i="1"/>
  <c r="O56" i="1"/>
  <c r="W56" i="1" s="1"/>
  <c r="O41" i="1"/>
  <c r="W143" i="1"/>
  <c r="W15" i="1"/>
  <c r="U14" i="1"/>
  <c r="U16" i="1" s="1"/>
  <c r="O14" i="1"/>
  <c r="W14" i="1" s="1"/>
  <c r="W16" i="1" s="1"/>
  <c r="D198" i="3"/>
  <c r="F198" i="3"/>
  <c r="G198" i="3"/>
  <c r="X198" i="3"/>
  <c r="D238" i="4"/>
  <c r="D241" i="4" s="1"/>
  <c r="D222" i="4"/>
  <c r="F191" i="3"/>
  <c r="F201" i="3"/>
  <c r="N222" i="4"/>
  <c r="E222" i="4"/>
  <c r="H454" i="2"/>
  <c r="O222" i="4"/>
  <c r="S179" i="1"/>
  <c r="L144" i="1"/>
  <c r="E144" i="1"/>
  <c r="Y16" i="2"/>
  <c r="M144" i="1"/>
  <c r="I144" i="1"/>
  <c r="J144" i="1"/>
  <c r="G144" i="1"/>
  <c r="F199" i="4"/>
  <c r="O176" i="4"/>
  <c r="E176" i="4"/>
  <c r="D176" i="4"/>
  <c r="W186" i="4"/>
  <c r="V186" i="4"/>
  <c r="Q186" i="4"/>
  <c r="Q189" i="4" s="1"/>
  <c r="P186" i="4"/>
  <c r="K186" i="4"/>
  <c r="J186" i="4"/>
  <c r="I186" i="4"/>
  <c r="H186" i="4"/>
  <c r="G186" i="4"/>
  <c r="E186" i="4"/>
  <c r="O186" i="4"/>
  <c r="W176" i="4"/>
  <c r="W189" i="4" s="1"/>
  <c r="V176" i="4"/>
  <c r="Q176" i="4"/>
  <c r="P176" i="4"/>
  <c r="N176" i="4"/>
  <c r="N189" i="4" s="1"/>
  <c r="M176" i="4"/>
  <c r="M189" i="4"/>
  <c r="L176" i="4"/>
  <c r="K176" i="4"/>
  <c r="J176" i="4"/>
  <c r="I176" i="4"/>
  <c r="H176" i="4"/>
  <c r="X153" i="3"/>
  <c r="T153" i="3"/>
  <c r="S153" i="3"/>
  <c r="R153" i="3"/>
  <c r="Q153" i="3"/>
  <c r="N153" i="3"/>
  <c r="M153" i="3"/>
  <c r="L153" i="3"/>
  <c r="L156" i="3"/>
  <c r="K153" i="3"/>
  <c r="J153" i="3"/>
  <c r="I153" i="3"/>
  <c r="H153" i="3"/>
  <c r="F153" i="3"/>
  <c r="D153" i="3"/>
  <c r="E153" i="3"/>
  <c r="E156" i="3"/>
  <c r="T147" i="3"/>
  <c r="S147" i="3"/>
  <c r="S156" i="3"/>
  <c r="R147" i="3"/>
  <c r="R156" i="3" s="1"/>
  <c r="Q147" i="3"/>
  <c r="N147" i="3"/>
  <c r="N156" i="3"/>
  <c r="M147" i="3"/>
  <c r="L147" i="3"/>
  <c r="K147" i="3"/>
  <c r="K156" i="3"/>
  <c r="J147" i="3"/>
  <c r="J156" i="3" s="1"/>
  <c r="I147" i="3"/>
  <c r="I156" i="3"/>
  <c r="H147" i="3"/>
  <c r="H156" i="3" s="1"/>
  <c r="G147" i="3"/>
  <c r="G156" i="3"/>
  <c r="F147" i="3"/>
  <c r="F156" i="3"/>
  <c r="E147" i="3"/>
  <c r="D147" i="3"/>
  <c r="D156" i="3"/>
  <c r="X133" i="3"/>
  <c r="E133" i="3"/>
  <c r="D133" i="3"/>
  <c r="D163" i="4"/>
  <c r="D17" i="2"/>
  <c r="D230" i="2"/>
  <c r="R230" i="2" s="1"/>
  <c r="E17" i="2"/>
  <c r="E230" i="2"/>
  <c r="F17" i="2"/>
  <c r="F230" i="2"/>
  <c r="G17" i="2"/>
  <c r="G230" i="2"/>
  <c r="H17" i="2"/>
  <c r="H95" i="2"/>
  <c r="H140" i="2"/>
  <c r="H141" i="2" s="1"/>
  <c r="H231" i="2"/>
  <c r="H232" i="2" s="1"/>
  <c r="H369" i="2" s="1"/>
  <c r="H370" i="2" s="1"/>
  <c r="H139" i="2"/>
  <c r="H230" i="2"/>
  <c r="I17" i="2"/>
  <c r="I230" i="2"/>
  <c r="J17" i="2"/>
  <c r="J230" i="2"/>
  <c r="K17" i="2"/>
  <c r="K230" i="2"/>
  <c r="L17" i="2"/>
  <c r="L230" i="2"/>
  <c r="M17" i="2"/>
  <c r="M95" i="2"/>
  <c r="M140" i="2"/>
  <c r="M141" i="2" s="1"/>
  <c r="M230" i="2"/>
  <c r="N17" i="2"/>
  <c r="N95" i="2"/>
  <c r="N140" i="2" s="1"/>
  <c r="N141" i="2" s="1"/>
  <c r="N231" i="2" s="1"/>
  <c r="N232" i="2" s="1"/>
  <c r="N369" i="2" s="1"/>
  <c r="N370" i="2" s="1"/>
  <c r="N230" i="2"/>
  <c r="O17" i="2"/>
  <c r="O95" i="2" s="1"/>
  <c r="O230" i="2"/>
  <c r="P17" i="2"/>
  <c r="P139" i="2"/>
  <c r="P221" i="2"/>
  <c r="P230" i="2"/>
  <c r="P343" i="2"/>
  <c r="Q17" i="2"/>
  <c r="Q139" i="2"/>
  <c r="Q230" i="2"/>
  <c r="T17" i="2"/>
  <c r="T95" i="2" s="1"/>
  <c r="T140" i="2" s="1"/>
  <c r="T139" i="2"/>
  <c r="T230" i="2"/>
  <c r="W17" i="2"/>
  <c r="W95" i="2"/>
  <c r="W139" i="2"/>
  <c r="W140" i="2" s="1"/>
  <c r="W141" i="2" s="1"/>
  <c r="W221" i="2"/>
  <c r="X221" i="2" s="1"/>
  <c r="W230" i="2"/>
  <c r="W343" i="2"/>
  <c r="Z17" i="2"/>
  <c r="Z139" i="2"/>
  <c r="Z230" i="2"/>
  <c r="F154" i="4"/>
  <c r="F123" i="3"/>
  <c r="O163" i="4"/>
  <c r="Q18" i="4"/>
  <c r="Q52" i="4"/>
  <c r="Q71" i="4" s="1"/>
  <c r="Q72" i="4" s="1"/>
  <c r="Q31" i="4"/>
  <c r="Q48" i="4" s="1"/>
  <c r="Q69" i="4"/>
  <c r="Q92" i="4"/>
  <c r="Q110" i="4"/>
  <c r="Q127" i="4"/>
  <c r="Q142" i="4"/>
  <c r="Q140" i="4"/>
  <c r="Q154" i="4"/>
  <c r="Q163" i="4"/>
  <c r="Q199" i="4"/>
  <c r="V18" i="4"/>
  <c r="V52" i="4" s="1"/>
  <c r="V31" i="4"/>
  <c r="V48" i="4"/>
  <c r="V71" i="4"/>
  <c r="V72" i="4" s="1"/>
  <c r="V69" i="4"/>
  <c r="V92" i="4"/>
  <c r="V110" i="4"/>
  <c r="V114" i="4" s="1"/>
  <c r="V127" i="4"/>
  <c r="V140" i="4"/>
  <c r="V142" i="4"/>
  <c r="V154" i="4"/>
  <c r="V163" i="4"/>
  <c r="V166" i="4" s="1"/>
  <c r="V199" i="4"/>
  <c r="W18" i="4"/>
  <c r="W31" i="4"/>
  <c r="W48" i="4"/>
  <c r="W52" i="4"/>
  <c r="W71" i="4" s="1"/>
  <c r="W72" i="4" s="1"/>
  <c r="W69" i="4"/>
  <c r="W92" i="4"/>
  <c r="W110" i="4"/>
  <c r="W127" i="4"/>
  <c r="W140" i="4"/>
  <c r="W142" i="4" s="1"/>
  <c r="X142" i="4" s="1"/>
  <c r="W154" i="4"/>
  <c r="W163" i="4"/>
  <c r="W166" i="4" s="1"/>
  <c r="W199" i="4"/>
  <c r="D18" i="4"/>
  <c r="E18" i="4"/>
  <c r="E52" i="4"/>
  <c r="E71" i="4"/>
  <c r="E72" i="4" s="1"/>
  <c r="F18" i="4"/>
  <c r="G18" i="4"/>
  <c r="G31" i="4"/>
  <c r="G48" i="4"/>
  <c r="G52" i="4" s="1"/>
  <c r="G71" i="4" s="1"/>
  <c r="G72" i="4" s="1"/>
  <c r="G115" i="4" s="1"/>
  <c r="G116" i="4" s="1"/>
  <c r="G143" i="4" s="1"/>
  <c r="G144" i="4" s="1"/>
  <c r="G69" i="4"/>
  <c r="G92" i="4"/>
  <c r="G114" i="4"/>
  <c r="G110" i="4"/>
  <c r="H18" i="4"/>
  <c r="H31" i="4"/>
  <c r="H69" i="4"/>
  <c r="H92" i="4"/>
  <c r="H110" i="4"/>
  <c r="I18" i="4"/>
  <c r="I52" i="4" s="1"/>
  <c r="I71" i="4" s="1"/>
  <c r="I72" i="4" s="1"/>
  <c r="I115" i="4" s="1"/>
  <c r="I116" i="4" s="1"/>
  <c r="I143" i="4" s="1"/>
  <c r="I144" i="4" s="1"/>
  <c r="I31" i="4"/>
  <c r="I48" i="4" s="1"/>
  <c r="I69" i="4"/>
  <c r="I92" i="4"/>
  <c r="I114" i="4"/>
  <c r="J18" i="4"/>
  <c r="J48" i="4"/>
  <c r="J92" i="4"/>
  <c r="J114" i="4" s="1"/>
  <c r="K18" i="4"/>
  <c r="K31" i="4"/>
  <c r="K69" i="4"/>
  <c r="K92" i="4"/>
  <c r="K114" i="4"/>
  <c r="K110" i="4"/>
  <c r="L18" i="4"/>
  <c r="L52" i="4" s="1"/>
  <c r="L71" i="4" s="1"/>
  <c r="L72" i="4" s="1"/>
  <c r="L115" i="4" s="1"/>
  <c r="L116" i="4" s="1"/>
  <c r="L143" i="4" s="1"/>
  <c r="L144" i="4" s="1"/>
  <c r="L31" i="4"/>
  <c r="L48" i="4"/>
  <c r="L92" i="4"/>
  <c r="M18" i="4"/>
  <c r="M31" i="4"/>
  <c r="M48" i="4" s="1"/>
  <c r="M52" i="4" s="1"/>
  <c r="M71" i="4" s="1"/>
  <c r="M72" i="4" s="1"/>
  <c r="M92" i="4"/>
  <c r="N18" i="4"/>
  <c r="N31" i="4"/>
  <c r="N48" i="4" s="1"/>
  <c r="N69" i="4"/>
  <c r="N92" i="4"/>
  <c r="N110" i="4"/>
  <c r="O18" i="4"/>
  <c r="O52" i="4" s="1"/>
  <c r="O31" i="4"/>
  <c r="O48" i="4" s="1"/>
  <c r="O71" i="4"/>
  <c r="O72" i="4" s="1"/>
  <c r="O115" i="4" s="1"/>
  <c r="O116" i="4" s="1"/>
  <c r="O69" i="4"/>
  <c r="O92" i="4"/>
  <c r="O114" i="4" s="1"/>
  <c r="O110" i="4"/>
  <c r="P18" i="4"/>
  <c r="P31" i="4"/>
  <c r="P69" i="4"/>
  <c r="P92" i="4"/>
  <c r="P110" i="4"/>
  <c r="D140" i="4"/>
  <c r="F127" i="4"/>
  <c r="F142" i="4"/>
  <c r="G127" i="4"/>
  <c r="G140" i="4"/>
  <c r="H127" i="4"/>
  <c r="H140" i="4"/>
  <c r="I127" i="4"/>
  <c r="I140" i="4"/>
  <c r="I142" i="4"/>
  <c r="J127" i="4"/>
  <c r="J140" i="4"/>
  <c r="K127" i="4"/>
  <c r="K140" i="4"/>
  <c r="K142" i="4" s="1"/>
  <c r="L127" i="4"/>
  <c r="L142" i="4"/>
  <c r="L140" i="4"/>
  <c r="M127" i="4"/>
  <c r="M140" i="4"/>
  <c r="N127" i="4"/>
  <c r="N142" i="4" s="1"/>
  <c r="N140" i="4"/>
  <c r="O127" i="4"/>
  <c r="O142" i="4"/>
  <c r="O140" i="4"/>
  <c r="P127" i="4"/>
  <c r="P142" i="4" s="1"/>
  <c r="P140" i="4"/>
  <c r="G154" i="4"/>
  <c r="H154" i="4"/>
  <c r="I154" i="4"/>
  <c r="J154" i="4"/>
  <c r="K154" i="4"/>
  <c r="L154" i="4"/>
  <c r="M154" i="4"/>
  <c r="N154" i="4"/>
  <c r="O154" i="4"/>
  <c r="P154" i="4"/>
  <c r="G163" i="4"/>
  <c r="H163" i="4"/>
  <c r="I163" i="4"/>
  <c r="J163" i="4"/>
  <c r="K163" i="4"/>
  <c r="K166" i="4" s="1"/>
  <c r="M163" i="4"/>
  <c r="P163" i="4"/>
  <c r="K199" i="4"/>
  <c r="L199" i="4"/>
  <c r="M199" i="4"/>
  <c r="N199" i="4"/>
  <c r="O199" i="4"/>
  <c r="P199" i="4"/>
  <c r="E199" i="4"/>
  <c r="G199" i="4"/>
  <c r="H199" i="4"/>
  <c r="I199" i="4"/>
  <c r="R199" i="4" s="1"/>
  <c r="J199" i="4"/>
  <c r="D199" i="4"/>
  <c r="Y199" i="4"/>
  <c r="E17" i="3"/>
  <c r="E29" i="3"/>
  <c r="E41" i="3"/>
  <c r="E43" i="3" s="1"/>
  <c r="E71" i="3"/>
  <c r="E79" i="3"/>
  <c r="E83" i="3"/>
  <c r="E95" i="3"/>
  <c r="E109" i="3" s="1"/>
  <c r="F17" i="3"/>
  <c r="F29" i="3"/>
  <c r="F43" i="3"/>
  <c r="F44" i="3"/>
  <c r="F50" i="3" s="1"/>
  <c r="F51" i="3" s="1"/>
  <c r="F71" i="3"/>
  <c r="F95" i="3"/>
  <c r="D17" i="3"/>
  <c r="D51" i="3"/>
  <c r="D29" i="3"/>
  <c r="D43" i="3"/>
  <c r="D44" i="3" s="1"/>
  <c r="D50" i="3" s="1"/>
  <c r="D71" i="3"/>
  <c r="D83" i="3"/>
  <c r="D79" i="3"/>
  <c r="D95" i="3"/>
  <c r="D106" i="3"/>
  <c r="D109" i="3" s="1"/>
  <c r="D123" i="3"/>
  <c r="D136" i="3" s="1"/>
  <c r="G17" i="3"/>
  <c r="G44" i="3" s="1"/>
  <c r="G50" i="3" s="1"/>
  <c r="G29" i="3"/>
  <c r="G43" i="3" s="1"/>
  <c r="G51" i="3"/>
  <c r="G41" i="3"/>
  <c r="G71" i="3"/>
  <c r="G79" i="3"/>
  <c r="G83" i="3"/>
  <c r="G95" i="3"/>
  <c r="G109" i="3"/>
  <c r="G123" i="3"/>
  <c r="H17" i="3"/>
  <c r="H29" i="3"/>
  <c r="H71" i="3"/>
  <c r="H79" i="3"/>
  <c r="H83" i="3" s="1"/>
  <c r="H95" i="3"/>
  <c r="H109" i="3" s="1"/>
  <c r="H123" i="3"/>
  <c r="H133" i="3"/>
  <c r="I17" i="3"/>
  <c r="I29" i="3"/>
  <c r="I41" i="3"/>
  <c r="I43" i="3" s="1"/>
  <c r="I44" i="3" s="1"/>
  <c r="I50" i="3" s="1"/>
  <c r="I51" i="3" s="1"/>
  <c r="I71" i="3"/>
  <c r="I83" i="3" s="1"/>
  <c r="I79" i="3"/>
  <c r="I95" i="3"/>
  <c r="I109" i="3" s="1"/>
  <c r="I106" i="3"/>
  <c r="I123" i="3"/>
  <c r="I133" i="3"/>
  <c r="J17" i="3"/>
  <c r="J51" i="3"/>
  <c r="J84" i="3" s="1"/>
  <c r="J85" i="3" s="1"/>
  <c r="J29" i="3"/>
  <c r="J41" i="3"/>
  <c r="J71" i="3"/>
  <c r="J83" i="3"/>
  <c r="J79" i="3"/>
  <c r="J95" i="3"/>
  <c r="J106" i="3"/>
  <c r="J123" i="3"/>
  <c r="J136" i="3" s="1"/>
  <c r="J133" i="3"/>
  <c r="K17" i="3"/>
  <c r="K29" i="3"/>
  <c r="K43" i="3" s="1"/>
  <c r="K41" i="3"/>
  <c r="K71" i="3"/>
  <c r="K79" i="3"/>
  <c r="K95" i="3"/>
  <c r="K109" i="3" s="1"/>
  <c r="K106" i="3"/>
  <c r="K123" i="3"/>
  <c r="K133" i="3"/>
  <c r="L17" i="3"/>
  <c r="L29" i="3"/>
  <c r="L43" i="3"/>
  <c r="L44" i="3"/>
  <c r="L50" i="3" s="1"/>
  <c r="L51" i="3" s="1"/>
  <c r="L84" i="3" s="1"/>
  <c r="L85" i="3" s="1"/>
  <c r="L41" i="3"/>
  <c r="L71" i="3"/>
  <c r="L83" i="3" s="1"/>
  <c r="L79" i="3"/>
  <c r="L95" i="3"/>
  <c r="L106" i="3"/>
  <c r="L123" i="3"/>
  <c r="L133" i="3"/>
  <c r="M17" i="3"/>
  <c r="M29" i="3"/>
  <c r="M43" i="3" s="1"/>
  <c r="M44" i="3" s="1"/>
  <c r="M50" i="3" s="1"/>
  <c r="M51" i="3" s="1"/>
  <c r="M41" i="3"/>
  <c r="M71" i="3"/>
  <c r="M79" i="3"/>
  <c r="M83" i="3" s="1"/>
  <c r="M95" i="3"/>
  <c r="M106" i="3"/>
  <c r="M109" i="3" s="1"/>
  <c r="M123" i="3"/>
  <c r="M136" i="3" s="1"/>
  <c r="M133" i="3"/>
  <c r="N17" i="3"/>
  <c r="N29" i="3"/>
  <c r="N43" i="3"/>
  <c r="N44" i="3" s="1"/>
  <c r="N50" i="3" s="1"/>
  <c r="N51" i="3" s="1"/>
  <c r="N41" i="3"/>
  <c r="N71" i="3"/>
  <c r="N79" i="3"/>
  <c r="N83" i="3" s="1"/>
  <c r="N95" i="3"/>
  <c r="N106" i="3"/>
  <c r="N123" i="3"/>
  <c r="Q43" i="3"/>
  <c r="Q71" i="3"/>
  <c r="Q83" i="3" s="1"/>
  <c r="Q79" i="3"/>
  <c r="Q95" i="3"/>
  <c r="Q109" i="3"/>
  <c r="Q106" i="3"/>
  <c r="Q123" i="3"/>
  <c r="Q133" i="3"/>
  <c r="R43" i="3"/>
  <c r="R71" i="3"/>
  <c r="R83" i="3" s="1"/>
  <c r="R79" i="3"/>
  <c r="R95" i="3"/>
  <c r="R109" i="3" s="1"/>
  <c r="R106" i="3"/>
  <c r="R123" i="3"/>
  <c r="R133" i="3"/>
  <c r="S29" i="3"/>
  <c r="S43" i="3" s="1"/>
  <c r="S41" i="3"/>
  <c r="S71" i="3"/>
  <c r="S79" i="3"/>
  <c r="S95" i="3"/>
  <c r="S106" i="3"/>
  <c r="S109" i="3" s="1"/>
  <c r="S123" i="3"/>
  <c r="S133" i="3"/>
  <c r="T17" i="3"/>
  <c r="T44" i="3" s="1"/>
  <c r="T50" i="3" s="1"/>
  <c r="T29" i="3"/>
  <c r="T43" i="3" s="1"/>
  <c r="T51" i="3"/>
  <c r="T84" i="3" s="1"/>
  <c r="T85" i="3" s="1"/>
  <c r="T41" i="3"/>
  <c r="T71" i="3"/>
  <c r="T83" i="3"/>
  <c r="T79" i="3"/>
  <c r="T95" i="3"/>
  <c r="T109" i="3"/>
  <c r="T106" i="3"/>
  <c r="T123" i="3"/>
  <c r="T133" i="3"/>
  <c r="D166" i="3"/>
  <c r="E166" i="3"/>
  <c r="F166" i="3"/>
  <c r="G166" i="3"/>
  <c r="H166" i="3"/>
  <c r="I166" i="3"/>
  <c r="J166" i="3"/>
  <c r="K166" i="3"/>
  <c r="L166" i="3"/>
  <c r="M166" i="3"/>
  <c r="N166" i="3"/>
  <c r="Q166" i="3"/>
  <c r="R166" i="3"/>
  <c r="S166" i="3"/>
  <c r="T166" i="3"/>
  <c r="X17" i="3"/>
  <c r="X41" i="3"/>
  <c r="X79" i="3"/>
  <c r="X106" i="3"/>
  <c r="X166" i="3"/>
  <c r="S126" i="1"/>
  <c r="N126" i="1"/>
  <c r="T126" i="1"/>
  <c r="S16" i="1"/>
  <c r="S43" i="1"/>
  <c r="S44" i="1" s="1"/>
  <c r="S46" i="1" s="1"/>
  <c r="S47" i="1" s="1"/>
  <c r="S96" i="1" s="1"/>
  <c r="S83" i="1"/>
  <c r="M16" i="1"/>
  <c r="M43" i="1"/>
  <c r="M44" i="1" s="1"/>
  <c r="M46" i="1" s="1"/>
  <c r="M47" i="1" s="1"/>
  <c r="M83" i="1"/>
  <c r="M95" i="1"/>
  <c r="N16" i="1"/>
  <c r="N43" i="1"/>
  <c r="N44" i="1" s="1"/>
  <c r="N46" i="1" s="1"/>
  <c r="N47" i="1" s="1"/>
  <c r="N95" i="1"/>
  <c r="R126" i="1"/>
  <c r="R16" i="1"/>
  <c r="R44" i="1" s="1"/>
  <c r="R46" i="1" s="1"/>
  <c r="R47" i="1" s="1"/>
  <c r="R83" i="1"/>
  <c r="R95" i="1"/>
  <c r="T16" i="1"/>
  <c r="T43" i="1"/>
  <c r="T83" i="1"/>
  <c r="T95" i="1"/>
  <c r="E16" i="1"/>
  <c r="E43" i="1"/>
  <c r="E44" i="1" s="1"/>
  <c r="E46" i="1" s="1"/>
  <c r="E47" i="1" s="1"/>
  <c r="E83" i="1"/>
  <c r="E95" i="1"/>
  <c r="F16" i="1"/>
  <c r="F43" i="1"/>
  <c r="F44" i="1" s="1"/>
  <c r="F46" i="1" s="1"/>
  <c r="F47" i="1" s="1"/>
  <c r="F83" i="1"/>
  <c r="F95" i="1"/>
  <c r="L16" i="1"/>
  <c r="L43" i="1"/>
  <c r="L83" i="1"/>
  <c r="L95" i="1"/>
  <c r="J16" i="1"/>
  <c r="J43" i="1"/>
  <c r="J44" i="1"/>
  <c r="J46" i="1" s="1"/>
  <c r="J47" i="1" s="1"/>
  <c r="J95" i="1"/>
  <c r="D16" i="1"/>
  <c r="D95" i="1"/>
  <c r="G16" i="1"/>
  <c r="G43" i="1"/>
  <c r="G44" i="1" s="1"/>
  <c r="G46" i="1" s="1"/>
  <c r="G47" i="1" s="1"/>
  <c r="G96" i="1" s="1"/>
  <c r="G97" i="1" s="1"/>
  <c r="G148" i="1" s="1"/>
  <c r="G149" i="1" s="1"/>
  <c r="G95" i="1"/>
  <c r="H16" i="1"/>
  <c r="H95" i="1"/>
  <c r="I16" i="1"/>
  <c r="I95" i="1"/>
  <c r="K16" i="1"/>
  <c r="K44" i="1" s="1"/>
  <c r="K46" i="1" s="1"/>
  <c r="K47" i="1" s="1"/>
  <c r="K95" i="1"/>
  <c r="Q16" i="1"/>
  <c r="Q43" i="1"/>
  <c r="Q83" i="1"/>
  <c r="Q95" i="1"/>
  <c r="Q126" i="1"/>
  <c r="Q191" i="3"/>
  <c r="Q198" i="3"/>
  <c r="R191" i="3"/>
  <c r="R201" i="3"/>
  <c r="R198" i="3"/>
  <c r="Y17" i="4"/>
  <c r="I179" i="1"/>
  <c r="D191" i="3"/>
  <c r="D201" i="3" s="1"/>
  <c r="G191" i="3"/>
  <c r="G201" i="3"/>
  <c r="L198" i="3"/>
  <c r="L201" i="3" s="1"/>
  <c r="G222" i="4"/>
  <c r="G238" i="4"/>
  <c r="H222" i="4"/>
  <c r="H238" i="4"/>
  <c r="I238" i="4"/>
  <c r="K222" i="4"/>
  <c r="K238" i="4"/>
  <c r="R238" i="4" s="1"/>
  <c r="Y238" i="4" s="1"/>
  <c r="L222" i="4"/>
  <c r="L238" i="4"/>
  <c r="L241" i="4"/>
  <c r="M222" i="4"/>
  <c r="M241" i="4" s="1"/>
  <c r="M238" i="4"/>
  <c r="N238" i="4"/>
  <c r="O238" i="4"/>
  <c r="O241" i="4"/>
  <c r="P222" i="4"/>
  <c r="P238" i="4"/>
  <c r="P241" i="4" s="1"/>
  <c r="Q222" i="4"/>
  <c r="Q241" i="4" s="1"/>
  <c r="Q238" i="4"/>
  <c r="V222" i="4"/>
  <c r="V241" i="4"/>
  <c r="V238" i="4"/>
  <c r="W222" i="4"/>
  <c r="W238" i="4"/>
  <c r="W241" i="4"/>
  <c r="L191" i="3"/>
  <c r="H191" i="3"/>
  <c r="H201" i="3"/>
  <c r="H198" i="3"/>
  <c r="I191" i="3"/>
  <c r="I198" i="3"/>
  <c r="J191" i="3"/>
  <c r="J201" i="3" s="1"/>
  <c r="J198" i="3"/>
  <c r="K191" i="3"/>
  <c r="K201" i="3"/>
  <c r="K198" i="3"/>
  <c r="M191" i="3"/>
  <c r="M198" i="3"/>
  <c r="N191" i="3"/>
  <c r="N201" i="3" s="1"/>
  <c r="S191" i="3"/>
  <c r="S198" i="3"/>
  <c r="T191" i="3"/>
  <c r="T201" i="3"/>
  <c r="T198" i="3"/>
  <c r="G179" i="1"/>
  <c r="J179" i="1"/>
  <c r="K144" i="1"/>
  <c r="K179" i="1"/>
  <c r="N144" i="1"/>
  <c r="Q179" i="1"/>
  <c r="R144" i="1"/>
  <c r="R179" i="1"/>
  <c r="T144" i="1"/>
  <c r="T179" i="1"/>
  <c r="P454" i="2"/>
  <c r="W454" i="2"/>
  <c r="I500" i="3"/>
  <c r="I511" i="1"/>
  <c r="E154" i="4"/>
  <c r="O221" i="2"/>
  <c r="N186" i="4"/>
  <c r="D154" i="4"/>
  <c r="D166" i="4" s="1"/>
  <c r="F238" i="4"/>
  <c r="N163" i="4"/>
  <c r="E238" i="4"/>
  <c r="D127" i="4"/>
  <c r="D142" i="4" s="1"/>
  <c r="O343" i="2"/>
  <c r="N139" i="2"/>
  <c r="T343" i="2"/>
  <c r="X343" i="2" s="1"/>
  <c r="T221" i="2"/>
  <c r="O139" i="2"/>
  <c r="N454" i="2"/>
  <c r="I454" i="2"/>
  <c r="M126" i="1"/>
  <c r="E123" i="3"/>
  <c r="E136" i="3" s="1"/>
  <c r="N133" i="3"/>
  <c r="X191" i="3"/>
  <c r="X201" i="3"/>
  <c r="N198" i="3"/>
  <c r="E106" i="3"/>
  <c r="E198" i="3"/>
  <c r="E201" i="3" s="1"/>
  <c r="X71" i="3"/>
  <c r="X83" i="3" s="1"/>
  <c r="E191" i="3"/>
  <c r="Q144" i="1"/>
  <c r="N179" i="1"/>
  <c r="F144" i="1"/>
  <c r="M179" i="1"/>
  <c r="E126" i="1"/>
  <c r="L179" i="1"/>
  <c r="E179" i="1"/>
  <c r="S144" i="1"/>
  <c r="S148" i="1" s="1"/>
  <c r="S149" i="1" s="1"/>
  <c r="I222" i="4"/>
  <c r="I241" i="4" s="1"/>
  <c r="F222" i="4"/>
  <c r="R222" i="4" s="1"/>
  <c r="Y222" i="4" s="1"/>
  <c r="F241" i="4"/>
  <c r="T454" i="2"/>
  <c r="X454" i="2" s="1"/>
  <c r="M454" i="2"/>
  <c r="G454" i="2"/>
  <c r="V221" i="2"/>
  <c r="X166" i="2"/>
  <c r="L110" i="4"/>
  <c r="L114" i="4"/>
  <c r="D110" i="4"/>
  <c r="R57" i="4"/>
  <c r="Y57" i="4" s="1"/>
  <c r="D69" i="4"/>
  <c r="E110" i="4"/>
  <c r="E114" i="4" s="1"/>
  <c r="E115" i="4" s="1"/>
  <c r="E116" i="4" s="1"/>
  <c r="R95" i="4"/>
  <c r="Y95" i="4" s="1"/>
  <c r="O109" i="1"/>
  <c r="W109" i="1" s="1"/>
  <c r="O128" i="1"/>
  <c r="K83" i="1"/>
  <c r="O118" i="1"/>
  <c r="W118" i="1" s="1"/>
  <c r="O121" i="1"/>
  <c r="L126" i="1"/>
  <c r="F126" i="1"/>
  <c r="O119" i="1"/>
  <c r="W119" i="1" s="1"/>
  <c r="J126" i="1"/>
  <c r="I126" i="1"/>
  <c r="J83" i="1"/>
  <c r="H126" i="1"/>
  <c r="O106" i="1"/>
  <c r="W106" i="1" s="1"/>
  <c r="O99" i="1"/>
  <c r="W99" i="1" s="1"/>
  <c r="R337" i="2"/>
  <c r="Y337" i="2" s="1"/>
  <c r="M343" i="2"/>
  <c r="R128" i="2"/>
  <c r="R250" i="2"/>
  <c r="R380" i="2"/>
  <c r="Y380" i="2" s="1"/>
  <c r="R374" i="2"/>
  <c r="Y374" i="2" s="1"/>
  <c r="R245" i="2"/>
  <c r="R309" i="2"/>
  <c r="Y309" i="2" s="1"/>
  <c r="R283" i="2"/>
  <c r="R338" i="2"/>
  <c r="Y338" i="2" s="1"/>
  <c r="R325" i="2"/>
  <c r="Y325" i="2"/>
  <c r="R327" i="2"/>
  <c r="Y327" i="2" s="1"/>
  <c r="D139" i="2"/>
  <c r="R315" i="2"/>
  <c r="Y315" i="2" s="1"/>
  <c r="R317" i="2"/>
  <c r="Y317" i="2" s="1"/>
  <c r="R328" i="2"/>
  <c r="Y328" i="2" s="1"/>
  <c r="R381" i="2"/>
  <c r="Y381" i="2" s="1"/>
  <c r="R345" i="2"/>
  <c r="Y345" i="2" s="1"/>
  <c r="R372" i="2"/>
  <c r="Y372" i="2" s="1"/>
  <c r="R339" i="2"/>
  <c r="Y339" i="2"/>
  <c r="R102" i="2"/>
  <c r="Y102" i="2" s="1"/>
  <c r="R379" i="2"/>
  <c r="Y379" i="2"/>
  <c r="F365" i="2"/>
  <c r="N343" i="2"/>
  <c r="H343" i="2"/>
  <c r="R390" i="2"/>
  <c r="Y390" i="2" s="1"/>
  <c r="O454" i="2"/>
  <c r="R104" i="2"/>
  <c r="R296" i="2"/>
  <c r="Y296" i="2" s="1"/>
  <c r="R388" i="2"/>
  <c r="Y388" i="2" s="1"/>
  <c r="O152" i="1"/>
  <c r="W152" i="1" s="1"/>
  <c r="O186" i="1"/>
  <c r="W186" i="1" s="1"/>
  <c r="O191" i="1"/>
  <c r="W191" i="1" s="1"/>
  <c r="D210" i="1"/>
  <c r="R184" i="4"/>
  <c r="Y184" i="4"/>
  <c r="X147" i="3"/>
  <c r="X156" i="3" s="1"/>
  <c r="F133" i="3"/>
  <c r="O126" i="3"/>
  <c r="O150" i="3"/>
  <c r="W150" i="3" s="1"/>
  <c r="R179" i="4"/>
  <c r="R170" i="4"/>
  <c r="Y170" i="4"/>
  <c r="R182" i="4"/>
  <c r="Y182" i="4" s="1"/>
  <c r="E163" i="4"/>
  <c r="Y103" i="4"/>
  <c r="Y160" i="4"/>
  <c r="R178" i="4"/>
  <c r="Y178" i="4"/>
  <c r="L186" i="4"/>
  <c r="L189" i="4" s="1"/>
  <c r="O99" i="3"/>
  <c r="W99" i="3" s="1"/>
  <c r="D31" i="4"/>
  <c r="J43" i="3"/>
  <c r="J44" i="3" s="1"/>
  <c r="J50" i="3" s="1"/>
  <c r="O16" i="1"/>
  <c r="U30" i="1"/>
  <c r="O25" i="1"/>
  <c r="W25" i="1" s="1"/>
  <c r="O32" i="3"/>
  <c r="W32" i="3" s="1"/>
  <c r="R66" i="4"/>
  <c r="P48" i="4"/>
  <c r="K48" i="4"/>
  <c r="T48" i="4"/>
  <c r="X48" i="4" s="1"/>
  <c r="X18" i="4"/>
  <c r="X127" i="4"/>
  <c r="R35" i="4"/>
  <c r="Y35" i="4"/>
  <c r="L69" i="4"/>
  <c r="R69" i="4" s="1"/>
  <c r="Y69" i="4" s="1"/>
  <c r="Y27" i="4"/>
  <c r="Y67" i="4"/>
  <c r="U52" i="4"/>
  <c r="U71" i="4" s="1"/>
  <c r="U72" i="4" s="1"/>
  <c r="Y38" i="4"/>
  <c r="O19" i="1"/>
  <c r="W19" i="1" s="1"/>
  <c r="D43" i="1"/>
  <c r="Q44" i="1"/>
  <c r="Q46" i="1" s="1"/>
  <c r="Q47" i="1" s="1"/>
  <c r="Q96" i="1" s="1"/>
  <c r="Q97" i="1" s="1"/>
  <c r="Q148" i="1" s="1"/>
  <c r="Q149" i="1" s="1"/>
  <c r="T44" i="1"/>
  <c r="T46" i="1" s="1"/>
  <c r="T47" i="1" s="1"/>
  <c r="J139" i="2"/>
  <c r="Y234" i="4"/>
  <c r="P166" i="4"/>
  <c r="J142" i="4"/>
  <c r="J189" i="4"/>
  <c r="Y174" i="4"/>
  <c r="Y226" i="4"/>
  <c r="Y230" i="4"/>
  <c r="G142" i="4"/>
  <c r="N241" i="4"/>
  <c r="W73" i="3"/>
  <c r="J109" i="3"/>
  <c r="W193" i="1"/>
  <c r="R51" i="2"/>
  <c r="Y51" i="2" s="1"/>
  <c r="R114" i="2"/>
  <c r="R150" i="2"/>
  <c r="Y150" i="2" s="1"/>
  <c r="R98" i="2"/>
  <c r="V139" i="2"/>
  <c r="U91" i="2"/>
  <c r="L139" i="2"/>
  <c r="R62" i="2"/>
  <c r="Y62" i="2" s="1"/>
  <c r="V140" i="2"/>
  <c r="V141" i="2"/>
  <c r="V231" i="2" s="1"/>
  <c r="V232" i="2" s="1"/>
  <c r="V369" i="2" s="1"/>
  <c r="V370" i="2"/>
  <c r="Y15" i="2"/>
  <c r="Y17" i="2"/>
  <c r="R50" i="2"/>
  <c r="Y50" i="2"/>
  <c r="R29" i="2"/>
  <c r="R149" i="2"/>
  <c r="Y149" i="2" s="1"/>
  <c r="O51" i="1"/>
  <c r="F110" i="4"/>
  <c r="F221" i="2"/>
  <c r="P114" i="4"/>
  <c r="H114" i="4"/>
  <c r="N114" i="4"/>
  <c r="M115" i="4"/>
  <c r="M116" i="4" s="1"/>
  <c r="Q114" i="4"/>
  <c r="U114" i="4"/>
  <c r="U115" i="4" s="1"/>
  <c r="U116" i="4" s="1"/>
  <c r="U143" i="4" s="1"/>
  <c r="U144" i="4" s="1"/>
  <c r="X92" i="4"/>
  <c r="D114" i="4"/>
  <c r="K83" i="3"/>
  <c r="Y198" i="2"/>
  <c r="Y505" i="2"/>
  <c r="Y498" i="2"/>
  <c r="Y458" i="2"/>
  <c r="N221" i="2"/>
  <c r="Q91" i="2"/>
  <c r="Q95" i="2" s="1"/>
  <c r="Q140" i="2" s="1"/>
  <c r="Q141" i="2" s="1"/>
  <c r="Q231" i="2" s="1"/>
  <c r="Q232" i="2" s="1"/>
  <c r="Q369" i="2" s="1"/>
  <c r="Q370" i="2" s="1"/>
  <c r="R21" i="2"/>
  <c r="Y21" i="2" s="1"/>
  <c r="Z91" i="2"/>
  <c r="Y420" i="2"/>
  <c r="L91" i="2"/>
  <c r="L95" i="2"/>
  <c r="L140" i="2" s="1"/>
  <c r="L141" i="2" s="1"/>
  <c r="L231" i="2" s="1"/>
  <c r="L232" i="2" s="1"/>
  <c r="R52" i="2"/>
  <c r="R160" i="2"/>
  <c r="Y160" i="2" s="1"/>
  <c r="E221" i="2"/>
  <c r="R107" i="2"/>
  <c r="X230" i="2"/>
  <c r="Y230" i="2"/>
  <c r="O140" i="2"/>
  <c r="O141" i="2" s="1"/>
  <c r="O231" i="2" s="1"/>
  <c r="O232" i="2" s="1"/>
  <c r="O369" i="2" s="1"/>
  <c r="O370" i="2" s="1"/>
  <c r="R26" i="2"/>
  <c r="Y26" i="2"/>
  <c r="R119" i="2"/>
  <c r="Y119" i="2" s="1"/>
  <c r="R56" i="2"/>
  <c r="Y56" i="2"/>
  <c r="I221" i="2"/>
  <c r="R177" i="2"/>
  <c r="Y177" i="2" s="1"/>
  <c r="X139" i="2"/>
  <c r="Y352" i="2"/>
  <c r="R117" i="2"/>
  <c r="Y117" i="2"/>
  <c r="R60" i="2"/>
  <c r="Y60" i="2" s="1"/>
  <c r="R142" i="2"/>
  <c r="Y142" i="2"/>
  <c r="R169" i="2"/>
  <c r="Y169" i="2" s="1"/>
  <c r="P95" i="2"/>
  <c r="P140" i="2" s="1"/>
  <c r="P141" i="2" s="1"/>
  <c r="P231" i="2" s="1"/>
  <c r="P232" i="2" s="1"/>
  <c r="P369" i="2" s="1"/>
  <c r="P370" i="2" s="1"/>
  <c r="P455" i="2" s="1"/>
  <c r="P456" i="2" s="1"/>
  <c r="P514" i="2" s="1"/>
  <c r="P519" i="2" s="1"/>
  <c r="U95" i="2"/>
  <c r="U140" i="2"/>
  <c r="U141" i="2"/>
  <c r="U231" i="2" s="1"/>
  <c r="U232" i="2" s="1"/>
  <c r="U369" i="2" s="1"/>
  <c r="U370" i="2" s="1"/>
  <c r="Y360" i="2"/>
  <c r="R47" i="2"/>
  <c r="Y47" i="2" s="1"/>
  <c r="G91" i="2"/>
  <c r="G95" i="2"/>
  <c r="G140" i="2" s="1"/>
  <c r="G141" i="2" s="1"/>
  <c r="G231" i="2" s="1"/>
  <c r="G232" i="2" s="1"/>
  <c r="G369" i="2" s="1"/>
  <c r="G370" i="2" s="1"/>
  <c r="R120" i="2"/>
  <c r="Y120" i="2" s="1"/>
  <c r="R58" i="2"/>
  <c r="Y58" i="2" s="1"/>
  <c r="R147" i="2"/>
  <c r="Y147" i="2"/>
  <c r="Q221" i="2"/>
  <c r="J221" i="2"/>
  <c r="R168" i="2"/>
  <c r="Y168" i="2"/>
  <c r="R191" i="2"/>
  <c r="Y191" i="2" s="1"/>
  <c r="R193" i="2"/>
  <c r="Y193" i="2"/>
  <c r="M221" i="2"/>
  <c r="K139" i="2"/>
  <c r="K91" i="2"/>
  <c r="K95" i="2" s="1"/>
  <c r="K140" i="2" s="1"/>
  <c r="K141" i="2" s="1"/>
  <c r="R53" i="2"/>
  <c r="Y53" i="2" s="1"/>
  <c r="E91" i="2"/>
  <c r="E95" i="2" s="1"/>
  <c r="E140" i="2" s="1"/>
  <c r="E141" i="2" s="1"/>
  <c r="E231" i="2" s="1"/>
  <c r="E232" i="2" s="1"/>
  <c r="E369" i="2" s="1"/>
  <c r="E370" i="2" s="1"/>
  <c r="Y93" i="2"/>
  <c r="R49" i="2"/>
  <c r="Y49" i="2"/>
  <c r="R148" i="2"/>
  <c r="Z95" i="2"/>
  <c r="Z140" i="2" s="1"/>
  <c r="Z141" i="2" s="1"/>
  <c r="R57" i="2"/>
  <c r="Y57" i="2" s="1"/>
  <c r="R143" i="2"/>
  <c r="Y143" i="2"/>
  <c r="Y353" i="2"/>
  <c r="Y386" i="2"/>
  <c r="Y433" i="2"/>
  <c r="W59" i="1"/>
  <c r="W53" i="1"/>
  <c r="W170" i="1"/>
  <c r="W154" i="1"/>
  <c r="W195" i="1"/>
  <c r="W161" i="1"/>
  <c r="W196" i="1"/>
  <c r="W204" i="1"/>
  <c r="W153" i="1"/>
  <c r="R114" i="4"/>
  <c r="W114" i="4"/>
  <c r="R110" i="4"/>
  <c r="R92" i="4"/>
  <c r="Y92" i="4" s="1"/>
  <c r="X199" i="4"/>
  <c r="D189" i="4"/>
  <c r="T241" i="4"/>
  <c r="X154" i="4"/>
  <c r="Y219" i="4"/>
  <c r="Y214" i="4"/>
  <c r="Y223" i="4"/>
  <c r="Y227" i="4"/>
  <c r="P189" i="4"/>
  <c r="E189" i="4"/>
  <c r="F189" i="4"/>
  <c r="R176" i="4"/>
  <c r="V189" i="4"/>
  <c r="Y239" i="4"/>
  <c r="Q156" i="3"/>
  <c r="M156" i="3"/>
  <c r="W196" i="3"/>
  <c r="W87" i="3"/>
  <c r="W161" i="3"/>
  <c r="W115" i="4"/>
  <c r="W116" i="4" s="1"/>
  <c r="W143" i="4" s="1"/>
  <c r="W144" i="4" s="1"/>
  <c r="R235" i="2"/>
  <c r="Y235" i="2" s="1"/>
  <c r="W57" i="1"/>
  <c r="W84" i="1"/>
  <c r="W92" i="1"/>
  <c r="W17" i="1"/>
  <c r="U83" i="1"/>
  <c r="W93" i="1"/>
  <c r="W49" i="1"/>
  <c r="W36" i="1"/>
  <c r="W29" i="1"/>
  <c r="W30" i="1"/>
  <c r="W51" i="1"/>
  <c r="W35" i="1"/>
  <c r="W121" i="1"/>
  <c r="W122" i="1"/>
  <c r="W31" i="1"/>
  <c r="U43" i="1"/>
  <c r="W89" i="1"/>
  <c r="W55" i="1"/>
  <c r="W54" i="1"/>
  <c r="W108" i="1"/>
  <c r="W32" i="1"/>
  <c r="W39" i="1"/>
  <c r="W26" i="1"/>
  <c r="W111" i="1"/>
  <c r="W27" i="1"/>
  <c r="W40" i="1"/>
  <c r="W88" i="1"/>
  <c r="U95" i="1"/>
  <c r="W113" i="1"/>
  <c r="W37" i="1"/>
  <c r="W28" i="1"/>
  <c r="O95" i="1"/>
  <c r="Y74" i="2"/>
  <c r="W104" i="1"/>
  <c r="R251" i="2"/>
  <c r="Y251" i="2"/>
  <c r="O105" i="1"/>
  <c r="W105" i="1" s="1"/>
  <c r="Q343" i="2"/>
  <c r="T141" i="2"/>
  <c r="X140" i="2"/>
  <c r="J343" i="2"/>
  <c r="R176" i="2"/>
  <c r="Y176" i="2" s="1"/>
  <c r="R151" i="2"/>
  <c r="Y151" i="2" s="1"/>
  <c r="R180" i="2"/>
  <c r="Y180" i="2"/>
  <c r="F91" i="2"/>
  <c r="F95" i="2" s="1"/>
  <c r="X95" i="2"/>
  <c r="R144" i="2"/>
  <c r="Y144" i="2" s="1"/>
  <c r="L221" i="2"/>
  <c r="Y145" i="2"/>
  <c r="R164" i="2"/>
  <c r="Y164" i="2"/>
  <c r="Y166" i="2"/>
  <c r="Y133" i="2"/>
  <c r="Y194" i="2"/>
  <c r="R276" i="2"/>
  <c r="Y276" i="2"/>
  <c r="Y186" i="2"/>
  <c r="Y97" i="2"/>
  <c r="Y199" i="2"/>
  <c r="Y261" i="2"/>
  <c r="Y45" i="2"/>
  <c r="Y222" i="2"/>
  <c r="Y167" i="2"/>
  <c r="Y111" i="2"/>
  <c r="Y37" i="2"/>
  <c r="Y29" i="2"/>
  <c r="Y75" i="2"/>
  <c r="Y72" i="2"/>
  <c r="Y52" i="2"/>
  <c r="Y67" i="2"/>
  <c r="Y153" i="2"/>
  <c r="Y33" i="2"/>
  <c r="Y69" i="2"/>
  <c r="T231" i="2"/>
  <c r="T232" i="2"/>
  <c r="T369" i="2" s="1"/>
  <c r="T370" i="2" s="1"/>
  <c r="Y250" i="2"/>
  <c r="Y184" i="2"/>
  <c r="Y206" i="2"/>
  <c r="Y115" i="2"/>
  <c r="Y128" i="2"/>
  <c r="Y225" i="2"/>
  <c r="Y98" i="2"/>
  <c r="Y114" i="2"/>
  <c r="Y130" i="2"/>
  <c r="Y308" i="2"/>
  <c r="Y300" i="2"/>
  <c r="Y104" i="2"/>
  <c r="Y228" i="2"/>
  <c r="Y255" i="2"/>
  <c r="Y175" i="2"/>
  <c r="Y173" i="2"/>
  <c r="Y318" i="2"/>
  <c r="Y84" i="2"/>
  <c r="Y20" i="2"/>
  <c r="Y25" i="2"/>
  <c r="Y39" i="2"/>
  <c r="Y229" i="2"/>
  <c r="Y307" i="2"/>
  <c r="Y154" i="2"/>
  <c r="Y161" i="2"/>
  <c r="Y207" i="2"/>
  <c r="Y208" i="2"/>
  <c r="Y246" i="2"/>
  <c r="Y185" i="2"/>
  <c r="Y285" i="2"/>
  <c r="Y302" i="2"/>
  <c r="Y64" i="2"/>
  <c r="Y275" i="2"/>
  <c r="Y224" i="2"/>
  <c r="Y148" i="2"/>
  <c r="Y23" i="2"/>
  <c r="Y254" i="2"/>
  <c r="R287" i="2"/>
  <c r="Y287" i="2" s="1"/>
  <c r="O100" i="3"/>
  <c r="F343" i="2"/>
  <c r="O110" i="1"/>
  <c r="W110" i="1" s="1"/>
  <c r="Y510" i="2"/>
  <c r="Y508" i="2"/>
  <c r="Y506" i="2"/>
  <c r="Y493" i="2"/>
  <c r="Y489" i="2"/>
  <c r="Y484" i="2"/>
  <c r="Y480" i="2"/>
  <c r="Y478" i="2"/>
  <c r="Y471" i="2"/>
  <c r="Y511" i="2"/>
  <c r="Y507" i="2"/>
  <c r="Y502" i="2"/>
  <c r="Y496" i="2"/>
  <c r="Y485" i="2"/>
  <c r="Y479" i="2"/>
  <c r="Y474" i="2"/>
  <c r="Y467" i="2"/>
  <c r="Y465" i="2"/>
  <c r="R513" i="2"/>
  <c r="Y495" i="2"/>
  <c r="Y473" i="2"/>
  <c r="Y466" i="2"/>
  <c r="O144" i="1"/>
  <c r="W187" i="1"/>
  <c r="W185" i="1"/>
  <c r="O210" i="1"/>
  <c r="W157" i="1"/>
  <c r="U210" i="1"/>
  <c r="Y58" i="4"/>
  <c r="Y120" i="4"/>
  <c r="Y131" i="4"/>
  <c r="Y135" i="4"/>
  <c r="Y137" i="4"/>
  <c r="Y33" i="4"/>
  <c r="Y63" i="4"/>
  <c r="Y66" i="4"/>
  <c r="Y79" i="4"/>
  <c r="Y83" i="4"/>
  <c r="Y87" i="4"/>
  <c r="Y147" i="4"/>
  <c r="Y85" i="4"/>
  <c r="Y97" i="4"/>
  <c r="Y96" i="4"/>
  <c r="Y119" i="4"/>
  <c r="Y146" i="4"/>
  <c r="Y36" i="4"/>
  <c r="Y20" i="4"/>
  <c r="Y28" i="4"/>
  <c r="Y98" i="4"/>
  <c r="X222" i="4"/>
  <c r="Y208" i="4"/>
  <c r="G189" i="4"/>
  <c r="G241" i="4"/>
  <c r="Y179" i="4"/>
  <c r="H241" i="4"/>
  <c r="H189" i="4"/>
  <c r="K189" i="4"/>
  <c r="T189" i="4"/>
  <c r="X238" i="4"/>
  <c r="Y229" i="4"/>
  <c r="Y237" i="4"/>
  <c r="Y183" i="4"/>
  <c r="X241" i="4"/>
  <c r="O189" i="4"/>
  <c r="E241" i="4"/>
  <c r="Y212" i="4"/>
  <c r="Y216" i="4"/>
  <c r="W151" i="3"/>
  <c r="T156" i="3"/>
  <c r="W158" i="3"/>
  <c r="I201" i="3"/>
  <c r="W175" i="3"/>
  <c r="W182" i="3"/>
  <c r="S201" i="3"/>
  <c r="O166" i="3"/>
  <c r="W166" i="3" s="1"/>
  <c r="W186" i="3"/>
  <c r="U191" i="3"/>
  <c r="W194" i="3"/>
  <c r="O147" i="3"/>
  <c r="W173" i="3"/>
  <c r="R389" i="2"/>
  <c r="Y389" i="2" s="1"/>
  <c r="R157" i="4"/>
  <c r="Y157" i="4" s="1"/>
  <c r="W126" i="3"/>
  <c r="W158" i="1"/>
  <c r="F179" i="1"/>
  <c r="K454" i="2"/>
  <c r="R409" i="2"/>
  <c r="Y409" i="2" s="1"/>
  <c r="L454" i="2"/>
  <c r="Y411" i="2"/>
  <c r="W165" i="1"/>
  <c r="H179" i="1"/>
  <c r="H136" i="3"/>
  <c r="D84" i="3"/>
  <c r="D85" i="3" s="1"/>
  <c r="D110" i="3"/>
  <c r="D111" i="3"/>
  <c r="H43" i="3"/>
  <c r="H44" i="3" s="1"/>
  <c r="H50" i="3" s="1"/>
  <c r="H51" i="3" s="1"/>
  <c r="G110" i="3"/>
  <c r="G111" i="3" s="1"/>
  <c r="G84" i="3"/>
  <c r="G85" i="3" s="1"/>
  <c r="W15" i="3"/>
  <c r="W17" i="3" s="1"/>
  <c r="O17" i="3"/>
  <c r="N109" i="3"/>
  <c r="E44" i="3"/>
  <c r="E50" i="3" s="1"/>
  <c r="E51" i="3" s="1"/>
  <c r="S44" i="3"/>
  <c r="S50" i="3" s="1"/>
  <c r="S51" i="3" s="1"/>
  <c r="W75" i="3"/>
  <c r="U79" i="3"/>
  <c r="W149" i="3"/>
  <c r="W153" i="3" s="1"/>
  <c r="O153" i="3"/>
  <c r="O156" i="3" s="1"/>
  <c r="J110" i="3"/>
  <c r="J111" i="3" s="1"/>
  <c r="W172" i="3"/>
  <c r="O191" i="3"/>
  <c r="Q201" i="3"/>
  <c r="L109" i="3"/>
  <c r="L110" i="3" s="1"/>
  <c r="L111" i="3" s="1"/>
  <c r="W195" i="3"/>
  <c r="R44" i="3"/>
  <c r="R50" i="3" s="1"/>
  <c r="R51" i="3" s="1"/>
  <c r="X95" i="3"/>
  <c r="X109" i="3"/>
  <c r="M201" i="3"/>
  <c r="W88" i="3"/>
  <c r="W95" i="3" s="1"/>
  <c r="O95" i="3"/>
  <c r="W141" i="3"/>
  <c r="U95" i="3"/>
  <c r="H41" i="3"/>
  <c r="O31" i="3"/>
  <c r="W31" i="3" s="1"/>
  <c r="F79" i="3"/>
  <c r="F83" i="3" s="1"/>
  <c r="O74" i="3"/>
  <c r="O97" i="3"/>
  <c r="W97" i="3" s="1"/>
  <c r="F106" i="3"/>
  <c r="F109" i="3" s="1"/>
  <c r="W59" i="3"/>
  <c r="W98" i="3"/>
  <c r="W24" i="3"/>
  <c r="W25" i="3"/>
  <c r="W74" i="3"/>
  <c r="O79" i="3"/>
  <c r="W79" i="3" s="1"/>
  <c r="O166" i="4" l="1"/>
  <c r="F136" i="3"/>
  <c r="T136" i="3"/>
  <c r="W56" i="3"/>
  <c r="W100" i="3"/>
  <c r="W21" i="3"/>
  <c r="W63" i="3"/>
  <c r="U106" i="3"/>
  <c r="U109" i="3" s="1"/>
  <c r="W114" i="3"/>
  <c r="U41" i="3"/>
  <c r="W19" i="3"/>
  <c r="U71" i="3"/>
  <c r="U83" i="3" s="1"/>
  <c r="W62" i="3"/>
  <c r="W66" i="3"/>
  <c r="W38" i="3"/>
  <c r="W37" i="3"/>
  <c r="W27" i="3"/>
  <c r="W36" i="3"/>
  <c r="W34" i="3"/>
  <c r="W104" i="3"/>
  <c r="O29" i="3"/>
  <c r="Q136" i="3"/>
  <c r="U455" i="2"/>
  <c r="U456" i="2" s="1"/>
  <c r="U514" i="2" s="1"/>
  <c r="U519" i="2" s="1"/>
  <c r="E455" i="2"/>
  <c r="E456" i="2" s="1"/>
  <c r="E514" i="2" s="1"/>
  <c r="E519" i="2" s="1"/>
  <c r="Y416" i="2"/>
  <c r="Y424" i="2"/>
  <c r="Y428" i="2"/>
  <c r="Y432" i="2"/>
  <c r="Y436" i="2"/>
  <c r="Y440" i="2"/>
  <c r="J137" i="3"/>
  <c r="J170" i="3" s="1"/>
  <c r="J171" i="3" s="1"/>
  <c r="J202" i="3" s="1"/>
  <c r="D137" i="3"/>
  <c r="D138" i="3" s="1"/>
  <c r="D157" i="3" s="1"/>
  <c r="D207" i="3" s="1"/>
  <c r="G166" i="4"/>
  <c r="G167" i="4" s="1"/>
  <c r="G168" i="4" s="1"/>
  <c r="G190" i="4" s="1"/>
  <c r="G203" i="4" s="1"/>
  <c r="G204" i="4" s="1"/>
  <c r="G242" i="4" s="1"/>
  <c r="G248" i="4" s="1"/>
  <c r="Q166" i="4"/>
  <c r="H84" i="3"/>
  <c r="H85" i="3" s="1"/>
  <c r="H110" i="3"/>
  <c r="H111" i="3" s="1"/>
  <c r="H137" i="3" s="1"/>
  <c r="H138" i="3" s="1"/>
  <c r="H157" i="3" s="1"/>
  <c r="H207" i="3" s="1"/>
  <c r="N84" i="3"/>
  <c r="N85" i="3" s="1"/>
  <c r="N110" i="3"/>
  <c r="N111" i="3" s="1"/>
  <c r="D170" i="3"/>
  <c r="D171" i="3" s="1"/>
  <c r="D202" i="3" s="1"/>
  <c r="I110" i="3"/>
  <c r="I111" i="3" s="1"/>
  <c r="I84" i="3"/>
  <c r="I85" i="3" s="1"/>
  <c r="W231" i="2"/>
  <c r="W232" i="2" s="1"/>
  <c r="W369" i="2" s="1"/>
  <c r="W370" i="2" s="1"/>
  <c r="X370" i="2" s="1"/>
  <c r="X141" i="2"/>
  <c r="F84" i="3"/>
  <c r="F85" i="3" s="1"/>
  <c r="F110" i="3"/>
  <c r="F111" i="3" s="1"/>
  <c r="F137" i="3" s="1"/>
  <c r="K231" i="2"/>
  <c r="K232" i="2" s="1"/>
  <c r="K369" i="2" s="1"/>
  <c r="K370" i="2" s="1"/>
  <c r="K455" i="2" s="1"/>
  <c r="K456" i="2" s="1"/>
  <c r="K514" i="2" s="1"/>
  <c r="K519" i="2" s="1"/>
  <c r="R110" i="3"/>
  <c r="R111" i="3" s="1"/>
  <c r="R84" i="3"/>
  <c r="R85" i="3" s="1"/>
  <c r="E84" i="3"/>
  <c r="E85" i="3" s="1"/>
  <c r="E110" i="3"/>
  <c r="E111" i="3" s="1"/>
  <c r="X231" i="2"/>
  <c r="M84" i="3"/>
  <c r="M85" i="3" s="1"/>
  <c r="M110" i="3"/>
  <c r="M111" i="3" s="1"/>
  <c r="M137" i="3" s="1"/>
  <c r="L167" i="4"/>
  <c r="L168" i="4" s="1"/>
  <c r="L190" i="4" s="1"/>
  <c r="L203" i="4" s="1"/>
  <c r="L204" i="4" s="1"/>
  <c r="L242" i="4" s="1"/>
  <c r="L248" i="4" s="1"/>
  <c r="G455" i="2"/>
  <c r="G456" i="2" s="1"/>
  <c r="G514" i="2" s="1"/>
  <c r="G519" i="2" s="1"/>
  <c r="R18" i="4"/>
  <c r="R45" i="4"/>
  <c r="D48" i="4"/>
  <c r="R48" i="4" s="1"/>
  <c r="Y48" i="4" s="1"/>
  <c r="D343" i="2"/>
  <c r="R281" i="2"/>
  <c r="Y281" i="2" s="1"/>
  <c r="O41" i="3"/>
  <c r="U29" i="3"/>
  <c r="W29" i="3" s="1"/>
  <c r="O198" i="3"/>
  <c r="O201" i="3" s="1"/>
  <c r="Q84" i="3"/>
  <c r="Q85" i="3" s="1"/>
  <c r="K241" i="4"/>
  <c r="R241" i="4" s="1"/>
  <c r="Y241" i="4" s="1"/>
  <c r="X140" i="4"/>
  <c r="K343" i="2"/>
  <c r="X232" i="2"/>
  <c r="P167" i="4"/>
  <c r="P168" i="4" s="1"/>
  <c r="P190" i="4" s="1"/>
  <c r="P203" i="4" s="1"/>
  <c r="P204" i="4" s="1"/>
  <c r="P242" i="4" s="1"/>
  <c r="P248" i="4" s="1"/>
  <c r="S83" i="3"/>
  <c r="S110" i="3" s="1"/>
  <c r="S111" i="3" s="1"/>
  <c r="P52" i="4"/>
  <c r="P71" i="4" s="1"/>
  <c r="P72" i="4" s="1"/>
  <c r="P115" i="4" s="1"/>
  <c r="P116" i="4" s="1"/>
  <c r="P143" i="4" s="1"/>
  <c r="P144" i="4" s="1"/>
  <c r="O143" i="4"/>
  <c r="O144" i="4" s="1"/>
  <c r="N52" i="4"/>
  <c r="N71" i="4" s="1"/>
  <c r="N72" i="4" s="1"/>
  <c r="N115" i="4" s="1"/>
  <c r="N116" i="4" s="1"/>
  <c r="N143" i="4" s="1"/>
  <c r="N144" i="4" s="1"/>
  <c r="H48" i="4"/>
  <c r="Q115" i="4"/>
  <c r="Q116" i="4" s="1"/>
  <c r="Q143" i="4" s="1"/>
  <c r="Q144" i="4" s="1"/>
  <c r="Q167" i="4" s="1"/>
  <c r="Q168" i="4" s="1"/>
  <c r="Q190" i="4" s="1"/>
  <c r="Q203" i="4" s="1"/>
  <c r="Q204" i="4" s="1"/>
  <c r="Q242" i="4" s="1"/>
  <c r="Q248" i="4" s="1"/>
  <c r="R186" i="4"/>
  <c r="W168" i="1"/>
  <c r="X110" i="4"/>
  <c r="Y110" i="4" s="1"/>
  <c r="T114" i="4"/>
  <c r="X114" i="4" s="1"/>
  <c r="Y114" i="4" s="1"/>
  <c r="Y19" i="2"/>
  <c r="Y73" i="2"/>
  <c r="R118" i="4"/>
  <c r="Y118" i="4" s="1"/>
  <c r="E127" i="4"/>
  <c r="E140" i="4"/>
  <c r="R140" i="4" s="1"/>
  <c r="Y140" i="4" s="1"/>
  <c r="R130" i="4"/>
  <c r="Y130" i="4" s="1"/>
  <c r="O128" i="3"/>
  <c r="W128" i="3" s="1"/>
  <c r="G133" i="3"/>
  <c r="J91" i="2"/>
  <c r="J95" i="2" s="1"/>
  <c r="J140" i="2" s="1"/>
  <c r="J141" i="2" s="1"/>
  <c r="J231" i="2" s="1"/>
  <c r="J232" i="2" s="1"/>
  <c r="J369" i="2" s="1"/>
  <c r="J370" i="2" s="1"/>
  <c r="J455" i="2" s="1"/>
  <c r="J456" i="2" s="1"/>
  <c r="J514" i="2" s="1"/>
  <c r="J519" i="2" s="1"/>
  <c r="R31" i="4"/>
  <c r="Y31" i="4" s="1"/>
  <c r="T110" i="3"/>
  <c r="T111" i="3" s="1"/>
  <c r="K44" i="3"/>
  <c r="K50" i="3" s="1"/>
  <c r="K51" i="3" s="1"/>
  <c r="M142" i="4"/>
  <c r="M143" i="4" s="1"/>
  <c r="M144" i="4" s="1"/>
  <c r="H142" i="4"/>
  <c r="J52" i="4"/>
  <c r="J71" i="4" s="1"/>
  <c r="J72" i="4" s="1"/>
  <c r="J115" i="4" s="1"/>
  <c r="J116" i="4" s="1"/>
  <c r="J143" i="4" s="1"/>
  <c r="J144" i="4" s="1"/>
  <c r="H52" i="4"/>
  <c r="H71" i="4" s="1"/>
  <c r="H72" i="4" s="1"/>
  <c r="H115" i="4" s="1"/>
  <c r="H116" i="4" s="1"/>
  <c r="H143" i="4" s="1"/>
  <c r="H144" i="4" s="1"/>
  <c r="I95" i="2"/>
  <c r="I140" i="2" s="1"/>
  <c r="I141" i="2" s="1"/>
  <c r="I231" i="2" s="1"/>
  <c r="I232" i="2" s="1"/>
  <c r="I369" i="2" s="1"/>
  <c r="I370" i="2" s="1"/>
  <c r="I455" i="2" s="1"/>
  <c r="I456" i="2" s="1"/>
  <c r="I514" i="2" s="1"/>
  <c r="I519" i="2" s="1"/>
  <c r="W67" i="3"/>
  <c r="Y235" i="4"/>
  <c r="W144" i="1"/>
  <c r="D91" i="2"/>
  <c r="K221" i="2"/>
  <c r="E137" i="3"/>
  <c r="E170" i="3" s="1"/>
  <c r="E171" i="3" s="1"/>
  <c r="E202" i="3" s="1"/>
  <c r="T137" i="3"/>
  <c r="T138" i="3" s="1"/>
  <c r="T157" i="3" s="1"/>
  <c r="T207" i="3" s="1"/>
  <c r="K52" i="4"/>
  <c r="K71" i="4" s="1"/>
  <c r="K72" i="4" s="1"/>
  <c r="K115" i="4" s="1"/>
  <c r="K116" i="4" s="1"/>
  <c r="K143" i="4" s="1"/>
  <c r="K144" i="4" s="1"/>
  <c r="K167" i="4" s="1"/>
  <c r="K168" i="4" s="1"/>
  <c r="K190" i="4" s="1"/>
  <c r="K203" i="4" s="1"/>
  <c r="K204" i="4" s="1"/>
  <c r="K242" i="4" s="1"/>
  <c r="K248" i="4" s="1"/>
  <c r="V115" i="4"/>
  <c r="V116" i="4" s="1"/>
  <c r="V143" i="4" s="1"/>
  <c r="V144" i="4" s="1"/>
  <c r="M231" i="2"/>
  <c r="M232" i="2" s="1"/>
  <c r="M369" i="2" s="1"/>
  <c r="M370" i="2" s="1"/>
  <c r="M455" i="2" s="1"/>
  <c r="M456" i="2" s="1"/>
  <c r="M514" i="2" s="1"/>
  <c r="M519" i="2" s="1"/>
  <c r="Y301" i="2"/>
  <c r="R163" i="4"/>
  <c r="Y245" i="2"/>
  <c r="W128" i="1"/>
  <c r="N455" i="2"/>
  <c r="N456" i="2" s="1"/>
  <c r="N514" i="2" s="1"/>
  <c r="N519" i="2" s="1"/>
  <c r="N96" i="1"/>
  <c r="N97" i="1" s="1"/>
  <c r="N148" i="1" s="1"/>
  <c r="N149" i="1" s="1"/>
  <c r="N180" i="1" s="1"/>
  <c r="N181" i="1" s="1"/>
  <c r="N211" i="1" s="1"/>
  <c r="N215" i="1" s="1"/>
  <c r="Q137" i="3"/>
  <c r="Q138" i="3" s="1"/>
  <c r="Q157" i="3" s="1"/>
  <c r="Q207" i="3" s="1"/>
  <c r="K136" i="3"/>
  <c r="I136" i="3"/>
  <c r="I137" i="3" s="1"/>
  <c r="I170" i="3" s="1"/>
  <c r="I171" i="3" s="1"/>
  <c r="I202" i="3" s="1"/>
  <c r="G136" i="3"/>
  <c r="G137" i="3" s="1"/>
  <c r="G138" i="3" s="1"/>
  <c r="G157" i="3" s="1"/>
  <c r="G207" i="3" s="1"/>
  <c r="V167" i="4"/>
  <c r="V168" i="4" s="1"/>
  <c r="V190" i="4" s="1"/>
  <c r="V203" i="4" s="1"/>
  <c r="V204" i="4" s="1"/>
  <c r="V242" i="4" s="1"/>
  <c r="V248" i="4" s="1"/>
  <c r="W172" i="1"/>
  <c r="W177" i="1"/>
  <c r="U126" i="1"/>
  <c r="T52" i="4"/>
  <c r="Y385" i="2"/>
  <c r="Y34" i="4"/>
  <c r="Y193" i="4"/>
  <c r="Y232" i="4"/>
  <c r="F48" i="4"/>
  <c r="F52" i="4" s="1"/>
  <c r="F71" i="4" s="1"/>
  <c r="F72" i="4" s="1"/>
  <c r="F115" i="4" s="1"/>
  <c r="F116" i="4" s="1"/>
  <c r="F143" i="4" s="1"/>
  <c r="F144" i="4" s="1"/>
  <c r="F167" i="4" s="1"/>
  <c r="F168" i="4" s="1"/>
  <c r="F190" i="4" s="1"/>
  <c r="F203" i="4" s="1"/>
  <c r="F204" i="4" s="1"/>
  <c r="F242" i="4" s="1"/>
  <c r="F248" i="4" s="1"/>
  <c r="Y152" i="2"/>
  <c r="Z221" i="2"/>
  <c r="Z231" i="2" s="1"/>
  <c r="Z232" i="2" s="1"/>
  <c r="Z369" i="2" s="1"/>
  <c r="Z370" i="2" s="1"/>
  <c r="Z455" i="2" s="1"/>
  <c r="Z456" i="2" s="1"/>
  <c r="Z514" i="2" s="1"/>
  <c r="Z519" i="2" s="1"/>
  <c r="F96" i="1"/>
  <c r="F97" i="1" s="1"/>
  <c r="F148" i="1" s="1"/>
  <c r="F149" i="1" s="1"/>
  <c r="E96" i="1"/>
  <c r="E97" i="1" s="1"/>
  <c r="E148" i="1" s="1"/>
  <c r="E149" i="1" s="1"/>
  <c r="I166" i="4"/>
  <c r="I167" i="4" s="1"/>
  <c r="I168" i="4" s="1"/>
  <c r="O167" i="4"/>
  <c r="O168" i="4" s="1"/>
  <c r="O190" i="4" s="1"/>
  <c r="O203" i="4" s="1"/>
  <c r="O204" i="4" s="1"/>
  <c r="O242" i="4" s="1"/>
  <c r="O248" i="4" s="1"/>
  <c r="W167" i="4"/>
  <c r="W168" i="4" s="1"/>
  <c r="W190" i="4" s="1"/>
  <c r="W203" i="4" s="1"/>
  <c r="W204" i="4" s="1"/>
  <c r="W242" i="4" s="1"/>
  <c r="W248" i="4" s="1"/>
  <c r="I189" i="4"/>
  <c r="R189" i="4" s="1"/>
  <c r="Y189" i="4" s="1"/>
  <c r="H455" i="2"/>
  <c r="H456" i="2" s="1"/>
  <c r="H514" i="2" s="1"/>
  <c r="H519" i="2" s="1"/>
  <c r="W41" i="1"/>
  <c r="W86" i="1"/>
  <c r="W159" i="1"/>
  <c r="W138" i="1"/>
  <c r="O123" i="3"/>
  <c r="X176" i="4"/>
  <c r="Y176" i="4" s="1"/>
  <c r="Y64" i="4"/>
  <c r="Y18" i="4"/>
  <c r="Y224" i="4"/>
  <c r="R279" i="2"/>
  <c r="Y279" i="2" s="1"/>
  <c r="Y384" i="2"/>
  <c r="T96" i="1"/>
  <c r="T97" i="1" s="1"/>
  <c r="T148" i="1" s="1"/>
  <c r="T149" i="1" s="1"/>
  <c r="T180" i="1" s="1"/>
  <c r="T181" i="1" s="1"/>
  <c r="T211" i="1" s="1"/>
  <c r="T215" i="1" s="1"/>
  <c r="O455" i="2"/>
  <c r="O456" i="2" s="1"/>
  <c r="O514" i="2" s="1"/>
  <c r="O519" i="2" s="1"/>
  <c r="T455" i="2"/>
  <c r="X455" i="2" s="1"/>
  <c r="W455" i="2"/>
  <c r="W456" i="2" s="1"/>
  <c r="W514" i="2" s="1"/>
  <c r="W519" i="2" s="1"/>
  <c r="L44" i="1"/>
  <c r="L46" i="1" s="1"/>
  <c r="L47" i="1" s="1"/>
  <c r="L96" i="1" s="1"/>
  <c r="L97" i="1" s="1"/>
  <c r="L148" i="1" s="1"/>
  <c r="L149" i="1" s="1"/>
  <c r="M166" i="4"/>
  <c r="W144" i="3"/>
  <c r="W147" i="3" s="1"/>
  <c r="W156" i="3" s="1"/>
  <c r="W189" i="3"/>
  <c r="W191" i="3" s="1"/>
  <c r="W201" i="3" s="1"/>
  <c r="U133" i="3"/>
  <c r="U198" i="3"/>
  <c r="U201" i="3" s="1"/>
  <c r="X163" i="4"/>
  <c r="X186" i="4"/>
  <c r="U189" i="4"/>
  <c r="X189" i="4" s="1"/>
  <c r="Y442" i="2"/>
  <c r="Y21" i="4"/>
  <c r="X45" i="4"/>
  <c r="Y155" i="2"/>
  <c r="Y122" i="4"/>
  <c r="W20" i="1"/>
  <c r="D221" i="2"/>
  <c r="R221" i="2" s="1"/>
  <c r="Y221" i="2" s="1"/>
  <c r="X513" i="2"/>
  <c r="Y513" i="2" s="1"/>
  <c r="Y234" i="2"/>
  <c r="Z343" i="2"/>
  <c r="Y267" i="2"/>
  <c r="Z454" i="2"/>
  <c r="Q454" i="2"/>
  <c r="R454" i="2" s="1"/>
  <c r="Y454" i="2" s="1"/>
  <c r="W113" i="3"/>
  <c r="W127" i="3"/>
  <c r="V455" i="2"/>
  <c r="V456" i="2" s="1"/>
  <c r="V514" i="2" s="1"/>
  <c r="V519" i="2" s="1"/>
  <c r="U166" i="4"/>
  <c r="X166" i="4" s="1"/>
  <c r="Y183" i="2"/>
  <c r="Y188" i="2"/>
  <c r="Y192" i="2"/>
  <c r="Y356" i="2"/>
  <c r="Y367" i="2"/>
  <c r="Y414" i="2"/>
  <c r="Y418" i="2"/>
  <c r="Y422" i="2"/>
  <c r="Y446" i="2"/>
  <c r="Y181" i="2"/>
  <c r="Y294" i="2"/>
  <c r="Y81" i="2"/>
  <c r="R34" i="2"/>
  <c r="Y34" i="2" s="1"/>
  <c r="X29" i="3"/>
  <c r="X43" i="3" s="1"/>
  <c r="X44" i="3" s="1"/>
  <c r="X50" i="3" s="1"/>
  <c r="X51" i="3" s="1"/>
  <c r="Y106" i="2"/>
  <c r="Y61" i="2"/>
  <c r="Y146" i="2"/>
  <c r="Y99" i="4"/>
  <c r="Y500" i="2"/>
  <c r="Y244" i="2"/>
  <c r="Y277" i="2"/>
  <c r="Y278" i="2"/>
  <c r="R286" i="2"/>
  <c r="Y286" i="2" s="1"/>
  <c r="Y136" i="4"/>
  <c r="W103" i="3"/>
  <c r="X123" i="3"/>
  <c r="X136" i="3" s="1"/>
  <c r="Y395" i="2"/>
  <c r="Y408" i="2"/>
  <c r="W117" i="3"/>
  <c r="W134" i="1"/>
  <c r="W142" i="1"/>
  <c r="W155" i="1"/>
  <c r="W160" i="1"/>
  <c r="W167" i="1"/>
  <c r="W137" i="1"/>
  <c r="W116" i="3"/>
  <c r="Y125" i="2"/>
  <c r="Y350" i="2"/>
  <c r="Y354" i="2"/>
  <c r="Y365" i="2" s="1"/>
  <c r="Y357" i="2"/>
  <c r="Y415" i="2"/>
  <c r="Y419" i="2"/>
  <c r="Y423" i="2"/>
  <c r="Y426" i="2"/>
  <c r="Y430" i="2"/>
  <c r="Y434" i="2"/>
  <c r="Y444" i="2"/>
  <c r="Y447" i="2"/>
  <c r="Y451" i="2"/>
  <c r="Y105" i="2"/>
  <c r="Y121" i="2"/>
  <c r="Y124" i="2"/>
  <c r="Y182" i="2"/>
  <c r="Y201" i="2"/>
  <c r="Y205" i="2"/>
  <c r="Y260" i="2"/>
  <c r="Y417" i="2"/>
  <c r="Y159" i="4"/>
  <c r="Y39" i="4"/>
  <c r="H43" i="1"/>
  <c r="H44" i="1" s="1"/>
  <c r="H46" i="1" s="1"/>
  <c r="H47" i="1" s="1"/>
  <c r="R22" i="2"/>
  <c r="Y22" i="2" s="1"/>
  <c r="Y31" i="2"/>
  <c r="O22" i="1"/>
  <c r="W22" i="1" s="1"/>
  <c r="F139" i="2"/>
  <c r="R139" i="2" s="1"/>
  <c r="Y139" i="2" s="1"/>
  <c r="D83" i="1"/>
  <c r="Y174" i="2"/>
  <c r="L343" i="2"/>
  <c r="L369" i="2" s="1"/>
  <c r="L370" i="2" s="1"/>
  <c r="L455" i="2" s="1"/>
  <c r="L456" i="2" s="1"/>
  <c r="L514" i="2" s="1"/>
  <c r="L519" i="2" s="1"/>
  <c r="Y238" i="2"/>
  <c r="Y265" i="2"/>
  <c r="R132" i="4"/>
  <c r="Y132" i="4" s="1"/>
  <c r="R273" i="2"/>
  <c r="Y273" i="2" s="1"/>
  <c r="Y271" i="2"/>
  <c r="R292" i="2"/>
  <c r="W102" i="3"/>
  <c r="Y393" i="2"/>
  <c r="Y305" i="2"/>
  <c r="Y314" i="2"/>
  <c r="Y330" i="2"/>
  <c r="Y336" i="2"/>
  <c r="Y373" i="2"/>
  <c r="Y394" i="2"/>
  <c r="W190" i="1"/>
  <c r="Y27" i="2"/>
  <c r="Y55" i="2"/>
  <c r="Y241" i="2"/>
  <c r="Y248" i="2"/>
  <c r="W102" i="1"/>
  <c r="W130" i="3"/>
  <c r="Y303" i="2"/>
  <c r="Y299" i="2"/>
  <c r="Y306" i="2"/>
  <c r="W101" i="3"/>
  <c r="W151" i="1"/>
  <c r="W197" i="1"/>
  <c r="Y85" i="2"/>
  <c r="W23" i="3"/>
  <c r="W23" i="1"/>
  <c r="I83" i="1"/>
  <c r="D126" i="1"/>
  <c r="W164" i="1"/>
  <c r="O133" i="3"/>
  <c r="W129" i="3"/>
  <c r="W100" i="1"/>
  <c r="O126" i="1"/>
  <c r="W126" i="1" s="1"/>
  <c r="K96" i="1"/>
  <c r="K97" i="1" s="1"/>
  <c r="K148" i="1" s="1"/>
  <c r="K149" i="1" s="1"/>
  <c r="J96" i="1"/>
  <c r="J97" i="1" s="1"/>
  <c r="J148" i="1" s="1"/>
  <c r="J149" i="1" s="1"/>
  <c r="J180" i="1" s="1"/>
  <c r="J181" i="1" s="1"/>
  <c r="J211" i="1" s="1"/>
  <c r="J215" i="1" s="1"/>
  <c r="M96" i="1"/>
  <c r="M97" i="1" s="1"/>
  <c r="M148" i="1" s="1"/>
  <c r="M149" i="1" s="1"/>
  <c r="M180" i="1" s="1"/>
  <c r="M181" i="1" s="1"/>
  <c r="M211" i="1" s="1"/>
  <c r="M215" i="1" s="1"/>
  <c r="R96" i="1"/>
  <c r="R97" i="1" s="1"/>
  <c r="R148" i="1" s="1"/>
  <c r="R149" i="1" s="1"/>
  <c r="W95" i="1"/>
  <c r="H83" i="1"/>
  <c r="O52" i="1"/>
  <c r="D44" i="1"/>
  <c r="D46" i="1" s="1"/>
  <c r="D47" i="1" s="1"/>
  <c r="D96" i="1" s="1"/>
  <c r="D97" i="1" s="1"/>
  <c r="D148" i="1" s="1"/>
  <c r="D149" i="1" s="1"/>
  <c r="D180" i="1" s="1"/>
  <c r="D181" i="1" s="1"/>
  <c r="D211" i="1" s="1"/>
  <c r="D215" i="1" s="1"/>
  <c r="W112" i="1"/>
  <c r="W120" i="1"/>
  <c r="W24" i="1"/>
  <c r="I43" i="1"/>
  <c r="I44" i="1" s="1"/>
  <c r="I46" i="1" s="1"/>
  <c r="I47" i="1" s="1"/>
  <c r="W101" i="1"/>
  <c r="W163" i="1"/>
  <c r="U44" i="1"/>
  <c r="U46" i="1" s="1"/>
  <c r="U47" i="1" s="1"/>
  <c r="U96" i="1" s="1"/>
  <c r="U97" i="1" s="1"/>
  <c r="W210" i="1"/>
  <c r="W21" i="1"/>
  <c r="F180" i="1"/>
  <c r="F181" i="1" s="1"/>
  <c r="F211" i="1" s="1"/>
  <c r="F215" i="1" s="1"/>
  <c r="E180" i="1"/>
  <c r="E181" i="1" s="1"/>
  <c r="E211" i="1" s="1"/>
  <c r="E215" i="1" s="1"/>
  <c r="K180" i="1"/>
  <c r="K181" i="1" s="1"/>
  <c r="K211" i="1" s="1"/>
  <c r="K215" i="1" s="1"/>
  <c r="S180" i="1"/>
  <c r="S181" i="1" s="1"/>
  <c r="S211" i="1" s="1"/>
  <c r="S215" i="1" s="1"/>
  <c r="L180" i="1"/>
  <c r="L181" i="1" s="1"/>
  <c r="L211" i="1" s="1"/>
  <c r="L215" i="1" s="1"/>
  <c r="R180" i="1"/>
  <c r="R181" i="1" s="1"/>
  <c r="R211" i="1" s="1"/>
  <c r="R215" i="1" s="1"/>
  <c r="Q180" i="1"/>
  <c r="Q181" i="1" s="1"/>
  <c r="Q211" i="1" s="1"/>
  <c r="Q215" i="1" s="1"/>
  <c r="U179" i="1"/>
  <c r="G180" i="1"/>
  <c r="G181" i="1" s="1"/>
  <c r="G211" i="1" s="1"/>
  <c r="G215" i="1" s="1"/>
  <c r="N166" i="4"/>
  <c r="J166" i="4"/>
  <c r="J167" i="4" s="1"/>
  <c r="J168" i="4" s="1"/>
  <c r="J190" i="4" s="1"/>
  <c r="J203" i="4" s="1"/>
  <c r="J204" i="4" s="1"/>
  <c r="J242" i="4" s="1"/>
  <c r="J248" i="4" s="1"/>
  <c r="E166" i="4"/>
  <c r="H166" i="4"/>
  <c r="R154" i="4"/>
  <c r="Y154" i="4" s="1"/>
  <c r="W71" i="3"/>
  <c r="W83" i="3" s="1"/>
  <c r="U123" i="3"/>
  <c r="U136" i="3" s="1"/>
  <c r="O106" i="3"/>
  <c r="O109" i="3" s="1"/>
  <c r="W118" i="3"/>
  <c r="W133" i="3"/>
  <c r="S136" i="3"/>
  <c r="L136" i="3"/>
  <c r="L137" i="3" s="1"/>
  <c r="L170" i="3" s="1"/>
  <c r="L171" i="3" s="1"/>
  <c r="L202" i="3" s="1"/>
  <c r="J138" i="3"/>
  <c r="J157" i="3" s="1"/>
  <c r="J207" i="3" s="1"/>
  <c r="R136" i="3"/>
  <c r="R137" i="3" s="1"/>
  <c r="R170" i="3" s="1"/>
  <c r="R171" i="3" s="1"/>
  <c r="R202" i="3" s="1"/>
  <c r="N136" i="3"/>
  <c r="N137" i="3" s="1"/>
  <c r="N138" i="3" s="1"/>
  <c r="N157" i="3" s="1"/>
  <c r="N207" i="3" s="1"/>
  <c r="L138" i="3"/>
  <c r="L157" i="3" s="1"/>
  <c r="L207" i="3" s="1"/>
  <c r="E138" i="3"/>
  <c r="E157" i="3" s="1"/>
  <c r="E207" i="3" s="1"/>
  <c r="Q170" i="3"/>
  <c r="Q171" i="3" s="1"/>
  <c r="Q202" i="3" s="1"/>
  <c r="I138" i="3"/>
  <c r="I157" i="3" s="1"/>
  <c r="I207" i="3" s="1"/>
  <c r="Y438" i="2"/>
  <c r="Y425" i="2"/>
  <c r="Y429" i="2"/>
  <c r="Y449" i="2"/>
  <c r="Y441" i="2"/>
  <c r="Y134" i="2"/>
  <c r="R365" i="2"/>
  <c r="X369" i="2"/>
  <c r="X91" i="2"/>
  <c r="Y243" i="2"/>
  <c r="Y272" i="2"/>
  <c r="Y137" i="2"/>
  <c r="Y242" i="2"/>
  <c r="Y382" i="2"/>
  <c r="Y46" i="2"/>
  <c r="Y18" i="2"/>
  <c r="Y32" i="2"/>
  <c r="Y239" i="2"/>
  <c r="Y289" i="2"/>
  <c r="Y323" i="2"/>
  <c r="Y131" i="2"/>
  <c r="Y63" i="2"/>
  <c r="Y159" i="2"/>
  <c r="Y236" i="2"/>
  <c r="Y292" i="2"/>
  <c r="O179" i="1"/>
  <c r="W123" i="3" l="1"/>
  <c r="W106" i="3"/>
  <c r="W109" i="3" s="1"/>
  <c r="U43" i="3"/>
  <c r="U44" i="3" s="1"/>
  <c r="U50" i="3" s="1"/>
  <c r="U51" i="3" s="1"/>
  <c r="T170" i="3"/>
  <c r="T171" i="3" s="1"/>
  <c r="T202" i="3" s="1"/>
  <c r="N170" i="3"/>
  <c r="N171" i="3" s="1"/>
  <c r="N202" i="3" s="1"/>
  <c r="O136" i="3"/>
  <c r="T456" i="2"/>
  <c r="R138" i="3"/>
  <c r="R157" i="3" s="1"/>
  <c r="R207" i="3" s="1"/>
  <c r="Y163" i="4"/>
  <c r="X110" i="3"/>
  <c r="X111" i="3" s="1"/>
  <c r="X84" i="3"/>
  <c r="X85" i="3" s="1"/>
  <c r="H170" i="3"/>
  <c r="H171" i="3" s="1"/>
  <c r="H202" i="3" s="1"/>
  <c r="X137" i="3"/>
  <c r="N167" i="4"/>
  <c r="N168" i="4" s="1"/>
  <c r="N190" i="4" s="1"/>
  <c r="N203" i="4" s="1"/>
  <c r="N204" i="4" s="1"/>
  <c r="N242" i="4" s="1"/>
  <c r="N248" i="4" s="1"/>
  <c r="I96" i="1"/>
  <c r="I97" i="1" s="1"/>
  <c r="I148" i="1" s="1"/>
  <c r="I149" i="1" s="1"/>
  <c r="I180" i="1" s="1"/>
  <c r="I181" i="1" s="1"/>
  <c r="I211" i="1" s="1"/>
  <c r="I215" i="1" s="1"/>
  <c r="E142" i="4"/>
  <c r="R127" i="4"/>
  <c r="Y127" i="4" s="1"/>
  <c r="Y186" i="4"/>
  <c r="W41" i="3"/>
  <c r="W43" i="3" s="1"/>
  <c r="O43" i="3"/>
  <c r="O44" i="3" s="1"/>
  <c r="Y45" i="4"/>
  <c r="F138" i="3"/>
  <c r="F157" i="3" s="1"/>
  <c r="F207" i="3" s="1"/>
  <c r="F170" i="3"/>
  <c r="F171" i="3" s="1"/>
  <c r="F202" i="3" s="1"/>
  <c r="Q455" i="2"/>
  <c r="Q456" i="2" s="1"/>
  <c r="Q514" i="2" s="1"/>
  <c r="Q519" i="2" s="1"/>
  <c r="G170" i="3"/>
  <c r="G171" i="3" s="1"/>
  <c r="G202" i="3" s="1"/>
  <c r="U167" i="4"/>
  <c r="U168" i="4" s="1"/>
  <c r="U190" i="4" s="1"/>
  <c r="U203" i="4" s="1"/>
  <c r="U204" i="4" s="1"/>
  <c r="U242" i="4" s="1"/>
  <c r="U248" i="4" s="1"/>
  <c r="H167" i="4"/>
  <c r="H168" i="4" s="1"/>
  <c r="H190" i="4" s="1"/>
  <c r="H203" i="4" s="1"/>
  <c r="H204" i="4" s="1"/>
  <c r="H242" i="4" s="1"/>
  <c r="H248" i="4" s="1"/>
  <c r="O43" i="1"/>
  <c r="O44" i="1" s="1"/>
  <c r="U148" i="1"/>
  <c r="U149" i="1" s="1"/>
  <c r="D95" i="2"/>
  <c r="R91" i="2"/>
  <c r="Y91" i="2" s="1"/>
  <c r="D52" i="4"/>
  <c r="S84" i="3"/>
  <c r="S85" i="3" s="1"/>
  <c r="F140" i="2"/>
  <c r="F141" i="2" s="1"/>
  <c r="F231" i="2" s="1"/>
  <c r="F232" i="2" s="1"/>
  <c r="F369" i="2" s="1"/>
  <c r="F370" i="2" s="1"/>
  <c r="F455" i="2" s="1"/>
  <c r="F456" i="2" s="1"/>
  <c r="F514" i="2" s="1"/>
  <c r="F519" i="2" s="1"/>
  <c r="U180" i="1"/>
  <c r="U181" i="1" s="1"/>
  <c r="U211" i="1" s="1"/>
  <c r="U215" i="1" s="1"/>
  <c r="M167" i="4"/>
  <c r="M168" i="4" s="1"/>
  <c r="M190" i="4" s="1"/>
  <c r="M203" i="4" s="1"/>
  <c r="M204" i="4" s="1"/>
  <c r="M242" i="4" s="1"/>
  <c r="M248" i="4" s="1"/>
  <c r="K84" i="3"/>
  <c r="K85" i="3" s="1"/>
  <c r="K110" i="3"/>
  <c r="K111" i="3" s="1"/>
  <c r="K137" i="3" s="1"/>
  <c r="S137" i="3"/>
  <c r="W43" i="1"/>
  <c r="H96" i="1"/>
  <c r="H97" i="1" s="1"/>
  <c r="H148" i="1" s="1"/>
  <c r="H149" i="1" s="1"/>
  <c r="H180" i="1" s="1"/>
  <c r="H181" i="1" s="1"/>
  <c r="H211" i="1" s="1"/>
  <c r="H215" i="1" s="1"/>
  <c r="I190" i="4"/>
  <c r="I203" i="4" s="1"/>
  <c r="I204" i="4" s="1"/>
  <c r="I242" i="4" s="1"/>
  <c r="I248" i="4" s="1"/>
  <c r="X52" i="4"/>
  <c r="T71" i="4"/>
  <c r="R343" i="2"/>
  <c r="Y343" i="2" s="1"/>
  <c r="M138" i="3"/>
  <c r="M157" i="3" s="1"/>
  <c r="M207" i="3" s="1"/>
  <c r="M170" i="3"/>
  <c r="M171" i="3" s="1"/>
  <c r="M202" i="3" s="1"/>
  <c r="W52" i="1"/>
  <c r="W83" i="1" s="1"/>
  <c r="O83" i="1"/>
  <c r="W44" i="1"/>
  <c r="O46" i="1"/>
  <c r="W136" i="3"/>
  <c r="R166" i="4"/>
  <c r="Y166" i="4" s="1"/>
  <c r="X456" i="2"/>
  <c r="T514" i="2"/>
  <c r="W179" i="1"/>
  <c r="U84" i="3" l="1"/>
  <c r="U85" i="3" s="1"/>
  <c r="U110" i="3"/>
  <c r="U111" i="3" s="1"/>
  <c r="U137" i="3" s="1"/>
  <c r="U138" i="3" s="1"/>
  <c r="U157" i="3" s="1"/>
  <c r="U207" i="3" s="1"/>
  <c r="K170" i="3"/>
  <c r="K171" i="3" s="1"/>
  <c r="K202" i="3" s="1"/>
  <c r="K138" i="3"/>
  <c r="K157" i="3" s="1"/>
  <c r="K207" i="3" s="1"/>
  <c r="S170" i="3"/>
  <c r="S171" i="3" s="1"/>
  <c r="S202" i="3" s="1"/>
  <c r="S138" i="3"/>
  <c r="S157" i="3" s="1"/>
  <c r="S207" i="3" s="1"/>
  <c r="R52" i="4"/>
  <c r="Y52" i="4" s="1"/>
  <c r="D71" i="4"/>
  <c r="X71" i="4"/>
  <c r="T72" i="4"/>
  <c r="D140" i="2"/>
  <c r="R95" i="2"/>
  <c r="Y95" i="2" s="1"/>
  <c r="AB95" i="2" s="1"/>
  <c r="X138" i="3"/>
  <c r="X157" i="3"/>
  <c r="W44" i="3"/>
  <c r="W50" i="3" s="1"/>
  <c r="O50" i="3"/>
  <c r="O51" i="3" s="1"/>
  <c r="R142" i="4"/>
  <c r="Y142" i="4" s="1"/>
  <c r="E143" i="4"/>
  <c r="E144" i="4" s="1"/>
  <c r="E167" i="4" s="1"/>
  <c r="E168" i="4" s="1"/>
  <c r="E190" i="4" s="1"/>
  <c r="E203" i="4" s="1"/>
  <c r="E204" i="4" s="1"/>
  <c r="E242" i="4" s="1"/>
  <c r="E248" i="4" s="1"/>
  <c r="O47" i="1"/>
  <c r="W46" i="1"/>
  <c r="T519" i="2"/>
  <c r="X514" i="2"/>
  <c r="X519" i="2" s="1"/>
  <c r="U170" i="3" l="1"/>
  <c r="U171" i="3" s="1"/>
  <c r="U202" i="3" s="1"/>
  <c r="X170" i="3"/>
  <c r="X207" i="3"/>
  <c r="T115" i="4"/>
  <c r="X72" i="4"/>
  <c r="O84" i="3"/>
  <c r="O85" i="3" s="1"/>
  <c r="W85" i="3" s="1"/>
  <c r="O110" i="3"/>
  <c r="O111" i="3" s="1"/>
  <c r="W51" i="3"/>
  <c r="D72" i="4"/>
  <c r="R71" i="4"/>
  <c r="Y71" i="4" s="1"/>
  <c r="R140" i="2"/>
  <c r="Y140" i="2" s="1"/>
  <c r="AB140" i="2" s="1"/>
  <c r="D141" i="2"/>
  <c r="O96" i="1"/>
  <c r="O97" i="1" s="1"/>
  <c r="W47" i="1"/>
  <c r="W96" i="1" s="1"/>
  <c r="D231" i="2" l="1"/>
  <c r="R141" i="2"/>
  <c r="Y141" i="2" s="1"/>
  <c r="W84" i="3"/>
  <c r="W110" i="3"/>
  <c r="T116" i="4"/>
  <c r="X115" i="4"/>
  <c r="D115" i="4"/>
  <c r="R72" i="4"/>
  <c r="Y72" i="4" s="1"/>
  <c r="W111" i="3"/>
  <c r="O137" i="3"/>
  <c r="X202" i="3"/>
  <c r="X171" i="3"/>
  <c r="W97" i="1"/>
  <c r="W148" i="1" s="1"/>
  <c r="O148" i="1"/>
  <c r="O149" i="1" s="1"/>
  <c r="D232" i="2" l="1"/>
  <c r="R231" i="2"/>
  <c r="Y231" i="2" s="1"/>
  <c r="AB231" i="2" s="1"/>
  <c r="D116" i="4"/>
  <c r="R115" i="4"/>
  <c r="Y115" i="4" s="1"/>
  <c r="T143" i="4"/>
  <c r="X116" i="4"/>
  <c r="W137" i="3"/>
  <c r="W170" i="3" s="1"/>
  <c r="O138" i="3"/>
  <c r="O170" i="3"/>
  <c r="O171" i="3" s="1"/>
  <c r="W149" i="1"/>
  <c r="W180" i="1" s="1"/>
  <c r="O180" i="1"/>
  <c r="O181" i="1" s="1"/>
  <c r="W138" i="3" l="1"/>
  <c r="O157" i="3"/>
  <c r="D143" i="4"/>
  <c r="R116" i="4"/>
  <c r="Y116" i="4" s="1"/>
  <c r="W171" i="3"/>
  <c r="O202" i="3"/>
  <c r="W202" i="3" s="1"/>
  <c r="X143" i="4"/>
  <c r="T144" i="4"/>
  <c r="R232" i="2"/>
  <c r="D369" i="2"/>
  <c r="D370" i="2" s="1"/>
  <c r="O211" i="1"/>
  <c r="O215" i="1" s="1"/>
  <c r="W181" i="1"/>
  <c r="W211" i="1" s="1"/>
  <c r="W215" i="1" s="1"/>
  <c r="D144" i="4" l="1"/>
  <c r="R143" i="4"/>
  <c r="Y143" i="4" s="1"/>
  <c r="T167" i="4"/>
  <c r="X144" i="4"/>
  <c r="R370" i="2"/>
  <c r="Y370" i="2" s="1"/>
  <c r="D455" i="2"/>
  <c r="W157" i="3"/>
  <c r="W207" i="3" s="1"/>
  <c r="O207" i="3"/>
  <c r="Y232" i="2"/>
  <c r="Y369" i="2" s="1"/>
  <c r="AB369" i="2" s="1"/>
  <c r="R369" i="2"/>
  <c r="T168" i="4" l="1"/>
  <c r="X167" i="4"/>
  <c r="R455" i="2"/>
  <c r="Y455" i="2" s="1"/>
  <c r="D456" i="2"/>
  <c r="R144" i="4"/>
  <c r="Y144" i="4" s="1"/>
  <c r="D167" i="4"/>
  <c r="D514" i="2" l="1"/>
  <c r="R456" i="2"/>
  <c r="Y456" i="2" s="1"/>
  <c r="D168" i="4"/>
  <c r="R167" i="4"/>
  <c r="Y167" i="4" s="1"/>
  <c r="Z167" i="4" s="1"/>
  <c r="T190" i="4"/>
  <c r="X168" i="4"/>
  <c r="D190" i="4" l="1"/>
  <c r="R168" i="4"/>
  <c r="Y168" i="4" s="1"/>
  <c r="T203" i="4"/>
  <c r="X190" i="4"/>
  <c r="R514" i="2"/>
  <c r="D519" i="2"/>
  <c r="T204" i="4" l="1"/>
  <c r="X203" i="4"/>
  <c r="R519" i="2"/>
  <c r="Y514" i="2"/>
  <c r="R190" i="4"/>
  <c r="Y190" i="4" s="1"/>
  <c r="D203" i="4"/>
  <c r="Y519" i="2" l="1"/>
  <c r="AB514" i="2"/>
  <c r="R203" i="4"/>
  <c r="Y203" i="4" s="1"/>
  <c r="D204" i="4"/>
  <c r="T242" i="4"/>
  <c r="X204" i="4"/>
  <c r="R204" i="4" l="1"/>
  <c r="Y204" i="4" s="1"/>
  <c r="D242" i="4"/>
  <c r="T248" i="4"/>
  <c r="X242" i="4"/>
  <c r="X248" i="4" s="1"/>
  <c r="D248" i="4" l="1"/>
  <c r="R242" i="4"/>
  <c r="Y242" i="4" l="1"/>
  <c r="Y248" i="4" s="1"/>
  <c r="R248" i="4"/>
</calcChain>
</file>

<file path=xl/sharedStrings.xml><?xml version="1.0" encoding="utf-8"?>
<sst xmlns="http://schemas.openxmlformats.org/spreadsheetml/2006/main" count="1560" uniqueCount="719">
  <si>
    <t>K I M U T A T Á S</t>
  </si>
  <si>
    <t>ezer Ft-ban</t>
  </si>
  <si>
    <t xml:space="preserve"> </t>
  </si>
  <si>
    <t>Szöveges indoklás a</t>
  </si>
  <si>
    <t>Egyéb</t>
  </si>
  <si>
    <t>Működési</t>
  </si>
  <si>
    <t>Felhalmozási</t>
  </si>
  <si>
    <t>Bevételek</t>
  </si>
  <si>
    <t>Ssz.</t>
  </si>
  <si>
    <t>forrás származására és a kiadás</t>
  </si>
  <si>
    <t>bevételek</t>
  </si>
  <si>
    <t>célú</t>
  </si>
  <si>
    <t>összesen</t>
  </si>
  <si>
    <t>felhasználási  jogcimére</t>
  </si>
  <si>
    <t>visszatérül.</t>
  </si>
  <si>
    <t>működési</t>
  </si>
  <si>
    <t>bevételei</t>
  </si>
  <si>
    <t>pénzeszköz</t>
  </si>
  <si>
    <t>Érvényes előirányzatok:</t>
  </si>
  <si>
    <t>Módosítás</t>
  </si>
  <si>
    <t>Módosított előirányzat</t>
  </si>
  <si>
    <t>000</t>
  </si>
  <si>
    <t>Felülvizsgálat</t>
  </si>
  <si>
    <t>010</t>
  </si>
  <si>
    <t>030</t>
  </si>
  <si>
    <t>080</t>
  </si>
  <si>
    <t>090</t>
  </si>
  <si>
    <t>120</t>
  </si>
  <si>
    <t>121</t>
  </si>
  <si>
    <t>180</t>
  </si>
  <si>
    <t>Felülvizsgálati módosítások összesen:</t>
  </si>
  <si>
    <t>Módosítások összesen:</t>
  </si>
  <si>
    <t>K I A D Á S O K</t>
  </si>
  <si>
    <t>Ellátottak</t>
  </si>
  <si>
    <t>Intézmény-</t>
  </si>
  <si>
    <t>Kiadások</t>
  </si>
  <si>
    <t>Személyi</t>
  </si>
  <si>
    <t>Munkaadót</t>
  </si>
  <si>
    <t xml:space="preserve">Dologi </t>
  </si>
  <si>
    <t>pénzbeli</t>
  </si>
  <si>
    <t>kiadások</t>
  </si>
  <si>
    <t>kölcsönök</t>
  </si>
  <si>
    <t>Tartalékok</t>
  </si>
  <si>
    <t>finan-</t>
  </si>
  <si>
    <t>juttatás</t>
  </si>
  <si>
    <t>juttatásai</t>
  </si>
  <si>
    <t>nyújtása</t>
  </si>
  <si>
    <t>kiadásai</t>
  </si>
  <si>
    <t>szírozás</t>
  </si>
  <si>
    <t>járulékok</t>
  </si>
  <si>
    <t>támogatás</t>
  </si>
  <si>
    <t>020</t>
  </si>
  <si>
    <t>021</t>
  </si>
  <si>
    <t>025</t>
  </si>
  <si>
    <t>026</t>
  </si>
  <si>
    <t>028</t>
  </si>
  <si>
    <t>032</t>
  </si>
  <si>
    <t>034</t>
  </si>
  <si>
    <t>051</t>
  </si>
  <si>
    <t>052</t>
  </si>
  <si>
    <t>060</t>
  </si>
  <si>
    <t>101</t>
  </si>
  <si>
    <t>Vonal alattiak</t>
  </si>
  <si>
    <t>019</t>
  </si>
  <si>
    <t>1</t>
  </si>
  <si>
    <t>001</t>
  </si>
  <si>
    <t>022</t>
  </si>
  <si>
    <t>Eredeti előirányzatok:</t>
  </si>
  <si>
    <t>Kerekítés miatt</t>
  </si>
  <si>
    <t>002</t>
  </si>
  <si>
    <t>013</t>
  </si>
  <si>
    <t>085</t>
  </si>
  <si>
    <t>102</t>
  </si>
  <si>
    <t>105</t>
  </si>
  <si>
    <t>112</t>
  </si>
  <si>
    <t>150</t>
  </si>
  <si>
    <t>190</t>
  </si>
  <si>
    <t>terhelő</t>
  </si>
  <si>
    <t>Szociális adó</t>
  </si>
  <si>
    <t>támogatások</t>
  </si>
  <si>
    <t>024</t>
  </si>
  <si>
    <t>054</t>
  </si>
  <si>
    <t>1/H-1</t>
  </si>
  <si>
    <t>003</t>
  </si>
  <si>
    <t>H010</t>
  </si>
  <si>
    <t>Előző évi maradvány átvétel</t>
  </si>
  <si>
    <t>FELÜGYELETI HATÁSKÖRŰ MÓDOSÍTÁSOK</t>
  </si>
  <si>
    <t>SAJÁT HATÁSKÖRŰ MÓDOSÍTÁSOK</t>
  </si>
  <si>
    <t>A</t>
  </si>
  <si>
    <t>B</t>
  </si>
  <si>
    <t>Módosítások összesen (A+B)</t>
  </si>
  <si>
    <t>H151</t>
  </si>
  <si>
    <t>1. sz. melléklet</t>
  </si>
  <si>
    <t>2. sz. melléklet</t>
  </si>
  <si>
    <t>3. sz. melléklet</t>
  </si>
  <si>
    <t>4. sz. melléklet</t>
  </si>
  <si>
    <t>Rendelet 4. sz. tábla</t>
  </si>
  <si>
    <t>Eltérés rendelethez:</t>
  </si>
  <si>
    <t>Felülvizs.</t>
  </si>
  <si>
    <t>ő151</t>
  </si>
  <si>
    <t>ő180</t>
  </si>
  <si>
    <t>Rendelet 5. sz. tábla</t>
  </si>
  <si>
    <t>Rendelet 4 sz. tábla</t>
  </si>
  <si>
    <t>belülről</t>
  </si>
  <si>
    <t>átvett</t>
  </si>
  <si>
    <t>Felhal-</t>
  </si>
  <si>
    <t>mozási</t>
  </si>
  <si>
    <t>felhalm.</t>
  </si>
  <si>
    <t>első</t>
  </si>
  <si>
    <t>Csak szöveges módosítás volt</t>
  </si>
  <si>
    <t>Csak szöveges módosítás volt!</t>
  </si>
  <si>
    <t xml:space="preserve">Irányító </t>
  </si>
  <si>
    <t>szervtől</t>
  </si>
  <si>
    <t>kapott</t>
  </si>
  <si>
    <t>H090</t>
  </si>
  <si>
    <t>H105</t>
  </si>
  <si>
    <t>H180</t>
  </si>
  <si>
    <t>…</t>
  </si>
  <si>
    <t>111</t>
  </si>
  <si>
    <t>418</t>
  </si>
  <si>
    <t>419</t>
  </si>
  <si>
    <t>utólag feladásnál</t>
  </si>
  <si>
    <t>nyolcadik</t>
  </si>
  <si>
    <t>Műk. célú támogatások áht-n belülről</t>
  </si>
  <si>
    <t>Önkorm.</t>
  </si>
  <si>
    <t>Elvonások</t>
  </si>
  <si>
    <t>Egyéb műk.c.</t>
  </si>
  <si>
    <t xml:space="preserve">és </t>
  </si>
  <si>
    <t>támogatása</t>
  </si>
  <si>
    <t>befizetések</t>
  </si>
  <si>
    <t>áht-n</t>
  </si>
  <si>
    <t>Felh.c.tám.áht-n belülről</t>
  </si>
  <si>
    <t>Felh.c.átvett pénzeszközök</t>
  </si>
  <si>
    <t>Közhatalmi</t>
  </si>
  <si>
    <t>Egyéb felh.c.</t>
  </si>
  <si>
    <t>Felh.c.</t>
  </si>
  <si>
    <t>támogatások,</t>
  </si>
  <si>
    <t>önk-i</t>
  </si>
  <si>
    <t>célú átvett</t>
  </si>
  <si>
    <t>Költség-</t>
  </si>
  <si>
    <t>vetési</t>
  </si>
  <si>
    <t>Finanszírozási bevételek</t>
  </si>
  <si>
    <t xml:space="preserve">Belföldi </t>
  </si>
  <si>
    <t>Előző év</t>
  </si>
  <si>
    <t>Központi,</t>
  </si>
  <si>
    <t>érték-</t>
  </si>
  <si>
    <t>költségv-i</t>
  </si>
  <si>
    <t>irányító</t>
  </si>
  <si>
    <t>papírok</t>
  </si>
  <si>
    <t>maradvány</t>
  </si>
  <si>
    <t>szervi</t>
  </si>
  <si>
    <t>igénybevét.</t>
  </si>
  <si>
    <t>(3+…+13)</t>
  </si>
  <si>
    <t>Finan-</t>
  </si>
  <si>
    <t>szírozási</t>
  </si>
  <si>
    <t>(15+18)</t>
  </si>
  <si>
    <t>(14 + 19)</t>
  </si>
  <si>
    <t>Módosított előirányzatok</t>
  </si>
  <si>
    <t>Módosított előirányzatok:</t>
  </si>
  <si>
    <t>Felh.c.vtérít.</t>
  </si>
  <si>
    <t>Lakás-</t>
  </si>
  <si>
    <t>Hosszú lej.</t>
  </si>
  <si>
    <t>Belföldi</t>
  </si>
  <si>
    <t>Beruházások</t>
  </si>
  <si>
    <t>Felújítások</t>
  </si>
  <si>
    <t>felhalm.célú</t>
  </si>
  <si>
    <t>tám.,kölcsön</t>
  </si>
  <si>
    <t>hitelek,</t>
  </si>
  <si>
    <t xml:space="preserve"> kölcsönök</t>
  </si>
  <si>
    <t>szervi tám.</t>
  </si>
  <si>
    <t>belülre</t>
  </si>
  <si>
    <t>kívülre</t>
  </si>
  <si>
    <t>áht-n belülre</t>
  </si>
  <si>
    <t>áht-n kívülre</t>
  </si>
  <si>
    <t>törlesztése</t>
  </si>
  <si>
    <t>folyósítása</t>
  </si>
  <si>
    <t>Működési költségvetési kiadások</t>
  </si>
  <si>
    <t>Felhalmozási költségvetési kiadások</t>
  </si>
  <si>
    <t>Finanszírozási kiadások</t>
  </si>
  <si>
    <t>Pénzmaradvánnyal módosított előirányzatok</t>
  </si>
  <si>
    <t>Első</t>
  </si>
  <si>
    <t>(3+16)</t>
  </si>
  <si>
    <t>(18+21)</t>
  </si>
  <si>
    <t>(17+22)</t>
  </si>
  <si>
    <t>Szoc. adó</t>
  </si>
  <si>
    <t>Második</t>
  </si>
  <si>
    <t>Irányító szervi támogatás</t>
  </si>
  <si>
    <t>harmadik</t>
  </si>
  <si>
    <t>Harmadik</t>
  </si>
  <si>
    <t>Működtetett intézmények többletbevétele</t>
  </si>
  <si>
    <t>Polgármesteri Kabinet dologi kiadásra</t>
  </si>
  <si>
    <t>Okt.31.</t>
  </si>
  <si>
    <t>negyedik</t>
  </si>
  <si>
    <t>dec.31.</t>
  </si>
  <si>
    <t>ötödik</t>
  </si>
  <si>
    <t>finanszí-</t>
  </si>
  <si>
    <t>rozási</t>
  </si>
  <si>
    <t>035</t>
  </si>
  <si>
    <t>..</t>
  </si>
  <si>
    <t>EIM-2</t>
  </si>
  <si>
    <t>EIM-1</t>
  </si>
  <si>
    <t>KGR-hez - Nyitás utáni helyesbítések</t>
  </si>
  <si>
    <t>FIDESZ Frakciókeret</t>
  </si>
  <si>
    <t>EIM-3</t>
  </si>
  <si>
    <t>Kerületünk az otthonunk Frakciókeret</t>
  </si>
  <si>
    <t>EIM-4</t>
  </si>
  <si>
    <t>Közvilágítási oszlop káreseménye</t>
  </si>
  <si>
    <t>EIM-23</t>
  </si>
  <si>
    <t>Intézményfinanszírozás</t>
  </si>
  <si>
    <t>EIM-24</t>
  </si>
  <si>
    <t>EIM-25</t>
  </si>
  <si>
    <t>EIM-26</t>
  </si>
  <si>
    <t>Intézményfinanszírozás - Eü.Szolg.</t>
  </si>
  <si>
    <t>EIM-27</t>
  </si>
  <si>
    <t>EIM-27/A</t>
  </si>
  <si>
    <t>EIM-28</t>
  </si>
  <si>
    <t>Intézményfinanszírozás Szoc.ágazati pótlék</t>
  </si>
  <si>
    <t>EIM-29</t>
  </si>
  <si>
    <t xml:space="preserve"> Szociális ágazati pótlék</t>
  </si>
  <si>
    <t>Tárgyévi bérkompenzáció</t>
  </si>
  <si>
    <t>Intézményfinanszírozás - Tárgyévi bérkompenzáció</t>
  </si>
  <si>
    <t>EIM-29/A</t>
  </si>
  <si>
    <t>Tárgyévi bérkompenzáció OEP - Eü.Szolg.</t>
  </si>
  <si>
    <t>EIM-30</t>
  </si>
  <si>
    <t>Kieg.szociális átazati pótlék</t>
  </si>
  <si>
    <t>Int. fin. - Kieg.szociális átazati pótlék</t>
  </si>
  <si>
    <t>EIM-31</t>
  </si>
  <si>
    <t>Int.fin. - Jelzőrendszeres házi segítségnyújtás</t>
  </si>
  <si>
    <t>Belföldi államkötvények értékesítése</t>
  </si>
  <si>
    <t>EIM-33</t>
  </si>
  <si>
    <t>Előző évi működési maradvány igénybevétel</t>
  </si>
  <si>
    <t>EIM-35</t>
  </si>
  <si>
    <t>Pénzbeli kártérítés és baleseti járadék</t>
  </si>
  <si>
    <t>EIM-7</t>
  </si>
  <si>
    <t>Máriaremetei Uszoda megvalósítása</t>
  </si>
  <si>
    <t>Csík F.Ált.Isk.tornaszoba kialakításhoz MOB támogatás</t>
  </si>
  <si>
    <t>EIM-8</t>
  </si>
  <si>
    <t>EIM-9</t>
  </si>
  <si>
    <t>Várakozóhely megváltás</t>
  </si>
  <si>
    <t>EIM-11</t>
  </si>
  <si>
    <t>Ingatlan nyílvántartási eljárás ig.szolgáltatási díj</t>
  </si>
  <si>
    <t>EIM-H-2
EIM-11</t>
  </si>
  <si>
    <t>EIM-12</t>
  </si>
  <si>
    <t>Bursa Hungarica fel nem használt ösztöndíj</t>
  </si>
  <si>
    <t>EIM-13</t>
  </si>
  <si>
    <t>EIM-16</t>
  </si>
  <si>
    <t>KDNP Frakciókeret</t>
  </si>
  <si>
    <t>EIM-17</t>
  </si>
  <si>
    <t>Adósságcsökkentési támogatás rendezése</t>
  </si>
  <si>
    <t>EIM-18</t>
  </si>
  <si>
    <t>Polgármesteri Keret felhasználása</t>
  </si>
  <si>
    <t>EIM-19</t>
  </si>
  <si>
    <t>Alpolgármesteri Keret felhasználása</t>
  </si>
  <si>
    <t>EIM-20</t>
  </si>
  <si>
    <t>Iparűzési adó forrásmegosztás mód.</t>
  </si>
  <si>
    <t>EIM-21</t>
  </si>
  <si>
    <t>PH. Bérkompenzáció 2015.évi</t>
  </si>
  <si>
    <t>EIM-27/PH</t>
  </si>
  <si>
    <t>Intézményfinanszírozás - Bérkompenzáció 2015.évi</t>
  </si>
  <si>
    <t>Bérkompenzáció 2015.évi</t>
  </si>
  <si>
    <t>EIM-H-3
EIM-27</t>
  </si>
  <si>
    <t>EIM-29/PH</t>
  </si>
  <si>
    <t>PH Tárgyévi bérkompenzáció</t>
  </si>
  <si>
    <t>PH. - Tárgyévi bérkompenzáció</t>
  </si>
  <si>
    <t>EIM-H-4
EIM-29</t>
  </si>
  <si>
    <t>EIM-36</t>
  </si>
  <si>
    <t>Musica Sacra közreműködőinek vendéglátás</t>
  </si>
  <si>
    <t>Mészégető, Kadarka u.vízellátás ig.szolg.díja</t>
  </si>
  <si>
    <t>EIM-37</t>
  </si>
  <si>
    <t>Bécsi út 17-21.alatt irodák kialakítása</t>
  </si>
  <si>
    <t>EIM-H-7
EIM-37</t>
  </si>
  <si>
    <t>EIM-H-5</t>
  </si>
  <si>
    <t>Margit krt.25/c-kódzár telepítés</t>
  </si>
  <si>
    <t>EIM-H-6</t>
  </si>
  <si>
    <t>Továbbszámlázás Önk. felé</t>
  </si>
  <si>
    <t>EIM-H-8</t>
  </si>
  <si>
    <t>Közcélú foglalkoztatás</t>
  </si>
  <si>
    <t>K1</t>
  </si>
  <si>
    <t>K2</t>
  </si>
  <si>
    <t>K3</t>
  </si>
  <si>
    <t>K4</t>
  </si>
  <si>
    <t>K502</t>
  </si>
  <si>
    <t>K506</t>
  </si>
  <si>
    <t>K512</t>
  </si>
  <si>
    <t>K513</t>
  </si>
  <si>
    <t>K6</t>
  </si>
  <si>
    <t>K7</t>
  </si>
  <si>
    <t>K84</t>
  </si>
  <si>
    <t>K86</t>
  </si>
  <si>
    <t>K87</t>
  </si>
  <si>
    <t>K89</t>
  </si>
  <si>
    <t>K9111</t>
  </si>
  <si>
    <t>K912</t>
  </si>
  <si>
    <t>K915</t>
  </si>
  <si>
    <t>K916</t>
  </si>
  <si>
    <t>B11</t>
  </si>
  <si>
    <t>B12</t>
  </si>
  <si>
    <t>B16</t>
  </si>
  <si>
    <t>B3</t>
  </si>
  <si>
    <t>B4</t>
  </si>
  <si>
    <t>B6</t>
  </si>
  <si>
    <t>B21</t>
  </si>
  <si>
    <t>B25</t>
  </si>
  <si>
    <t>B5</t>
  </si>
  <si>
    <t>B74</t>
  </si>
  <si>
    <t>B75</t>
  </si>
  <si>
    <t>B812</t>
  </si>
  <si>
    <t>B813</t>
  </si>
  <si>
    <t>B816</t>
  </si>
  <si>
    <t>B817</t>
  </si>
  <si>
    <t>055</t>
  </si>
  <si>
    <t xml:space="preserve">Maradvány </t>
  </si>
  <si>
    <t>Maradvány</t>
  </si>
  <si>
    <t>Maradvánnyal módosított előirányzatok</t>
  </si>
  <si>
    <t>Intézményfinanszírozás - Eü.Sz.Bérkomp. 2015.évi</t>
  </si>
  <si>
    <t>Int.finansz. OEP -  Eü.Szolg.Tárgyévi bérkompenzáció</t>
  </si>
  <si>
    <t>EIM-32 és 32/A</t>
  </si>
  <si>
    <t>EIM-39</t>
  </si>
  <si>
    <t>EIM-40</t>
  </si>
  <si>
    <t>Községház u-i Óvoda belső korszerűsítés tervezése</t>
  </si>
  <si>
    <t>EIM-41</t>
  </si>
  <si>
    <t>Völgy u. 20-22. okt-i int. kial. tanulmány</t>
  </si>
  <si>
    <t>EIM-42</t>
  </si>
  <si>
    <t>EIM-44</t>
  </si>
  <si>
    <t>EIM-45</t>
  </si>
  <si>
    <t>EIM-50</t>
  </si>
  <si>
    <t>Konténerek bérlése</t>
  </si>
  <si>
    <t>EIM-51</t>
  </si>
  <si>
    <t>EIM-55</t>
  </si>
  <si>
    <t>Hunyadi u.81-85. Rendelő felújítás kiviteli terv</t>
  </si>
  <si>
    <t>EIM-61</t>
  </si>
  <si>
    <t>EIM-62</t>
  </si>
  <si>
    <t>Közművesítések</t>
  </si>
  <si>
    <t>EIM-67</t>
  </si>
  <si>
    <t>Széll Kálmán tér története kiallításhoz</t>
  </si>
  <si>
    <t>EIM-68</t>
  </si>
  <si>
    <t>Máriaremetei Uszoda</t>
  </si>
  <si>
    <t>EIM-69</t>
  </si>
  <si>
    <t>Elaktromos autó-töltőállomás csatlakozási díj</t>
  </si>
  <si>
    <t>EIM-72</t>
  </si>
  <si>
    <t>EIM-73</t>
  </si>
  <si>
    <t>VEKOP-6.1.1-15 pályázatírás</t>
  </si>
  <si>
    <t>EIM-74</t>
  </si>
  <si>
    <t>EIM-75</t>
  </si>
  <si>
    <t>Robogó beszerzése Parkolási Csoportnak</t>
  </si>
  <si>
    <t>EIM-H-12</t>
  </si>
  <si>
    <t>EIM-76</t>
  </si>
  <si>
    <t xml:space="preserve">Bfenyves, Balaton u.4.gy.üdülő bontási és építési eng.terv </t>
  </si>
  <si>
    <t>EIM-80</t>
  </si>
  <si>
    <t>EIM-81</t>
  </si>
  <si>
    <t>Környezetvédelmi Nap közreműködőinek vendéglátás</t>
  </si>
  <si>
    <t>EIM-82</t>
  </si>
  <si>
    <t>HungaroControll Zrt-től támogatás</t>
  </si>
  <si>
    <t>EIM-63/PH</t>
  </si>
  <si>
    <t>PH. Tárgyévi bérkompenzáció</t>
  </si>
  <si>
    <t>EIM-H-14
EIM-63</t>
  </si>
  <si>
    <t>EIM-H-13</t>
  </si>
  <si>
    <t>Saját bevétel beemelése</t>
  </si>
  <si>
    <t>EIM-54</t>
  </si>
  <si>
    <t>Int.finanszírozás-Eü.Szolg.Endoszkóp mosó automata</t>
  </si>
  <si>
    <t>EIM-63</t>
  </si>
  <si>
    <t>Intézményfinanszírozás-Tárgyévi bérkompenzáció</t>
  </si>
  <si>
    <t>EIM-53</t>
  </si>
  <si>
    <t>EIM-63/A</t>
  </si>
  <si>
    <t>Int.fin. - Eü.Szolg. Tárgyévi bérkompenzáció</t>
  </si>
  <si>
    <t>EIM-64</t>
  </si>
  <si>
    <t>Intézményfinanszírozás - Kieg szoc.ágazati pótlék</t>
  </si>
  <si>
    <t>EIM-65</t>
  </si>
  <si>
    <t>EIM-66</t>
  </si>
  <si>
    <t>EIM-79</t>
  </si>
  <si>
    <t>EIM-83</t>
  </si>
  <si>
    <t>EIM-47</t>
  </si>
  <si>
    <t>EIM-H-15</t>
  </si>
  <si>
    <t>Házasságkötő-terem folyadékhűtő csere</t>
  </si>
  <si>
    <t>EIM-H-16</t>
  </si>
  <si>
    <t>Jelzálogjog bejegyzés módosítása</t>
  </si>
  <si>
    <t>EIM-85</t>
  </si>
  <si>
    <t>EIM-90</t>
  </si>
  <si>
    <t>EIM-91</t>
  </si>
  <si>
    <t>Lakás bérleti jogviszony megváltása</t>
  </si>
  <si>
    <t>EIM-92</t>
  </si>
  <si>
    <t>Nemzetiségeink tám. - Kerület Napján való részvétel</t>
  </si>
  <si>
    <t>EIM-93</t>
  </si>
  <si>
    <t>EIM-103</t>
  </si>
  <si>
    <t xml:space="preserve">HAVARIA Keret </t>
  </si>
  <si>
    <t>EIM-94</t>
  </si>
  <si>
    <t>KEHOP-5.2.9 pályázatírás</t>
  </si>
  <si>
    <t>EIM-95</t>
  </si>
  <si>
    <t>Kadarka u-i Óvoda pály.tervdok.készítése</t>
  </si>
  <si>
    <t>EIM-96</t>
  </si>
  <si>
    <t>Bolyai Óvoda pály.tervdok.készítése</t>
  </si>
  <si>
    <t>EIM-97</t>
  </si>
  <si>
    <t>Községház u.Óvoda pály.tervdok.készítés</t>
  </si>
  <si>
    <t>EIM-86</t>
  </si>
  <si>
    <t>EIM-87</t>
  </si>
  <si>
    <t>EIM-88</t>
  </si>
  <si>
    <t>EIM-89</t>
  </si>
  <si>
    <t>EIM-101</t>
  </si>
  <si>
    <t>EIM-107</t>
  </si>
  <si>
    <t>Intézményfinanszírozás - Szoc.ágazati pótlék</t>
  </si>
  <si>
    <t>EIM-108</t>
  </si>
  <si>
    <t>EIM-109</t>
  </si>
  <si>
    <t>EIM-110</t>
  </si>
  <si>
    <t>Intézményfinanszírozás - Eü. Szolg.</t>
  </si>
  <si>
    <t>EIM-H-18</t>
  </si>
  <si>
    <t>EIM-98</t>
  </si>
  <si>
    <t>EIM-100</t>
  </si>
  <si>
    <t>Átcsop.Kerületünk az otthonunk fr.kereten belül</t>
  </si>
  <si>
    <t>EIM-104</t>
  </si>
  <si>
    <t>Margit krt. 7. felújítása</t>
  </si>
  <si>
    <t>EIM-H-19
EIM-104</t>
  </si>
  <si>
    <t>EIM-106</t>
  </si>
  <si>
    <t>EIM-111</t>
  </si>
  <si>
    <t>Internet Kortalanul tanfolyam lebonyolítása</t>
  </si>
  <si>
    <t>EIM-112</t>
  </si>
  <si>
    <t>Testvérvárosi kapcsolatok tartalék felh.</t>
  </si>
  <si>
    <t>EIM-118</t>
  </si>
  <si>
    <t>Állategészségügyi kiadások átcsoportosítása</t>
  </si>
  <si>
    <t>EIM-114</t>
  </si>
  <si>
    <t>Műszaki előkészítés</t>
  </si>
  <si>
    <t>EIM-115</t>
  </si>
  <si>
    <t>Transzformátorállomás áthelyezése</t>
  </si>
  <si>
    <t>EIM-117</t>
  </si>
  <si>
    <t>Községház u-i Óvoda napelemes rendszer tervezése</t>
  </si>
  <si>
    <t>EIM-H-21</t>
  </si>
  <si>
    <t>EIM-H-20</t>
  </si>
  <si>
    <t>Közfoglalkozás támogatása</t>
  </si>
  <si>
    <t>Informatikai egyéb eszköz beszerzés</t>
  </si>
  <si>
    <t>EIM-122</t>
  </si>
  <si>
    <t>EIM-123</t>
  </si>
  <si>
    <t>2015.évi pótlólagos állami támogatás</t>
  </si>
  <si>
    <t>EIM-124</t>
  </si>
  <si>
    <t>EIM-125</t>
  </si>
  <si>
    <t>EIM-126</t>
  </si>
  <si>
    <t>Jelzőrendszeres házi segítségnyújtás</t>
  </si>
  <si>
    <t>Szociális Iroda többletbevételei</t>
  </si>
  <si>
    <t>Fel nem használt támogatások visszafizetése</t>
  </si>
  <si>
    <t>Bérlő kijelölési jog vételárrész</t>
  </si>
  <si>
    <t>EIM-128</t>
  </si>
  <si>
    <t>EIM-132</t>
  </si>
  <si>
    <t>Intézményfinanszírozás - Eü. Szolg. szűrővizsgálatok</t>
  </si>
  <si>
    <t>EIM-133</t>
  </si>
  <si>
    <t>EIM-134</t>
  </si>
  <si>
    <t>EIM-135</t>
  </si>
  <si>
    <t>EIM-130</t>
  </si>
  <si>
    <t>Mansfeld Péter park környezet rendezése</t>
  </si>
  <si>
    <t>EIM-137</t>
  </si>
  <si>
    <t>EIM-139</t>
  </si>
  <si>
    <t>Gépjármű vásárlás önkormányzat részére</t>
  </si>
  <si>
    <t>EIM-H-23
EIM-139</t>
  </si>
  <si>
    <t>EIM-140</t>
  </si>
  <si>
    <t>EIM-141</t>
  </si>
  <si>
    <t>EIM-142</t>
  </si>
  <si>
    <t xml:space="preserve">PH. Bérkompenzáció </t>
  </si>
  <si>
    <t>EIM-143</t>
  </si>
  <si>
    <t>EIM-H-24
EIM-143</t>
  </si>
  <si>
    <t>EIM-H-24</t>
  </si>
  <si>
    <t xml:space="preserve">Intézményfinanszírozás -  Bérkompenzáció </t>
  </si>
  <si>
    <t>Bérkompenzáció - Eü. Szolg.</t>
  </si>
  <si>
    <t>EIM-144</t>
  </si>
  <si>
    <t>Intézményfin. - Kieg. Szoc. Ágazati pótlék</t>
  </si>
  <si>
    <t>EIM-145</t>
  </si>
  <si>
    <t>Testvérvárosi kapcsolatok</t>
  </si>
  <si>
    <t>EIM-146</t>
  </si>
  <si>
    <t>Szabadság u-i sportpályán konténerek fennm. eng.</t>
  </si>
  <si>
    <t xml:space="preserve">Bursa Hungarica - fel nem használt ösztöndíj </t>
  </si>
  <si>
    <t>EIM-147</t>
  </si>
  <si>
    <t>Bolyai Ó. és Községház u-i Ó.energetikai ell.</t>
  </si>
  <si>
    <t>EIM-148</t>
  </si>
  <si>
    <t>Intézményfinansz. - Eü. Szolg. szűrővizsg. lebony.</t>
  </si>
  <si>
    <t>EIM-149</t>
  </si>
  <si>
    <t>EIM-H-28</t>
  </si>
  <si>
    <t xml:space="preserve">Felvonó csere </t>
  </si>
  <si>
    <t>Iparűzési adó költségtérítése Főváros felé</t>
  </si>
  <si>
    <t>EIM-151</t>
  </si>
  <si>
    <t>Máriaremetei Uszoda - Közlekedés fejlesztés</t>
  </si>
  <si>
    <t>EIM-152</t>
  </si>
  <si>
    <t>EIM-H-29</t>
  </si>
  <si>
    <t>EIM-H-30
EIM-157</t>
  </si>
  <si>
    <t>Népszavazás többlet költség, saját keret</t>
  </si>
  <si>
    <t>EIM-157</t>
  </si>
  <si>
    <t>Diákgyőztesek díjátadó ünnepsége</t>
  </si>
  <si>
    <t>EIM-160</t>
  </si>
  <si>
    <t>EIM-161</t>
  </si>
  <si>
    <t>Adyliget, Margit park tervezésre</t>
  </si>
  <si>
    <t>EIM-154</t>
  </si>
  <si>
    <t>Intézményfinanszírozás - Eü. Szolg(Széher út 71.)</t>
  </si>
  <si>
    <t>EIM-162</t>
  </si>
  <si>
    <t>EIM-163</t>
  </si>
  <si>
    <t>EIM-164</t>
  </si>
  <si>
    <t>EIM-165</t>
  </si>
  <si>
    <t>EIM-166</t>
  </si>
  <si>
    <t>Intézményfinanszírozás - Eü. Szolg számitógép besz.</t>
  </si>
  <si>
    <t>Állategészségügyi kiadások átcsop.</t>
  </si>
  <si>
    <t>EIM-169</t>
  </si>
  <si>
    <t>Kadarka u.1-3. népegészségügyi igazg.szolg.díj</t>
  </si>
  <si>
    <t>EIM-171</t>
  </si>
  <si>
    <t>Rét u.3. hátsó udvari térkövezet felújítása</t>
  </si>
  <si>
    <t>Önk. működési támogatásai</t>
  </si>
  <si>
    <t>EIM-172</t>
  </si>
  <si>
    <t>EIM-H-33</t>
  </si>
  <si>
    <t>2016.
08.31-ig</t>
  </si>
  <si>
    <t>Intézményfinansz. - Eü.Szolg.Fizikoterápiás készülék</t>
  </si>
  <si>
    <t>EIM-176</t>
  </si>
  <si>
    <t>Ingatlanok karb.kisjav. Nagyfelületű javítás</t>
  </si>
  <si>
    <t>Balatonfenyves, Balaton u. 4. gyermeküdülő kiv.terv</t>
  </si>
  <si>
    <t>EIM-180</t>
  </si>
  <si>
    <t>EIM-182</t>
  </si>
  <si>
    <t>Szociális lakások felújítása</t>
  </si>
  <si>
    <t>EIM-H-34</t>
  </si>
  <si>
    <t>Kvótanépszavazás - központi keret</t>
  </si>
  <si>
    <t>EIM-183</t>
  </si>
  <si>
    <t>II.Hidegkúti út 209.ingatlan bontása</t>
  </si>
  <si>
    <t>EIM-185</t>
  </si>
  <si>
    <t>EIM-186</t>
  </si>
  <si>
    <t>Alpolgármesteri keret felhasználása</t>
  </si>
  <si>
    <t>Adójutalék</t>
  </si>
  <si>
    <t>EIM-H-36
EIM-186</t>
  </si>
  <si>
    <t>EIM-187</t>
  </si>
  <si>
    <t>Bécsi út 17-21.alatt irodák riasztó rendszere</t>
  </si>
  <si>
    <t>EIM-H-38
EIM-187</t>
  </si>
  <si>
    <t>EIM-H-37</t>
  </si>
  <si>
    <t>Kvótanépszavazás - központi keret - Személyi keret</t>
  </si>
  <si>
    <t>EIM-189</t>
  </si>
  <si>
    <t>EIM-190</t>
  </si>
  <si>
    <t>13204/13 hrsz ingatlan kártalanítási ügy fedezetére</t>
  </si>
  <si>
    <t>EIM-191</t>
  </si>
  <si>
    <t>Velence, Balatonfenyves nyári tábori kedv.megtér.</t>
  </si>
  <si>
    <t>EIM-192</t>
  </si>
  <si>
    <t>2016. évi bérkompenzáció - Polgármesteri Hiv.</t>
  </si>
  <si>
    <t>EIM-195</t>
  </si>
  <si>
    <t>Fonódó vill.kapcs.támogatás Főv.Önk-tól</t>
  </si>
  <si>
    <t>EIM-H-39
EIM-192</t>
  </si>
  <si>
    <t>EIM-184</t>
  </si>
  <si>
    <t>Intézményfinanszírozás - Eü. Szolg. - nyomtatók</t>
  </si>
  <si>
    <t>Bérkompenzáció - Polgármesteri Hiv.</t>
  </si>
  <si>
    <t>Bérkompenzáció -Intézmények</t>
  </si>
  <si>
    <t>Bérkompenzáció - Intézmények</t>
  </si>
  <si>
    <t>EIM-193</t>
  </si>
  <si>
    <t>Kieg.szoc.ágazati pótlék - Intézmények</t>
  </si>
  <si>
    <t>EIM-194</t>
  </si>
  <si>
    <t>Szoc.ágazati pótlék - Intézmények</t>
  </si>
  <si>
    <t>EIM-H-40</t>
  </si>
  <si>
    <t>Gépjármű vásárlás - regisztrációs adó</t>
  </si>
  <si>
    <t>EIM-198</t>
  </si>
  <si>
    <t>Személyes szab. kárpótlás bev.</t>
  </si>
  <si>
    <t>EIM-200</t>
  </si>
  <si>
    <t>Közcélú foglalkoztatás önrész</t>
  </si>
  <si>
    <t>EIM-H-41
EIM-201</t>
  </si>
  <si>
    <t>EIM-201</t>
  </si>
  <si>
    <t>EIM-203</t>
  </si>
  <si>
    <t>Környezetvédelmi Keretből átcsop.</t>
  </si>
  <si>
    <t>EIM-204</t>
  </si>
  <si>
    <t>Havaria keret</t>
  </si>
  <si>
    <t>EIM-205</t>
  </si>
  <si>
    <t>Virágárok Óvoda étellift keret beépítése</t>
  </si>
  <si>
    <t>EIM-207</t>
  </si>
  <si>
    <t>Várakozóhelyek megváltása</t>
  </si>
  <si>
    <t>Finikéből érkező delegáció látogatása</t>
  </si>
  <si>
    <t>EIM-208</t>
  </si>
  <si>
    <t>EIM-210</t>
  </si>
  <si>
    <t>Gross Arnold emléktábla készítés</t>
  </si>
  <si>
    <t>EIM-211</t>
  </si>
  <si>
    <t>EIM-212</t>
  </si>
  <si>
    <t>EIM-213</t>
  </si>
  <si>
    <t>EIM-214</t>
  </si>
  <si>
    <t>EIM-215</t>
  </si>
  <si>
    <t>EIM-216</t>
  </si>
  <si>
    <t>EIM-217</t>
  </si>
  <si>
    <t>EIM-220</t>
  </si>
  <si>
    <t>Polgármesteri keret felhasználása</t>
  </si>
  <si>
    <t>EIM-221</t>
  </si>
  <si>
    <t>Átcsoportosítás FIDESZ frakciókereten belül</t>
  </si>
  <si>
    <t>EIM-224</t>
  </si>
  <si>
    <t>Népszavazás saját keret átcsoportosítás</t>
  </si>
  <si>
    <t>EIM-H-45</t>
  </si>
  <si>
    <t>EIM-225</t>
  </si>
  <si>
    <t>EIM-238</t>
  </si>
  <si>
    <t>Államkötvény beváltás, kicstárjegy vásárlás</t>
  </si>
  <si>
    <t>Parkolási feladatok ellátása Főv.Önk-i területen</t>
  </si>
  <si>
    <t>EIM-227</t>
  </si>
  <si>
    <t>EIM-228</t>
  </si>
  <si>
    <t>EIM-229</t>
  </si>
  <si>
    <t>Máriaremetei Uszoda - Tervezési feladatra</t>
  </si>
  <si>
    <t>EIM-230</t>
  </si>
  <si>
    <t>EIM-231</t>
  </si>
  <si>
    <t xml:space="preserve">Társasházak felújítása Keret </t>
  </si>
  <si>
    <t xml:space="preserve">Európai Mobilitási Hét - Autómentes Nap </t>
  </si>
  <si>
    <t>EIM-232</t>
  </si>
  <si>
    <t>EIM-234</t>
  </si>
  <si>
    <t>Érmeszortírozó gép beszerzése Parkolási Csoportnak</t>
  </si>
  <si>
    <t>EIM-235</t>
  </si>
  <si>
    <t xml:space="preserve">Klebelsberg díj, pénzjutalom, ünnepség </t>
  </si>
  <si>
    <t>EIM-239</t>
  </si>
  <si>
    <t>EIM-240</t>
  </si>
  <si>
    <t>EIM-243</t>
  </si>
  <si>
    <t>TÉR_KÖZ 2016.pály.tájépítészeti koncepcióterv</t>
  </si>
  <si>
    <t>EIM-226</t>
  </si>
  <si>
    <t>EIM-236</t>
  </si>
  <si>
    <t>EIM-237</t>
  </si>
  <si>
    <t>EIM-244</t>
  </si>
  <si>
    <t>Közterületek szépítése lakossági pályázat</t>
  </si>
  <si>
    <t>EIM-245</t>
  </si>
  <si>
    <t>EIM-246</t>
  </si>
  <si>
    <t>Behajtásgátló oszlopok karbantartására</t>
  </si>
  <si>
    <t>Iskolák eszközbeszerzéséhez átcsoportosítás</t>
  </si>
  <si>
    <t>Hallai J</t>
  </si>
  <si>
    <t>EIM-250</t>
  </si>
  <si>
    <t>EIM-251</t>
  </si>
  <si>
    <t>Többletbevétel beemelése</t>
  </si>
  <si>
    <t>EIM-H-50</t>
  </si>
  <si>
    <t>EIM-255</t>
  </si>
  <si>
    <t>BRFK túlszolgálat finanszírozása</t>
  </si>
  <si>
    <t>EIM-256</t>
  </si>
  <si>
    <t>EIM-H-51</t>
  </si>
  <si>
    <t>Kvótanépszavazás - központi keret kieg.</t>
  </si>
  <si>
    <t>EIM-H-52</t>
  </si>
  <si>
    <t>EIM-H-53</t>
  </si>
  <si>
    <t xml:space="preserve">Kvótanépszavazás - központi keret </t>
  </si>
  <si>
    <t>EIM-258</t>
  </si>
  <si>
    <t>EIM-261</t>
  </si>
  <si>
    <t>Személyi juttatásra átcsoportosítás</t>
  </si>
  <si>
    <t>Nem intézmények által ellátott önkormányzati feladatok bevételi előirányzatain végrehajtott saját hatáskörű változtatások kiemelt előirányzatonként 
2016. december 1 - től   2016. december 31 - ig</t>
  </si>
  <si>
    <t>Nem intézmények által ellátott önkormányzati feladatok kiadási előirányzatain végrehajtott saját hatáskörű változtatások kiemelt előirányzatonként 
2016. december 1 - től   2016. december 31 - ig</t>
  </si>
  <si>
    <t>A Polgármesteri Hivatal által ellátott feladatok bevételi előirányzatain végrehajtott változtatások kiemelt előirányzatonként 
2016. december 1 - től   2016. december 31 - ig</t>
  </si>
  <si>
    <t>A Polgármesteri Hivatal által ellátott feladatok kiadási előirányzatain végrehajtott változtatások kiemelt előirányzatonként 
2016. december 1 - től   2016. december 31 - ig</t>
  </si>
  <si>
    <t>Nov. 30.</t>
  </si>
  <si>
    <t>EIM-263</t>
  </si>
  <si>
    <t>EIM-264</t>
  </si>
  <si>
    <t>Bérkompenzáció-Eü. Szolgálat</t>
  </si>
  <si>
    <t>EIM-H-56
EIM-264</t>
  </si>
  <si>
    <t>EIM-265</t>
  </si>
  <si>
    <t>Bérkompenzáció-Polg.Hiv.</t>
  </si>
  <si>
    <t>Máriaremetei Uszoda - Talajmech-i szakvél.</t>
  </si>
  <si>
    <t>Kubinyi Anna emléktábla készítés</t>
  </si>
  <si>
    <t>EIM-267</t>
  </si>
  <si>
    <t>EIM-268</t>
  </si>
  <si>
    <t>EIM-269</t>
  </si>
  <si>
    <t>Máriaremetei Uszoda - támogatás felhaszn.</t>
  </si>
  <si>
    <t>Máriaremetei Uszoda - hálózatfejlesztés</t>
  </si>
  <si>
    <t>EIM-270</t>
  </si>
  <si>
    <t>EIM-272</t>
  </si>
  <si>
    <t>Átcsop.KDNP frakció kereten belül</t>
  </si>
  <si>
    <t>EIM-273</t>
  </si>
  <si>
    <t>EIM-274</t>
  </si>
  <si>
    <t>Margit krt. 7. iroda és riasztó rendszszer felúj.</t>
  </si>
  <si>
    <t>EIM-275</t>
  </si>
  <si>
    <t>Előző évi maradvány visszafizetés</t>
  </si>
  <si>
    <t>EIM-276</t>
  </si>
  <si>
    <t>Érmeosztályozó beszerzés régi értékesítésével</t>
  </si>
  <si>
    <t>EIM-277</t>
  </si>
  <si>
    <t>EIM-278</t>
  </si>
  <si>
    <t>EIM-279</t>
  </si>
  <si>
    <t>EIM-280</t>
  </si>
  <si>
    <t>TÉR_KÖZ 2016.pály.megírása, tanácsadás</t>
  </si>
  <si>
    <t>EIM-281</t>
  </si>
  <si>
    <t>EIM-282</t>
  </si>
  <si>
    <t>Járdatisztító gépek felújítása</t>
  </si>
  <si>
    <t>EIM-283</t>
  </si>
  <si>
    <t>EIM-285</t>
  </si>
  <si>
    <t>Balesethez kapcsolódó ktg.megtérítése</t>
  </si>
  <si>
    <t>EIM-H-59
EIM-285</t>
  </si>
  <si>
    <t>EIM-286</t>
  </si>
  <si>
    <t>Könyvkészlet értékesítése</t>
  </si>
  <si>
    <t>EIM-287</t>
  </si>
  <si>
    <t>Népszavazás fel nem használt saját keret</t>
  </si>
  <si>
    <t>EIM-H-60
EIM-287</t>
  </si>
  <si>
    <t>EIM-288</t>
  </si>
  <si>
    <t>EIM-H-57</t>
  </si>
  <si>
    <t>Telefonközpont és készülék beszerz.régi készülékek ért.</t>
  </si>
  <si>
    <t>EIM-289</t>
  </si>
  <si>
    <t>Szociális ágazati pótlék - Bölcsődék, Szoc. Intézmények</t>
  </si>
  <si>
    <t>EIM-290</t>
  </si>
  <si>
    <t>EIM-291</t>
  </si>
  <si>
    <t>Int.fin. - Szászorszép Óvoda,személyi+járulék</t>
  </si>
  <si>
    <t>Kieg.szoc.ágazati pótlék - Bölcsődék és Szoc.int</t>
  </si>
  <si>
    <t>Bérkompenzáció-Bölcsődék, Szoc.intézmények, IMK</t>
  </si>
  <si>
    <t xml:space="preserve">Int.fin. Eü.Szolg.-Egészségnap-szűrővizsgálatok lebony. </t>
  </si>
  <si>
    <t>Kieg.szoc.ágazati pótlék - Bölcsődék, Szoc.int</t>
  </si>
  <si>
    <t>Bérkompenzáció-Bölcsődék, Szoc.int., IMK</t>
  </si>
  <si>
    <t>Szociális ágazati pótlék - Bölcsődék, Szoc.int.</t>
  </si>
  <si>
    <t>EIM-292</t>
  </si>
  <si>
    <t>Várakozóhely megváltás visszafizetése</t>
  </si>
  <si>
    <t>EIM-293</t>
  </si>
  <si>
    <t>EIM-H-61</t>
  </si>
  <si>
    <t>EIM-294</t>
  </si>
  <si>
    <t>EIM-296</t>
  </si>
  <si>
    <t>Szoc. kiadások és bevételek év végi rendezése</t>
  </si>
  <si>
    <t>EIM-297</t>
  </si>
  <si>
    <t>Háziorvosi ügyeleti ellátás finanszírozás</t>
  </si>
  <si>
    <t>Közlekedésfejlesztési pályázat előlege - VEKOP 5.3.1.</t>
  </si>
  <si>
    <t>EIM-298</t>
  </si>
  <si>
    <t>Közlekedésfejl. pályázat előlege - VEKOP 5.3.1.</t>
  </si>
  <si>
    <t>Transzformátorállomás áthelyezés terv.és szakht.-i díja</t>
  </si>
  <si>
    <t>EIM-H-63
EIM-296</t>
  </si>
  <si>
    <t>EIM-301</t>
  </si>
  <si>
    <t>Fel nem használt támogatás visszafizetése</t>
  </si>
  <si>
    <t>EIM-302</t>
  </si>
  <si>
    <t>Buszvárók kihelyezéséhez kapcs.közter.haszn.</t>
  </si>
  <si>
    <t>EIM-305</t>
  </si>
  <si>
    <t>EIM-H-64
EIM-305</t>
  </si>
  <si>
    <t>PH járműértékesítés bevétel beemelése</t>
  </si>
  <si>
    <t>PH járműértékesítés bevétel  beemelése</t>
  </si>
  <si>
    <t>EIM-306</t>
  </si>
  <si>
    <t>ÁtcsoportosításKDNP frakció kereten belül</t>
  </si>
  <si>
    <t>EIM-307</t>
  </si>
  <si>
    <t>Gyermekétkeztetés többletbevétel beemelés</t>
  </si>
  <si>
    <t>EIM-309</t>
  </si>
  <si>
    <t>Oktatási kiadások átcsoportosítása</t>
  </si>
  <si>
    <t>EIM-310</t>
  </si>
  <si>
    <t>Útkarbantartás műszaki ellenőrzése</t>
  </si>
  <si>
    <t>EIM-308</t>
  </si>
  <si>
    <t>Gyermekétk.kiadásra ás okt-i beruh-ra átcsop.</t>
  </si>
  <si>
    <t>EIM-H-66</t>
  </si>
  <si>
    <t>Elmaradt bevételek - kiadások</t>
  </si>
  <si>
    <t>Intézményektől maradvány terhére tört.befiz.</t>
  </si>
  <si>
    <t>EIM-311</t>
  </si>
  <si>
    <t>EIM311</t>
  </si>
  <si>
    <t>Bérkompenzáció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</si>
</sst>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F_t_-;\-* #,##0.00\ _F_t_-;_-* &quot;-&quot;??\ _F_t_-;_-@_-"/>
    <numFmt numFmtId="165" formatCode="#,##0\ _F_t"/>
    <numFmt numFmtId="166" formatCode="#,##0.000"/>
    <numFmt numFmtId="167" formatCode="_-* #,##0.000\ _F_t_-;\-* #,##0.000\ _F_t_-;_-* &quot;-&quot;??\ _F_t_-;_-@_-"/>
    <numFmt numFmtId="168" formatCode="_-* #,##0\ _F_t_-;\-* #,##0\ _F_t_-;_-* &quot;-&quot;??\ _F_t_-;_-@_-"/>
    <numFmt numFmtId="169" formatCode="#,##0.000;[Red]#,##0.000"/>
    <numFmt numFmtId="170" formatCode="0.000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MS Sans Serif"/>
      <charset val="238"/>
    </font>
    <font>
      <sz val="8"/>
      <name val="Arial"/>
      <family val="2"/>
      <charset val="238"/>
    </font>
    <font>
      <sz val="13"/>
      <name val="Times New Roman CE"/>
      <family val="1"/>
      <charset val="238"/>
    </font>
    <font>
      <sz val="10"/>
      <name val="Times New Roman CE"/>
      <family val="1"/>
      <charset val="238"/>
    </font>
    <font>
      <b/>
      <sz val="13"/>
      <name val="Times New Roman CE"/>
      <family val="1"/>
      <charset val="238"/>
    </font>
    <font>
      <sz val="9"/>
      <name val="Times New Roman CE"/>
      <family val="1"/>
      <charset val="238"/>
    </font>
    <font>
      <sz val="13"/>
      <name val="Times New Roman CE"/>
      <charset val="238"/>
    </font>
    <font>
      <i/>
      <sz val="13"/>
      <name val="Times New Roman CE"/>
      <family val="1"/>
      <charset val="238"/>
    </font>
    <font>
      <b/>
      <i/>
      <sz val="13"/>
      <name val="Times New Roman CE"/>
      <family val="1"/>
      <charset val="238"/>
    </font>
    <font>
      <b/>
      <i/>
      <sz val="13"/>
      <name val="Times New Roman CE"/>
      <charset val="238"/>
    </font>
    <font>
      <sz val="12"/>
      <name val="Times New Roman CE"/>
      <family val="1"/>
      <charset val="238"/>
    </font>
    <font>
      <i/>
      <sz val="13"/>
      <name val="Times New Roman CE"/>
      <charset val="238"/>
    </font>
    <font>
      <sz val="11"/>
      <name val="Times New Roman CE"/>
      <family val="1"/>
      <charset val="238"/>
    </font>
    <font>
      <i/>
      <sz val="10"/>
      <name val="Times New Roman CE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sz val="12"/>
      <color indexed="10"/>
      <name val="Times New Roman CE"/>
      <charset val="238"/>
    </font>
    <font>
      <b/>
      <i/>
      <sz val="12"/>
      <name val="Times New Roman CE"/>
      <charset val="238"/>
    </font>
    <font>
      <b/>
      <i/>
      <sz val="12"/>
      <name val="Times New Roman CE"/>
      <family val="1"/>
      <charset val="238"/>
    </font>
    <font>
      <sz val="10"/>
      <name val="Times New Roman"/>
      <family val="1"/>
      <charset val="238"/>
    </font>
    <font>
      <sz val="13"/>
      <color indexed="10"/>
      <name val="Times New Roman CE"/>
      <family val="1"/>
      <charset val="238"/>
    </font>
    <font>
      <b/>
      <i/>
      <sz val="10"/>
      <name val="Times New Roman CE"/>
      <charset val="238"/>
    </font>
    <font>
      <sz val="11"/>
      <name val="Times New Roman CE"/>
      <charset val="238"/>
    </font>
    <font>
      <b/>
      <i/>
      <sz val="11"/>
      <name val="Times New Roman CE"/>
      <charset val="238"/>
    </font>
    <font>
      <sz val="14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sz val="11"/>
      <name val="Times New Roman CE"/>
      <charset val="238"/>
    </font>
    <font>
      <sz val="10"/>
      <name val="Times New Roman CE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FF0000"/>
      <name val="Times New Roman CE"/>
      <family val="1"/>
      <charset val="238"/>
    </font>
    <font>
      <b/>
      <sz val="13"/>
      <color rgb="FFFF0000"/>
      <name val="Times New Roman CE"/>
      <charset val="238"/>
    </font>
    <font>
      <sz val="13"/>
      <color theme="1"/>
      <name val="Times New Roman CE"/>
      <charset val="238"/>
    </font>
    <font>
      <sz val="13"/>
      <color rgb="FFFF0000"/>
      <name val="Times New Roman CE"/>
      <charset val="238"/>
    </font>
    <font>
      <sz val="13"/>
      <color rgb="FFFF0000"/>
      <name val="Times New Roman CE"/>
      <family val="1"/>
      <charset val="238"/>
    </font>
    <font>
      <sz val="10"/>
      <color rgb="FFFF0000"/>
      <name val="Times New Roman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1FB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DDF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double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2" fillId="0" borderId="0"/>
  </cellStyleXfs>
  <cellXfs count="767">
    <xf numFmtId="0" fontId="0" fillId="0" borderId="0" xfId="0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4" fillId="0" borderId="0" xfId="2" applyFont="1" applyBorder="1"/>
    <xf numFmtId="0" fontId="4" fillId="0" borderId="1" xfId="2" applyFont="1" applyBorder="1" applyAlignment="1">
      <alignment horizontal="right" vertical="top"/>
    </xf>
    <xf numFmtId="0" fontId="4" fillId="0" borderId="2" xfId="2" applyFont="1" applyBorder="1"/>
    <xf numFmtId="0" fontId="4" fillId="0" borderId="3" xfId="2" applyFont="1" applyBorder="1"/>
    <xf numFmtId="0" fontId="4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4" fillId="0" borderId="5" xfId="2" applyFont="1" applyBorder="1"/>
    <xf numFmtId="0" fontId="4" fillId="0" borderId="6" xfId="2" applyFont="1" applyBorder="1"/>
    <xf numFmtId="0" fontId="4" fillId="0" borderId="6" xfId="2" applyFont="1" applyBorder="1" applyAlignment="1">
      <alignment horizontal="center"/>
    </xf>
    <xf numFmtId="0" fontId="4" fillId="0" borderId="7" xfId="2" applyFont="1" applyBorder="1" applyAlignment="1"/>
    <xf numFmtId="0" fontId="6" fillId="0" borderId="8" xfId="2" applyFont="1" applyBorder="1" applyAlignment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0" fontId="4" fillId="0" borderId="13" xfId="2" applyFont="1" applyBorder="1" applyAlignment="1">
      <alignment horizontal="right"/>
    </xf>
    <xf numFmtId="0" fontId="4" fillId="0" borderId="14" xfId="2" applyFont="1" applyBorder="1" applyAlignment="1">
      <alignment horizontal="right"/>
    </xf>
    <xf numFmtId="0" fontId="9" fillId="0" borderId="15" xfId="2" applyFont="1" applyBorder="1" applyAlignment="1">
      <alignment horizontal="right" vertical="center"/>
    </xf>
    <xf numFmtId="3" fontId="9" fillId="0" borderId="15" xfId="2" applyNumberFormat="1" applyFont="1" applyBorder="1" applyAlignment="1">
      <alignment horizontal="right" vertical="center" wrapText="1"/>
    </xf>
    <xf numFmtId="0" fontId="4" fillId="0" borderId="5" xfId="2" applyFont="1" applyBorder="1" applyAlignment="1">
      <alignment horizontal="center" vertical="top"/>
    </xf>
    <xf numFmtId="49" fontId="8" fillId="0" borderId="15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3" fontId="5" fillId="0" borderId="0" xfId="2" applyNumberFormat="1" applyFont="1"/>
    <xf numFmtId="1" fontId="8" fillId="0" borderId="15" xfId="2" applyNumberFormat="1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0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165" fontId="11" fillId="0" borderId="17" xfId="2" applyNumberFormat="1" applyFont="1" applyBorder="1" applyAlignment="1">
      <alignment vertical="center" wrapText="1"/>
    </xf>
    <xf numFmtId="165" fontId="11" fillId="0" borderId="18" xfId="2" applyNumberFormat="1" applyFont="1" applyBorder="1" applyAlignment="1">
      <alignment vertical="center" wrapText="1"/>
    </xf>
    <xf numFmtId="0" fontId="12" fillId="0" borderId="10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/>
    </xf>
    <xf numFmtId="0" fontId="8" fillId="0" borderId="0" xfId="2" applyFont="1" applyBorder="1" applyAlignment="1">
      <alignment vertical="center" wrapText="1"/>
    </xf>
    <xf numFmtId="0" fontId="5" fillId="0" borderId="16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10" fillId="0" borderId="17" xfId="2" applyFont="1" applyBorder="1" applyAlignment="1">
      <alignment vertical="center"/>
    </xf>
    <xf numFmtId="1" fontId="4" fillId="0" borderId="15" xfId="2" applyNumberFormat="1" applyFont="1" applyBorder="1" applyAlignment="1">
      <alignment horizontal="center" vertical="center" wrapText="1"/>
    </xf>
    <xf numFmtId="16" fontId="5" fillId="0" borderId="16" xfId="2" quotePrefix="1" applyNumberFormat="1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165" fontId="8" fillId="0" borderId="10" xfId="2" applyNumberFormat="1" applyFont="1" applyBorder="1" applyAlignment="1">
      <alignment vertical="center" wrapText="1"/>
    </xf>
    <xf numFmtId="0" fontId="12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/>
    </xf>
    <xf numFmtId="3" fontId="12" fillId="0" borderId="10" xfId="2" applyNumberFormat="1" applyFont="1" applyBorder="1" applyAlignment="1">
      <alignment vertical="center" wrapText="1"/>
    </xf>
    <xf numFmtId="0" fontId="5" fillId="0" borderId="0" xfId="2" applyFont="1" applyBorder="1"/>
    <xf numFmtId="0" fontId="4" fillId="0" borderId="1" xfId="2" applyFont="1" applyBorder="1" applyAlignment="1">
      <alignment vertical="top"/>
    </xf>
    <xf numFmtId="0" fontId="4" fillId="0" borderId="2" xfId="2" applyFont="1" applyBorder="1" applyAlignment="1">
      <alignment vertical="top"/>
    </xf>
    <xf numFmtId="0" fontId="6" fillId="0" borderId="0" xfId="2" applyFont="1" applyBorder="1" applyAlignment="1">
      <alignment horizontal="center"/>
    </xf>
    <xf numFmtId="0" fontId="4" fillId="0" borderId="5" xfId="2" applyFont="1" applyBorder="1" applyAlignment="1">
      <alignment vertical="top"/>
    </xf>
    <xf numFmtId="0" fontId="4" fillId="2" borderId="9" xfId="0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6" xfId="0" applyFont="1" applyFill="1" applyBorder="1" applyAlignment="1">
      <alignment horizontal="center"/>
    </xf>
    <xf numFmtId="0" fontId="13" fillId="0" borderId="13" xfId="2" applyFont="1" applyBorder="1" applyAlignment="1">
      <alignment vertical="top"/>
    </xf>
    <xf numFmtId="0" fontId="13" fillId="0" borderId="15" xfId="2" applyFont="1" applyBorder="1" applyAlignment="1">
      <alignment horizontal="right" vertical="center"/>
    </xf>
    <xf numFmtId="3" fontId="13" fillId="0" borderId="0" xfId="2" applyNumberFormat="1" applyFont="1" applyBorder="1"/>
    <xf numFmtId="3" fontId="11" fillId="0" borderId="0" xfId="2" applyNumberFormat="1" applyFont="1" applyBorder="1"/>
    <xf numFmtId="0" fontId="15" fillId="0" borderId="0" xfId="2" applyFont="1"/>
    <xf numFmtId="0" fontId="8" fillId="0" borderId="5" xfId="2" applyFont="1" applyBorder="1" applyAlignment="1">
      <alignment horizontal="center" vertical="top"/>
    </xf>
    <xf numFmtId="3" fontId="4" fillId="0" borderId="0" xfId="2" applyNumberFormat="1" applyFont="1" applyBorder="1"/>
    <xf numFmtId="3" fontId="6" fillId="0" borderId="0" xfId="2" applyNumberFormat="1" applyFont="1" applyBorder="1"/>
    <xf numFmtId="3" fontId="8" fillId="0" borderId="10" xfId="2" applyNumberFormat="1" applyFont="1" applyFill="1" applyBorder="1" applyAlignment="1">
      <alignment vertical="center" wrapText="1"/>
    </xf>
    <xf numFmtId="3" fontId="8" fillId="0" borderId="10" xfId="2" applyNumberFormat="1" applyFont="1" applyBorder="1" applyAlignment="1">
      <alignment vertical="center" wrapText="1"/>
    </xf>
    <xf numFmtId="3" fontId="8" fillId="0" borderId="19" xfId="2" applyNumberFormat="1" applyFont="1" applyBorder="1" applyAlignment="1">
      <alignment vertical="center" wrapText="1"/>
    </xf>
    <xf numFmtId="49" fontId="12" fillId="0" borderId="15" xfId="2" applyNumberFormat="1" applyFont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vertical="center" wrapText="1"/>
    </xf>
    <xf numFmtId="0" fontId="9" fillId="0" borderId="20" xfId="2" applyFont="1" applyBorder="1" applyAlignment="1">
      <alignment vertical="center" wrapText="1"/>
    </xf>
    <xf numFmtId="3" fontId="18" fillId="0" borderId="20" xfId="2" applyNumberFormat="1" applyFont="1" applyBorder="1" applyAlignment="1">
      <alignment vertical="center" wrapText="1"/>
    </xf>
    <xf numFmtId="3" fontId="8" fillId="0" borderId="20" xfId="2" applyNumberFormat="1" applyFont="1" applyBorder="1" applyAlignment="1">
      <alignment vertical="center" wrapText="1"/>
    </xf>
    <xf numFmtId="3" fontId="8" fillId="0" borderId="20" xfId="2" applyNumberFormat="1" applyFont="1" applyFill="1" applyBorder="1" applyAlignment="1">
      <alignment vertical="center" wrapText="1"/>
    </xf>
    <xf numFmtId="3" fontId="10" fillId="0" borderId="21" xfId="2" applyNumberFormat="1" applyFont="1" applyBorder="1" applyAlignment="1">
      <alignment vertical="center"/>
    </xf>
    <xf numFmtId="0" fontId="5" fillId="0" borderId="17" xfId="2" applyFont="1" applyBorder="1"/>
    <xf numFmtId="0" fontId="8" fillId="0" borderId="5" xfId="2" applyFont="1" applyBorder="1" applyAlignment="1">
      <alignment horizontal="center" vertical="center"/>
    </xf>
    <xf numFmtId="3" fontId="16" fillId="0" borderId="22" xfId="2" applyNumberFormat="1" applyFont="1" applyBorder="1" applyAlignment="1">
      <alignment vertical="center" wrapText="1"/>
    </xf>
    <xf numFmtId="0" fontId="8" fillId="0" borderId="11" xfId="2" applyFont="1" applyBorder="1" applyAlignment="1">
      <alignment horizontal="center" vertical="center" wrapText="1"/>
    </xf>
    <xf numFmtId="3" fontId="5" fillId="0" borderId="0" xfId="2" applyNumberFormat="1" applyFont="1" applyBorder="1"/>
    <xf numFmtId="3" fontId="10" fillId="0" borderId="17" xfId="2" applyNumberFormat="1" applyFont="1" applyBorder="1" applyAlignment="1">
      <alignment vertical="center"/>
    </xf>
    <xf numFmtId="3" fontId="10" fillId="0" borderId="23" xfId="2" applyNumberFormat="1" applyFont="1" applyBorder="1" applyAlignment="1">
      <alignment vertical="center"/>
    </xf>
    <xf numFmtId="49" fontId="8" fillId="0" borderId="10" xfId="2" applyNumberFormat="1" applyFont="1" applyBorder="1" applyAlignment="1">
      <alignment vertical="center" wrapText="1"/>
    </xf>
    <xf numFmtId="0" fontId="8" fillId="0" borderId="24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49" fontId="8" fillId="0" borderId="6" xfId="2" applyNumberFormat="1" applyFont="1" applyBorder="1" applyAlignment="1">
      <alignment horizontal="center"/>
    </xf>
    <xf numFmtId="16" fontId="4" fillId="0" borderId="16" xfId="2" applyNumberFormat="1" applyFont="1" applyBorder="1" applyAlignment="1">
      <alignment vertical="center"/>
    </xf>
    <xf numFmtId="0" fontId="4" fillId="0" borderId="0" xfId="2" applyFont="1" applyAlignment="1">
      <alignment vertical="top"/>
    </xf>
    <xf numFmtId="0" fontId="13" fillId="0" borderId="25" xfId="2" applyFont="1" applyBorder="1" applyAlignment="1">
      <alignment vertical="center"/>
    </xf>
    <xf numFmtId="3" fontId="8" fillId="0" borderId="25" xfId="2" applyNumberFormat="1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3" fontId="8" fillId="0" borderId="20" xfId="2" applyNumberFormat="1" applyFont="1" applyBorder="1" applyAlignment="1">
      <alignment vertical="center"/>
    </xf>
    <xf numFmtId="0" fontId="9" fillId="0" borderId="20" xfId="2" applyFont="1" applyBorder="1" applyAlignment="1">
      <alignment vertical="center"/>
    </xf>
    <xf numFmtId="3" fontId="8" fillId="0" borderId="26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/>
    </xf>
    <xf numFmtId="0" fontId="6" fillId="0" borderId="28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8" fillId="0" borderId="22" xfId="2" applyFont="1" applyBorder="1" applyAlignment="1">
      <alignment horizontal="center"/>
    </xf>
    <xf numFmtId="3" fontId="17" fillId="0" borderId="29" xfId="2" applyNumberFormat="1" applyFont="1" applyBorder="1" applyAlignment="1">
      <alignment vertical="center" wrapText="1"/>
    </xf>
    <xf numFmtId="3" fontId="17" fillId="0" borderId="30" xfId="2" applyNumberFormat="1" applyFont="1" applyBorder="1" applyAlignment="1">
      <alignment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32" xfId="2" applyFont="1" applyBorder="1" applyAlignment="1">
      <alignment vertical="center" wrapText="1"/>
    </xf>
    <xf numFmtId="3" fontId="8" fillId="0" borderId="33" xfId="2" applyNumberFormat="1" applyFont="1" applyBorder="1" applyAlignment="1">
      <alignment vertical="center" wrapText="1"/>
    </xf>
    <xf numFmtId="3" fontId="8" fillId="0" borderId="34" xfId="2" applyNumberFormat="1" applyFont="1" applyBorder="1" applyAlignment="1">
      <alignment vertical="center" wrapText="1"/>
    </xf>
    <xf numFmtId="0" fontId="5" fillId="0" borderId="16" xfId="2" applyFont="1" applyBorder="1" applyAlignment="1">
      <alignment vertical="center"/>
    </xf>
    <xf numFmtId="0" fontId="5" fillId="0" borderId="17" xfId="2" applyFont="1" applyBorder="1" applyAlignment="1">
      <alignment horizontal="center" vertical="center"/>
    </xf>
    <xf numFmtId="0" fontId="5" fillId="0" borderId="17" xfId="2" applyFont="1" applyBorder="1" applyAlignment="1">
      <alignment vertical="center"/>
    </xf>
    <xf numFmtId="0" fontId="4" fillId="0" borderId="35" xfId="2" applyFont="1" applyBorder="1"/>
    <xf numFmtId="0" fontId="4" fillId="0" borderId="36" xfId="2" applyFont="1" applyBorder="1"/>
    <xf numFmtId="0" fontId="4" fillId="0" borderId="36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36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49" fontId="8" fillId="0" borderId="11" xfId="2" applyNumberFormat="1" applyFont="1" applyBorder="1" applyAlignment="1">
      <alignment horizontal="center" vertical="center" wrapText="1"/>
    </xf>
    <xf numFmtId="0" fontId="4" fillId="0" borderId="35" xfId="2" applyFont="1" applyBorder="1" applyAlignment="1">
      <alignment vertical="top"/>
    </xf>
    <xf numFmtId="0" fontId="4" fillId="0" borderId="9" xfId="2" applyFont="1" applyFill="1" applyBorder="1" applyAlignment="1">
      <alignment horizontal="center"/>
    </xf>
    <xf numFmtId="49" fontId="4" fillId="0" borderId="36" xfId="2" applyNumberFormat="1" applyFont="1" applyBorder="1" applyAlignment="1">
      <alignment horizontal="center"/>
    </xf>
    <xf numFmtId="0" fontId="14" fillId="0" borderId="36" xfId="2" applyFont="1" applyBorder="1" applyAlignment="1">
      <alignment horizontal="center"/>
    </xf>
    <xf numFmtId="0" fontId="6" fillId="0" borderId="38" xfId="2" applyFont="1" applyBorder="1" applyAlignment="1">
      <alignment horizontal="center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0" fontId="4" fillId="0" borderId="17" xfId="2" quotePrefix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/>
    </xf>
    <xf numFmtId="3" fontId="10" fillId="0" borderId="17" xfId="2" applyNumberFormat="1" applyFont="1" applyFill="1" applyBorder="1" applyAlignment="1">
      <alignment vertical="center"/>
    </xf>
    <xf numFmtId="0" fontId="4" fillId="2" borderId="33" xfId="0" applyFont="1" applyFill="1" applyBorder="1" applyAlignment="1">
      <alignment horizontal="center"/>
    </xf>
    <xf numFmtId="3" fontId="8" fillId="0" borderId="40" xfId="2" applyNumberFormat="1" applyFont="1" applyBorder="1" applyAlignment="1">
      <alignment vertical="center"/>
    </xf>
    <xf numFmtId="166" fontId="5" fillId="0" borderId="0" xfId="2" applyNumberFormat="1" applyFont="1" applyBorder="1"/>
    <xf numFmtId="0" fontId="4" fillId="0" borderId="41" xfId="2" applyFont="1" applyBorder="1" applyAlignment="1">
      <alignment horizontal="center"/>
    </xf>
    <xf numFmtId="0" fontId="13" fillId="0" borderId="11" xfId="2" applyFont="1" applyBorder="1" applyAlignment="1">
      <alignment horizontal="right" vertical="center"/>
    </xf>
    <xf numFmtId="0" fontId="10" fillId="0" borderId="16" xfId="2" applyFont="1" applyBorder="1" applyAlignment="1">
      <alignment horizontal="center"/>
    </xf>
    <xf numFmtId="0" fontId="4" fillId="0" borderId="16" xfId="2" applyFont="1" applyBorder="1" applyAlignment="1">
      <alignment horizontal="center" vertical="top"/>
    </xf>
    <xf numFmtId="49" fontId="12" fillId="0" borderId="11" xfId="2" applyNumberFormat="1" applyFont="1" applyBorder="1" applyAlignment="1">
      <alignment horizontal="center" vertical="center" wrapText="1"/>
    </xf>
    <xf numFmtId="49" fontId="8" fillId="0" borderId="10" xfId="2" applyNumberFormat="1" applyFont="1" applyBorder="1" applyAlignment="1">
      <alignment horizontal="center" vertical="center" wrapText="1"/>
    </xf>
    <xf numFmtId="1" fontId="8" fillId="0" borderId="10" xfId="2" applyNumberFormat="1" applyFont="1" applyBorder="1" applyAlignment="1">
      <alignment horizontal="center" vertical="center" wrapText="1"/>
    </xf>
    <xf numFmtId="3" fontId="16" fillId="0" borderId="10" xfId="2" applyNumberFormat="1" applyFont="1" applyBorder="1" applyAlignment="1">
      <alignment vertical="center" wrapText="1"/>
    </xf>
    <xf numFmtId="3" fontId="6" fillId="0" borderId="42" xfId="2" applyNumberFormat="1" applyFont="1" applyBorder="1" applyAlignment="1">
      <alignment horizontal="right" vertical="center" wrapText="1"/>
    </xf>
    <xf numFmtId="3" fontId="9" fillId="0" borderId="43" xfId="2" applyNumberFormat="1" applyFont="1" applyBorder="1" applyAlignment="1">
      <alignment horizontal="right" vertical="center" wrapText="1"/>
    </xf>
    <xf numFmtId="3" fontId="9" fillId="0" borderId="22" xfId="2" applyNumberFormat="1" applyFont="1" applyBorder="1"/>
    <xf numFmtId="3" fontId="9" fillId="0" borderId="44" xfId="2" applyNumberFormat="1" applyFont="1" applyBorder="1"/>
    <xf numFmtId="0" fontId="4" fillId="0" borderId="11" xfId="2" applyFont="1" applyBorder="1" applyAlignment="1">
      <alignment horizontal="center" vertical="center" wrapText="1"/>
    </xf>
    <xf numFmtId="0" fontId="9" fillId="0" borderId="45" xfId="2" applyFont="1" applyBorder="1" applyAlignment="1">
      <alignment vertical="center" wrapText="1"/>
    </xf>
    <xf numFmtId="3" fontId="18" fillId="0" borderId="45" xfId="2" applyNumberFormat="1" applyFont="1" applyFill="1" applyBorder="1" applyAlignment="1">
      <alignment vertical="center" wrapText="1"/>
    </xf>
    <xf numFmtId="3" fontId="8" fillId="0" borderId="45" xfId="2" applyNumberFormat="1" applyFont="1" applyFill="1" applyBorder="1" applyAlignment="1">
      <alignment vertical="center" wrapText="1"/>
    </xf>
    <xf numFmtId="3" fontId="8" fillId="0" borderId="45" xfId="2" applyNumberFormat="1" applyFont="1" applyBorder="1" applyAlignment="1">
      <alignment vertical="center" wrapText="1"/>
    </xf>
    <xf numFmtId="0" fontId="4" fillId="0" borderId="46" xfId="2" applyFont="1" applyBorder="1" applyAlignment="1">
      <alignment horizontal="center" vertical="top"/>
    </xf>
    <xf numFmtId="0" fontId="4" fillId="0" borderId="47" xfId="2" applyFont="1" applyBorder="1" applyAlignment="1">
      <alignment horizontal="center" vertical="top"/>
    </xf>
    <xf numFmtId="0" fontId="13" fillId="0" borderId="14" xfId="2" applyFont="1" applyBorder="1"/>
    <xf numFmtId="3" fontId="13" fillId="0" borderId="15" xfId="2" applyNumberFormat="1" applyFont="1" applyBorder="1" applyAlignment="1">
      <alignment vertical="center" wrapText="1"/>
    </xf>
    <xf numFmtId="3" fontId="13" fillId="0" borderId="48" xfId="2" applyNumberFormat="1" applyFont="1" applyBorder="1" applyAlignment="1">
      <alignment vertical="center" wrapText="1"/>
    </xf>
    <xf numFmtId="3" fontId="11" fillId="0" borderId="43" xfId="2" applyNumberFormat="1" applyFont="1" applyBorder="1" applyAlignment="1">
      <alignment horizontal="right" vertical="center" wrapText="1"/>
    </xf>
    <xf numFmtId="3" fontId="9" fillId="0" borderId="15" xfId="2" applyNumberFormat="1" applyFont="1" applyFill="1" applyBorder="1" applyAlignment="1">
      <alignment horizontal="right" vertical="center" wrapText="1"/>
    </xf>
    <xf numFmtId="166" fontId="8" fillId="0" borderId="10" xfId="2" applyNumberFormat="1" applyFont="1" applyBorder="1" applyAlignment="1">
      <alignment vertical="center" wrapText="1"/>
    </xf>
    <xf numFmtId="0" fontId="8" fillId="0" borderId="13" xfId="2" applyFont="1" applyBorder="1" applyAlignment="1">
      <alignment horizontal="center" vertical="top"/>
    </xf>
    <xf numFmtId="3" fontId="10" fillId="0" borderId="21" xfId="2" applyNumberFormat="1" applyFont="1" applyFill="1" applyBorder="1" applyAlignment="1">
      <alignment vertical="center"/>
    </xf>
    <xf numFmtId="3" fontId="9" fillId="0" borderId="22" xfId="2" applyNumberFormat="1" applyFont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166" fontId="8" fillId="0" borderId="10" xfId="2" applyNumberFormat="1" applyFont="1" applyFill="1" applyBorder="1" applyAlignment="1">
      <alignment vertical="center" wrapText="1"/>
    </xf>
    <xf numFmtId="166" fontId="8" fillId="0" borderId="19" xfId="2" applyNumberFormat="1" applyFont="1" applyBorder="1" applyAlignment="1">
      <alignment vertical="center" wrapText="1"/>
    </xf>
    <xf numFmtId="166" fontId="10" fillId="0" borderId="17" xfId="2" applyNumberFormat="1" applyFont="1" applyBorder="1" applyAlignment="1">
      <alignment vertical="center"/>
    </xf>
    <xf numFmtId="166" fontId="8" fillId="0" borderId="17" xfId="2" applyNumberFormat="1" applyFont="1" applyBorder="1" applyAlignment="1">
      <alignment vertical="center" wrapText="1"/>
    </xf>
    <xf numFmtId="166" fontId="8" fillId="0" borderId="33" xfId="2" applyNumberFormat="1" applyFont="1" applyBorder="1" applyAlignment="1">
      <alignment vertical="center" wrapText="1"/>
    </xf>
    <xf numFmtId="166" fontId="10" fillId="0" borderId="23" xfId="2" applyNumberFormat="1" applyFont="1" applyBorder="1" applyAlignment="1">
      <alignment vertical="center"/>
    </xf>
    <xf numFmtId="166" fontId="12" fillId="0" borderId="10" xfId="2" applyNumberFormat="1" applyFont="1" applyBorder="1" applyAlignment="1">
      <alignment vertical="center" wrapText="1"/>
    </xf>
    <xf numFmtId="166" fontId="12" fillId="0" borderId="19" xfId="2" applyNumberFormat="1" applyFont="1" applyBorder="1" applyAlignment="1">
      <alignment vertical="center" wrapText="1"/>
    </xf>
    <xf numFmtId="166" fontId="10" fillId="0" borderId="21" xfId="2" applyNumberFormat="1" applyFont="1" applyBorder="1" applyAlignment="1">
      <alignment vertical="center" wrapText="1"/>
    </xf>
    <xf numFmtId="166" fontId="5" fillId="0" borderId="0" xfId="2" applyNumberFormat="1" applyFont="1"/>
    <xf numFmtId="166" fontId="4" fillId="0" borderId="10" xfId="2" applyNumberFormat="1" applyFont="1" applyBorder="1" applyAlignment="1">
      <alignment vertical="center" wrapText="1"/>
    </xf>
    <xf numFmtId="166" fontId="4" fillId="0" borderId="19" xfId="2" applyNumberFormat="1" applyFont="1" applyBorder="1" applyAlignment="1">
      <alignment vertical="center" wrapText="1"/>
    </xf>
    <xf numFmtId="166" fontId="6" fillId="0" borderId="8" xfId="2" applyNumberFormat="1" applyFont="1" applyBorder="1" applyAlignment="1">
      <alignment vertical="center" wrapText="1"/>
    </xf>
    <xf numFmtId="166" fontId="4" fillId="0" borderId="33" xfId="2" applyNumberFormat="1" applyFont="1" applyBorder="1" applyAlignment="1">
      <alignment vertical="center" wrapText="1"/>
    </xf>
    <xf numFmtId="166" fontId="11" fillId="0" borderId="17" xfId="2" applyNumberFormat="1" applyFont="1" applyBorder="1" applyAlignment="1">
      <alignment vertical="center" wrapText="1"/>
    </xf>
    <xf numFmtId="166" fontId="11" fillId="0" borderId="18" xfId="2" applyNumberFormat="1" applyFont="1" applyBorder="1" applyAlignment="1">
      <alignment vertical="center" wrapText="1"/>
    </xf>
    <xf numFmtId="166" fontId="6" fillId="0" borderId="18" xfId="2" applyNumberFormat="1" applyFont="1" applyBorder="1" applyAlignment="1">
      <alignment vertical="center" wrapText="1"/>
    </xf>
    <xf numFmtId="166" fontId="4" fillId="0" borderId="5" xfId="2" applyNumberFormat="1" applyFont="1" applyBorder="1" applyAlignment="1">
      <alignment vertical="center" wrapText="1"/>
    </xf>
    <xf numFmtId="166" fontId="4" fillId="0" borderId="6" xfId="2" applyNumberFormat="1" applyFont="1" applyBorder="1" applyAlignment="1">
      <alignment vertical="center" wrapText="1"/>
    </xf>
    <xf numFmtId="166" fontId="10" fillId="0" borderId="17" xfId="2" applyNumberFormat="1" applyFont="1" applyBorder="1" applyAlignment="1">
      <alignment vertical="center" wrapText="1"/>
    </xf>
    <xf numFmtId="166" fontId="10" fillId="0" borderId="18" xfId="2" applyNumberFormat="1" applyFont="1" applyBorder="1" applyAlignment="1">
      <alignment vertical="center" wrapText="1"/>
    </xf>
    <xf numFmtId="0" fontId="4" fillId="0" borderId="5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166" fontId="11" fillId="0" borderId="21" xfId="2" applyNumberFormat="1" applyFont="1" applyBorder="1" applyAlignment="1">
      <alignment vertical="center" wrapText="1"/>
    </xf>
    <xf numFmtId="166" fontId="11" fillId="0" borderId="49" xfId="2" applyNumberFormat="1" applyFont="1" applyBorder="1" applyAlignment="1">
      <alignment vertical="center" wrapText="1"/>
    </xf>
    <xf numFmtId="0" fontId="4" fillId="0" borderId="0" xfId="2" applyFont="1" applyAlignment="1">
      <alignment horizontal="right"/>
    </xf>
    <xf numFmtId="0" fontId="4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 wrapText="1"/>
    </xf>
    <xf numFmtId="0" fontId="10" fillId="0" borderId="51" xfId="2" applyFont="1" applyBorder="1" applyAlignment="1">
      <alignment vertical="center"/>
    </xf>
    <xf numFmtId="166" fontId="10" fillId="0" borderId="52" xfId="2" applyNumberFormat="1" applyFont="1" applyBorder="1" applyAlignment="1">
      <alignment vertical="center"/>
    </xf>
    <xf numFmtId="166" fontId="10" fillId="0" borderId="53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 wrapText="1"/>
    </xf>
    <xf numFmtId="166" fontId="10" fillId="0" borderId="48" xfId="2" applyNumberFormat="1" applyFont="1" applyBorder="1" applyAlignment="1">
      <alignment vertical="center"/>
    </xf>
    <xf numFmtId="166" fontId="10" fillId="0" borderId="43" xfId="2" applyNumberFormat="1" applyFont="1" applyBorder="1" applyAlignment="1">
      <alignment vertical="center"/>
    </xf>
    <xf numFmtId="0" fontId="4" fillId="0" borderId="54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vertical="center"/>
    </xf>
    <xf numFmtId="166" fontId="10" fillId="0" borderId="55" xfId="2" applyNumberFormat="1" applyFont="1" applyBorder="1" applyAlignment="1">
      <alignment vertical="center"/>
    </xf>
    <xf numFmtId="166" fontId="10" fillId="0" borderId="56" xfId="2" applyNumberFormat="1" applyFont="1" applyBorder="1" applyAlignment="1">
      <alignment vertical="center"/>
    </xf>
    <xf numFmtId="0" fontId="8" fillId="0" borderId="15" xfId="2" applyFont="1" applyBorder="1" applyAlignment="1">
      <alignment vertical="center"/>
    </xf>
    <xf numFmtId="0" fontId="20" fillId="0" borderId="10" xfId="2" applyFont="1" applyBorder="1" applyAlignment="1">
      <alignment vertical="center" wrapText="1"/>
    </xf>
    <xf numFmtId="0" fontId="4" fillId="2" borderId="9" xfId="0" applyFont="1" applyFill="1" applyBorder="1" applyAlignment="1">
      <alignment horizontal="center"/>
    </xf>
    <xf numFmtId="3" fontId="16" fillId="0" borderId="19" xfId="2" applyNumberFormat="1" applyFont="1" applyBorder="1" applyAlignment="1">
      <alignment vertical="center" wrapText="1"/>
    </xf>
    <xf numFmtId="3" fontId="11" fillId="0" borderId="17" xfId="2" applyNumberFormat="1" applyFont="1" applyBorder="1" applyAlignment="1">
      <alignment vertical="center" wrapText="1"/>
    </xf>
    <xf numFmtId="166" fontId="21" fillId="0" borderId="17" xfId="2" applyNumberFormat="1" applyFont="1" applyBorder="1" applyAlignment="1">
      <alignment vertical="center" wrapText="1"/>
    </xf>
    <xf numFmtId="1" fontId="8" fillId="3" borderId="10" xfId="2" applyNumberFormat="1" applyFont="1" applyFill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3" fontId="8" fillId="0" borderId="22" xfId="2" applyNumberFormat="1" applyFont="1" applyBorder="1" applyAlignment="1">
      <alignment vertical="center" wrapText="1"/>
    </xf>
    <xf numFmtId="165" fontId="11" fillId="0" borderId="21" xfId="2" applyNumberFormat="1" applyFont="1" applyBorder="1" applyAlignment="1">
      <alignment vertical="center" wrapText="1"/>
    </xf>
    <xf numFmtId="0" fontId="8" fillId="3" borderId="5" xfId="2" applyFont="1" applyFill="1" applyBorder="1" applyAlignment="1">
      <alignment horizontal="center" vertical="center"/>
    </xf>
    <xf numFmtId="0" fontId="8" fillId="3" borderId="10" xfId="2" applyFont="1" applyFill="1" applyBorder="1" applyAlignment="1">
      <alignment vertical="center" wrapText="1"/>
    </xf>
    <xf numFmtId="0" fontId="4" fillId="0" borderId="15" xfId="2" applyFont="1" applyBorder="1" applyAlignment="1">
      <alignment horizontal="center" vertical="center"/>
    </xf>
    <xf numFmtId="0" fontId="4" fillId="0" borderId="43" xfId="2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13" fillId="0" borderId="11" xfId="2" applyFont="1" applyBorder="1" applyAlignment="1">
      <alignment vertical="center"/>
    </xf>
    <xf numFmtId="3" fontId="13" fillId="0" borderId="11" xfId="2" applyNumberFormat="1" applyFont="1" applyBorder="1" applyAlignment="1">
      <alignment vertical="center" wrapText="1"/>
    </xf>
    <xf numFmtId="0" fontId="4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vertical="center"/>
    </xf>
    <xf numFmtId="0" fontId="5" fillId="0" borderId="17" xfId="2" applyFont="1" applyBorder="1" applyAlignment="1">
      <alignment horizontal="center"/>
    </xf>
    <xf numFmtId="0" fontId="8" fillId="0" borderId="5" xfId="2" applyFont="1" applyFill="1" applyBorder="1" applyAlignment="1">
      <alignment horizontal="center" vertical="center"/>
    </xf>
    <xf numFmtId="1" fontId="8" fillId="0" borderId="10" xfId="2" applyNumberFormat="1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1" fontId="8" fillId="0" borderId="15" xfId="2" applyNumberFormat="1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1" fontId="4" fillId="0" borderId="15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Border="1" applyAlignment="1">
      <alignment vertical="center" wrapText="1"/>
    </xf>
    <xf numFmtId="3" fontId="4" fillId="0" borderId="19" xfId="2" applyNumberFormat="1" applyFont="1" applyBorder="1" applyAlignment="1">
      <alignment vertical="center" wrapText="1"/>
    </xf>
    <xf numFmtId="3" fontId="11" fillId="0" borderId="18" xfId="2" applyNumberFormat="1" applyFont="1" applyBorder="1" applyAlignment="1">
      <alignment vertical="center" wrapText="1"/>
    </xf>
    <xf numFmtId="3" fontId="13" fillId="0" borderId="11" xfId="2" applyNumberFormat="1" applyFont="1" applyBorder="1" applyAlignment="1">
      <alignment vertical="center"/>
    </xf>
    <xf numFmtId="3" fontId="16" fillId="0" borderId="57" xfId="2" applyNumberFormat="1" applyFont="1" applyBorder="1"/>
    <xf numFmtId="3" fontId="16" fillId="0" borderId="58" xfId="2" applyNumberFormat="1" applyFont="1" applyBorder="1"/>
    <xf numFmtId="166" fontId="16" fillId="0" borderId="19" xfId="2" applyNumberFormat="1" applyFont="1" applyBorder="1" applyAlignment="1">
      <alignment vertical="center" wrapText="1"/>
    </xf>
    <xf numFmtId="166" fontId="16" fillId="3" borderId="59" xfId="2" applyNumberFormat="1" applyFont="1" applyFill="1" applyBorder="1" applyAlignment="1">
      <alignment vertical="center" wrapText="1"/>
    </xf>
    <xf numFmtId="3" fontId="16" fillId="0" borderId="60" xfId="2" applyNumberFormat="1" applyFont="1" applyBorder="1"/>
    <xf numFmtId="165" fontId="11" fillId="0" borderId="61" xfId="2" applyNumberFormat="1" applyFont="1" applyBorder="1" applyAlignment="1">
      <alignment vertical="center" wrapText="1"/>
    </xf>
    <xf numFmtId="166" fontId="10" fillId="0" borderId="58" xfId="2" applyNumberFormat="1" applyFont="1" applyBorder="1" applyAlignment="1">
      <alignment horizontal="right" vertical="center" wrapText="1"/>
    </xf>
    <xf numFmtId="0" fontId="4" fillId="0" borderId="8" xfId="2" applyFont="1" applyBorder="1" applyAlignment="1">
      <alignment horizontal="center"/>
    </xf>
    <xf numFmtId="0" fontId="4" fillId="0" borderId="62" xfId="2" applyFont="1" applyBorder="1" applyAlignment="1">
      <alignment horizontal="center"/>
    </xf>
    <xf numFmtId="0" fontId="4" fillId="0" borderId="63" xfId="2" applyFont="1" applyBorder="1" applyAlignment="1">
      <alignment horizontal="center" vertical="center"/>
    </xf>
    <xf numFmtId="3" fontId="9" fillId="0" borderId="63" xfId="2" applyNumberFormat="1" applyFont="1" applyFill="1" applyBorder="1" applyAlignment="1">
      <alignment horizontal="right" vertical="center" wrapText="1"/>
    </xf>
    <xf numFmtId="3" fontId="8" fillId="0" borderId="8" xfId="2" applyNumberFormat="1" applyFont="1" applyBorder="1" applyAlignment="1">
      <alignment vertical="center" wrapText="1"/>
    </xf>
    <xf numFmtId="3" fontId="13" fillId="0" borderId="63" xfId="2" applyNumberFormat="1" applyFont="1" applyBorder="1" applyAlignment="1">
      <alignment vertical="center" wrapText="1"/>
    </xf>
    <xf numFmtId="3" fontId="9" fillId="0" borderId="63" xfId="2" applyNumberFormat="1" applyFont="1" applyBorder="1" applyAlignment="1">
      <alignment horizontal="right" vertical="center" wrapText="1"/>
    </xf>
    <xf numFmtId="3" fontId="6" fillId="0" borderId="59" xfId="2" applyNumberFormat="1" applyFont="1" applyBorder="1" applyAlignment="1">
      <alignment vertical="center" wrapText="1"/>
    </xf>
    <xf numFmtId="3" fontId="4" fillId="0" borderId="8" xfId="2" applyNumberFormat="1" applyFont="1" applyBorder="1" applyAlignment="1">
      <alignment vertical="center" wrapText="1"/>
    </xf>
    <xf numFmtId="3" fontId="16" fillId="3" borderId="59" xfId="2" applyNumberFormat="1" applyFont="1" applyFill="1" applyBorder="1" applyAlignment="1">
      <alignment vertical="center" wrapText="1"/>
    </xf>
    <xf numFmtId="3" fontId="4" fillId="0" borderId="33" xfId="2" applyNumberFormat="1" applyFont="1" applyBorder="1" applyAlignment="1">
      <alignment vertical="center" wrapText="1"/>
    </xf>
    <xf numFmtId="3" fontId="4" fillId="0" borderId="34" xfId="2" applyNumberFormat="1" applyFont="1" applyBorder="1" applyAlignment="1">
      <alignment vertical="center" wrapText="1"/>
    </xf>
    <xf numFmtId="3" fontId="6" fillId="0" borderId="64" xfId="2" applyNumberFormat="1" applyFont="1" applyBorder="1" applyAlignment="1">
      <alignment vertical="center" wrapText="1"/>
    </xf>
    <xf numFmtId="3" fontId="4" fillId="0" borderId="65" xfId="2" applyNumberFormat="1" applyFont="1" applyBorder="1" applyAlignment="1">
      <alignment vertical="center" wrapText="1"/>
    </xf>
    <xf numFmtId="3" fontId="11" fillId="0" borderId="61" xfId="2" applyNumberFormat="1" applyFont="1" applyBorder="1" applyAlignment="1">
      <alignment vertical="center" wrapText="1"/>
    </xf>
    <xf numFmtId="3" fontId="11" fillId="0" borderId="23" xfId="2" applyNumberFormat="1" applyFont="1" applyBorder="1" applyAlignment="1">
      <alignment vertical="center" wrapText="1"/>
    </xf>
    <xf numFmtId="3" fontId="16" fillId="0" borderId="59" xfId="2" applyNumberFormat="1" applyFont="1" applyBorder="1" applyAlignment="1">
      <alignment vertical="center" wrapText="1"/>
    </xf>
    <xf numFmtId="0" fontId="8" fillId="0" borderId="18" xfId="2" applyFont="1" applyBorder="1" applyAlignment="1">
      <alignment horizontal="center" vertical="center"/>
    </xf>
    <xf numFmtId="3" fontId="11" fillId="0" borderId="10" xfId="2" applyNumberFormat="1" applyFont="1" applyBorder="1" applyAlignment="1">
      <alignment vertical="center" wrapText="1"/>
    </xf>
    <xf numFmtId="3" fontId="11" fillId="0" borderId="19" xfId="2" applyNumberFormat="1" applyFont="1" applyBorder="1" applyAlignment="1">
      <alignment vertical="center" wrapText="1"/>
    </xf>
    <xf numFmtId="16" fontId="14" fillId="0" borderId="17" xfId="2" quotePrefix="1" applyNumberFormat="1" applyFont="1" applyBorder="1" applyAlignment="1">
      <alignment horizontal="center" vertical="center"/>
    </xf>
    <xf numFmtId="166" fontId="6" fillId="3" borderId="8" xfId="2" applyNumberFormat="1" applyFont="1" applyFill="1" applyBorder="1" applyAlignment="1">
      <alignment vertical="center" wrapText="1"/>
    </xf>
    <xf numFmtId="3" fontId="13" fillId="0" borderId="66" xfId="2" applyNumberFormat="1" applyFont="1" applyBorder="1" applyAlignment="1">
      <alignment vertical="center" wrapText="1"/>
    </xf>
    <xf numFmtId="3" fontId="11" fillId="0" borderId="67" xfId="2" applyNumberFormat="1" applyFont="1" applyBorder="1" applyAlignment="1">
      <alignment vertical="center" wrapText="1"/>
    </xf>
    <xf numFmtId="3" fontId="16" fillId="0" borderId="8" xfId="2" applyNumberFormat="1" applyFont="1" applyBorder="1" applyAlignment="1">
      <alignment vertical="center" wrapText="1"/>
    </xf>
    <xf numFmtId="3" fontId="16" fillId="0" borderId="65" xfId="2" applyNumberFormat="1" applyFont="1" applyBorder="1" applyAlignment="1">
      <alignment vertical="center" wrapText="1"/>
    </xf>
    <xf numFmtId="3" fontId="10" fillId="0" borderId="18" xfId="2" applyNumberFormat="1" applyFont="1" applyBorder="1" applyAlignment="1">
      <alignment vertical="center"/>
    </xf>
    <xf numFmtId="166" fontId="16" fillId="0" borderId="8" xfId="2" applyNumberFormat="1" applyFont="1" applyBorder="1" applyAlignment="1">
      <alignment vertical="center" wrapText="1"/>
    </xf>
    <xf numFmtId="166" fontId="10" fillId="0" borderId="18" xfId="2" applyNumberFormat="1" applyFont="1" applyBorder="1" applyAlignment="1">
      <alignment vertical="center"/>
    </xf>
    <xf numFmtId="166" fontId="10" fillId="0" borderId="67" xfId="2" applyNumberFormat="1" applyFont="1" applyBorder="1" applyAlignment="1">
      <alignment vertical="center"/>
    </xf>
    <xf numFmtId="166" fontId="10" fillId="0" borderId="63" xfId="2" applyNumberFormat="1" applyFont="1" applyBorder="1" applyAlignment="1">
      <alignment vertical="center"/>
    </xf>
    <xf numFmtId="166" fontId="10" fillId="0" borderId="68" xfId="2" applyNumberFormat="1" applyFont="1" applyBorder="1" applyAlignment="1">
      <alignment vertical="center"/>
    </xf>
    <xf numFmtId="0" fontId="4" fillId="0" borderId="15" xfId="2" applyFont="1" applyBorder="1" applyAlignment="1">
      <alignment horizontal="center"/>
    </xf>
    <xf numFmtId="166" fontId="8" fillId="0" borderId="21" xfId="2" applyNumberFormat="1" applyFont="1" applyBorder="1" applyAlignment="1">
      <alignment vertical="center" wrapText="1"/>
    </xf>
    <xf numFmtId="3" fontId="11" fillId="0" borderId="21" xfId="2" applyNumberFormat="1" applyFont="1" applyBorder="1" applyAlignment="1">
      <alignment vertical="center" wrapText="1"/>
    </xf>
    <xf numFmtId="49" fontId="12" fillId="0" borderId="9" xfId="2" applyNumberFormat="1" applyFont="1" applyBorder="1" applyAlignment="1">
      <alignment horizontal="center" vertical="center" wrapText="1"/>
    </xf>
    <xf numFmtId="3" fontId="4" fillId="0" borderId="5" xfId="2" applyNumberFormat="1" applyFont="1" applyBorder="1" applyAlignment="1">
      <alignment vertical="center" wrapText="1"/>
    </xf>
    <xf numFmtId="3" fontId="8" fillId="0" borderId="5" xfId="2" applyNumberFormat="1" applyFont="1" applyBorder="1" applyAlignment="1">
      <alignment vertical="center" wrapText="1"/>
    </xf>
    <xf numFmtId="166" fontId="11" fillId="0" borderId="16" xfId="2" applyNumberFormat="1" applyFont="1" applyBorder="1" applyAlignment="1">
      <alignment vertical="center" wrapText="1"/>
    </xf>
    <xf numFmtId="166" fontId="6" fillId="0" borderId="16" xfId="2" applyNumberFormat="1" applyFont="1" applyBorder="1" applyAlignment="1">
      <alignment vertical="center" wrapText="1"/>
    </xf>
    <xf numFmtId="166" fontId="10" fillId="0" borderId="50" xfId="2" applyNumberFormat="1" applyFont="1" applyBorder="1" applyAlignment="1">
      <alignment vertical="center"/>
    </xf>
    <xf numFmtId="166" fontId="10" fillId="0" borderId="13" xfId="2" applyNumberFormat="1" applyFont="1" applyBorder="1" applyAlignment="1">
      <alignment vertical="center"/>
    </xf>
    <xf numFmtId="166" fontId="10" fillId="0" borderId="54" xfId="2" applyNumberFormat="1" applyFont="1" applyBorder="1" applyAlignment="1">
      <alignment vertical="center"/>
    </xf>
    <xf numFmtId="166" fontId="21" fillId="0" borderId="16" xfId="2" applyNumberFormat="1" applyFont="1" applyBorder="1" applyAlignment="1">
      <alignment vertical="center" wrapText="1"/>
    </xf>
    <xf numFmtId="3" fontId="9" fillId="0" borderId="13" xfId="2" applyNumberFormat="1" applyFont="1" applyBorder="1" applyAlignment="1">
      <alignment horizontal="right" vertical="center" wrapText="1"/>
    </xf>
    <xf numFmtId="0" fontId="5" fillId="0" borderId="5" xfId="2" applyFont="1" applyBorder="1"/>
    <xf numFmtId="0" fontId="12" fillId="0" borderId="9" xfId="2" applyFont="1" applyBorder="1" applyAlignment="1">
      <alignment vertical="center" wrapText="1"/>
    </xf>
    <xf numFmtId="166" fontId="4" fillId="0" borderId="9" xfId="2" applyNumberFormat="1" applyFont="1" applyBorder="1" applyAlignment="1">
      <alignment vertical="center" wrapText="1"/>
    </xf>
    <xf numFmtId="0" fontId="12" fillId="0" borderId="10" xfId="2" applyFont="1" applyFill="1" applyBorder="1" applyAlignment="1">
      <alignment horizontal="center" vertical="center" wrapText="1"/>
    </xf>
    <xf numFmtId="49" fontId="12" fillId="0" borderId="15" xfId="2" applyNumberFormat="1" applyFont="1" applyFill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5" fillId="0" borderId="69" xfId="2" applyFont="1" applyBorder="1"/>
    <xf numFmtId="0" fontId="23" fillId="0" borderId="0" xfId="2" applyFont="1"/>
    <xf numFmtId="0" fontId="23" fillId="0" borderId="0" xfId="2" applyFont="1" applyBorder="1"/>
    <xf numFmtId="0" fontId="24" fillId="0" borderId="9" xfId="2" applyFont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/>
    </xf>
    <xf numFmtId="49" fontId="4" fillId="0" borderId="9" xfId="2" applyNumberFormat="1" applyFont="1" applyBorder="1" applyAlignment="1">
      <alignment horizontal="center" vertical="center" wrapText="1"/>
    </xf>
    <xf numFmtId="0" fontId="9" fillId="0" borderId="70" xfId="2" applyFont="1" applyBorder="1" applyAlignment="1">
      <alignment vertical="center"/>
    </xf>
    <xf numFmtId="3" fontId="8" fillId="0" borderId="70" xfId="2" applyNumberFormat="1" applyFont="1" applyBorder="1" applyAlignment="1">
      <alignment vertical="center"/>
    </xf>
    <xf numFmtId="3" fontId="8" fillId="0" borderId="71" xfId="2" applyNumberFormat="1" applyFont="1" applyBorder="1" applyAlignment="1">
      <alignment vertical="center"/>
    </xf>
    <xf numFmtId="3" fontId="17" fillId="0" borderId="72" xfId="2" applyNumberFormat="1" applyFont="1" applyBorder="1" applyAlignment="1">
      <alignment vertical="center" wrapText="1"/>
    </xf>
    <xf numFmtId="0" fontId="4" fillId="0" borderId="17" xfId="2" applyFont="1" applyBorder="1" applyAlignment="1">
      <alignment horizontal="center" vertical="center" wrapText="1"/>
    </xf>
    <xf numFmtId="0" fontId="12" fillId="0" borderId="17" xfId="2" applyFont="1" applyBorder="1" applyAlignment="1">
      <alignment vertical="center" wrapText="1"/>
    </xf>
    <xf numFmtId="3" fontId="12" fillId="0" borderId="17" xfId="2" applyNumberFormat="1" applyFont="1" applyBorder="1" applyAlignment="1">
      <alignment vertical="center" wrapText="1"/>
    </xf>
    <xf numFmtId="0" fontId="4" fillId="0" borderId="8" xfId="2" applyFont="1" applyFill="1" applyBorder="1" applyAlignment="1">
      <alignment horizontal="center"/>
    </xf>
    <xf numFmtId="0" fontId="8" fillId="0" borderId="8" xfId="2" applyFont="1" applyFill="1" applyBorder="1" applyAlignment="1">
      <alignment horizontal="center"/>
    </xf>
    <xf numFmtId="0" fontId="4" fillId="0" borderId="73" xfId="2" applyFont="1" applyBorder="1" applyAlignment="1">
      <alignment horizontal="center" vertical="center" wrapText="1"/>
    </xf>
    <xf numFmtId="0" fontId="12" fillId="0" borderId="73" xfId="2" applyFont="1" applyBorder="1" applyAlignment="1">
      <alignment vertical="center" wrapText="1"/>
    </xf>
    <xf numFmtId="3" fontId="12" fillId="0" borderId="73" xfId="2" applyNumberFormat="1" applyFont="1" applyBorder="1" applyAlignment="1">
      <alignment vertical="center" wrapText="1"/>
    </xf>
    <xf numFmtId="3" fontId="16" fillId="0" borderId="44" xfId="2" applyNumberFormat="1" applyFont="1" applyBorder="1" applyAlignment="1">
      <alignment vertical="center"/>
    </xf>
    <xf numFmtId="3" fontId="18" fillId="0" borderId="70" xfId="2" applyNumberFormat="1" applyFont="1" applyBorder="1" applyAlignment="1">
      <alignment vertical="center" wrapText="1"/>
    </xf>
    <xf numFmtId="3" fontId="8" fillId="0" borderId="70" xfId="2" applyNumberFormat="1" applyFont="1" applyBorder="1" applyAlignment="1">
      <alignment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73" xfId="2" applyFont="1" applyFill="1" applyBorder="1" applyAlignment="1">
      <alignment horizontal="center" vertical="center" wrapText="1"/>
    </xf>
    <xf numFmtId="0" fontId="4" fillId="0" borderId="74" xfId="2" applyFont="1" applyBorder="1" applyAlignment="1">
      <alignment horizontal="center" vertical="center" wrapText="1"/>
    </xf>
    <xf numFmtId="3" fontId="21" fillId="0" borderId="17" xfId="2" applyNumberFormat="1" applyFont="1" applyBorder="1" applyAlignment="1">
      <alignment vertical="center" wrapText="1"/>
    </xf>
    <xf numFmtId="49" fontId="4" fillId="0" borderId="15" xfId="2" applyNumberFormat="1" applyFont="1" applyFill="1" applyBorder="1" applyAlignment="1">
      <alignment horizontal="center" vertical="center" wrapText="1"/>
    </xf>
    <xf numFmtId="49" fontId="8" fillId="0" borderId="15" xfId="2" applyNumberFormat="1" applyFont="1" applyFill="1" applyBorder="1" applyAlignment="1">
      <alignment horizontal="center" vertical="center" wrapText="1"/>
    </xf>
    <xf numFmtId="3" fontId="9" fillId="0" borderId="10" xfId="2" applyNumberFormat="1" applyFont="1" applyBorder="1" applyAlignment="1">
      <alignment horizontal="right" vertical="center" wrapText="1"/>
    </xf>
    <xf numFmtId="3" fontId="9" fillId="0" borderId="19" xfId="2" applyNumberFormat="1" applyFont="1" applyBorder="1" applyAlignment="1">
      <alignment horizontal="right" vertical="center" wrapText="1"/>
    </xf>
    <xf numFmtId="0" fontId="8" fillId="0" borderId="0" xfId="2" applyFont="1" applyBorder="1" applyAlignment="1">
      <alignment horizontal="left" vertical="center"/>
    </xf>
    <xf numFmtId="16" fontId="5" fillId="0" borderId="17" xfId="2" applyNumberFormat="1" applyFont="1" applyBorder="1" applyAlignment="1">
      <alignment horizontal="center" vertical="center"/>
    </xf>
    <xf numFmtId="3" fontId="11" fillId="0" borderId="63" xfId="2" applyNumberFormat="1" applyFont="1" applyBorder="1" applyAlignment="1">
      <alignment vertical="center" wrapText="1"/>
    </xf>
    <xf numFmtId="166" fontId="8" fillId="0" borderId="8" xfId="2" applyNumberFormat="1" applyFont="1" applyBorder="1" applyAlignment="1">
      <alignment vertical="center" wrapText="1"/>
    </xf>
    <xf numFmtId="166" fontId="16" fillId="3" borderId="8" xfId="2" applyNumberFormat="1" applyFont="1" applyFill="1" applyBorder="1" applyAlignment="1">
      <alignment vertical="center" wrapText="1"/>
    </xf>
    <xf numFmtId="166" fontId="25" fillId="0" borderId="17" xfId="2" applyNumberFormat="1" applyFont="1" applyBorder="1" applyAlignment="1">
      <alignment vertical="center" wrapText="1"/>
    </xf>
    <xf numFmtId="166" fontId="8" fillId="3" borderId="10" xfId="2" applyNumberFormat="1" applyFont="1" applyFill="1" applyBorder="1" applyAlignment="1">
      <alignment vertical="center" wrapText="1"/>
    </xf>
    <xf numFmtId="166" fontId="8" fillId="3" borderId="8" xfId="2" applyNumberFormat="1" applyFont="1" applyFill="1" applyBorder="1" applyAlignment="1">
      <alignment vertical="center" wrapText="1"/>
    </xf>
    <xf numFmtId="49" fontId="8" fillId="0" borderId="11" xfId="2" applyNumberFormat="1" applyFont="1" applyFill="1" applyBorder="1" applyAlignment="1">
      <alignment horizontal="center" vertical="center" wrapText="1"/>
    </xf>
    <xf numFmtId="3" fontId="11" fillId="0" borderId="8" xfId="2" applyNumberFormat="1" applyFont="1" applyBorder="1" applyAlignment="1">
      <alignment vertical="center" wrapText="1"/>
    </xf>
    <xf numFmtId="166" fontId="4" fillId="0" borderId="0" xfId="2" applyNumberFormat="1" applyFont="1" applyBorder="1" applyAlignment="1">
      <alignment vertical="center" wrapText="1"/>
    </xf>
    <xf numFmtId="166" fontId="11" fillId="0" borderId="8" xfId="2" applyNumberFormat="1" applyFont="1" applyBorder="1" applyAlignment="1">
      <alignment vertical="center" wrapText="1"/>
    </xf>
    <xf numFmtId="166" fontId="11" fillId="0" borderId="5" xfId="2" applyNumberFormat="1" applyFont="1" applyBorder="1" applyAlignment="1">
      <alignment vertical="center" wrapText="1"/>
    </xf>
    <xf numFmtId="166" fontId="10" fillId="0" borderId="10" xfId="2" applyNumberFormat="1" applyFont="1" applyBorder="1" applyAlignment="1">
      <alignment vertical="center"/>
    </xf>
    <xf numFmtId="166" fontId="10" fillId="0" borderId="19" xfId="2" applyNumberFormat="1" applyFont="1" applyBorder="1" applyAlignment="1">
      <alignment vertical="center"/>
    </xf>
    <xf numFmtId="0" fontId="4" fillId="0" borderId="0" xfId="2" applyFont="1" applyBorder="1" applyAlignment="1">
      <alignment horizontal="center" vertical="top"/>
    </xf>
    <xf numFmtId="0" fontId="4" fillId="0" borderId="0" xfId="2" applyFont="1" applyBorder="1" applyAlignment="1">
      <alignment horizontal="right" vertical="top"/>
    </xf>
    <xf numFmtId="0" fontId="8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3" fontId="11" fillId="0" borderId="0" xfId="2" applyNumberFormat="1" applyFont="1" applyBorder="1" applyAlignment="1">
      <alignment horizontal="right" vertical="center" wrapText="1"/>
    </xf>
    <xf numFmtId="3" fontId="16" fillId="0" borderId="0" xfId="2" applyNumberFormat="1" applyFont="1" applyBorder="1" applyAlignment="1">
      <alignment vertical="center" wrapText="1"/>
    </xf>
    <xf numFmtId="3" fontId="10" fillId="0" borderId="0" xfId="2" applyNumberFormat="1" applyFont="1" applyBorder="1" applyAlignment="1">
      <alignment vertical="center"/>
    </xf>
    <xf numFmtId="3" fontId="10" fillId="0" borderId="0" xfId="2" applyNumberFormat="1" applyFont="1" applyFill="1" applyBorder="1" applyAlignment="1">
      <alignment vertical="center"/>
    </xf>
    <xf numFmtId="3" fontId="17" fillId="0" borderId="0" xfId="2" applyNumberFormat="1" applyFont="1" applyBorder="1" applyAlignment="1">
      <alignment vertical="center" wrapText="1"/>
    </xf>
    <xf numFmtId="3" fontId="19" fillId="0" borderId="0" xfId="2" applyNumberFormat="1" applyFont="1" applyFill="1" applyBorder="1" applyAlignment="1">
      <alignment vertical="center" wrapText="1"/>
    </xf>
    <xf numFmtId="3" fontId="19" fillId="0" borderId="0" xfId="2" applyNumberFormat="1" applyFont="1" applyBorder="1" applyAlignment="1">
      <alignment vertical="center" wrapText="1"/>
    </xf>
    <xf numFmtId="166" fontId="19" fillId="0" borderId="0" xfId="2" applyNumberFormat="1" applyFont="1" applyBorder="1" applyAlignment="1">
      <alignment vertical="center" wrapText="1"/>
    </xf>
    <xf numFmtId="166" fontId="11" fillId="0" borderId="0" xfId="2" applyNumberFormat="1" applyFont="1" applyBorder="1" applyAlignment="1">
      <alignment vertical="center" wrapText="1"/>
    </xf>
    <xf numFmtId="166" fontId="16" fillId="0" borderId="0" xfId="2" applyNumberFormat="1" applyFont="1" applyBorder="1" applyAlignment="1">
      <alignment vertical="center" wrapText="1"/>
    </xf>
    <xf numFmtId="166" fontId="10" fillId="0" borderId="0" xfId="2" applyNumberFormat="1" applyFont="1" applyBorder="1" applyAlignment="1">
      <alignment vertical="center"/>
    </xf>
    <xf numFmtId="166" fontId="8" fillId="0" borderId="0" xfId="2" applyNumberFormat="1" applyFont="1" applyBorder="1" applyAlignment="1">
      <alignment vertical="center" wrapText="1"/>
    </xf>
    <xf numFmtId="166" fontId="10" fillId="0" borderId="0" xfId="2" applyNumberFormat="1" applyFont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/>
    </xf>
    <xf numFmtId="0" fontId="6" fillId="0" borderId="75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6" fillId="0" borderId="76" xfId="2" applyFont="1" applyBorder="1" applyAlignment="1">
      <alignment horizontal="center"/>
    </xf>
    <xf numFmtId="0" fontId="4" fillId="0" borderId="77" xfId="2" applyFont="1" applyBorder="1" applyAlignment="1">
      <alignment horizontal="center" vertical="center"/>
    </xf>
    <xf numFmtId="3" fontId="11" fillId="0" borderId="66" xfId="2" applyNumberFormat="1" applyFont="1" applyBorder="1" applyAlignment="1">
      <alignment horizontal="right" vertical="center" wrapText="1"/>
    </xf>
    <xf numFmtId="3" fontId="11" fillId="0" borderId="48" xfId="2" applyNumberFormat="1" applyFont="1" applyBorder="1" applyAlignment="1">
      <alignment horizontal="right" vertical="center" wrapText="1"/>
    </xf>
    <xf numFmtId="3" fontId="17" fillId="0" borderId="26" xfId="2" applyNumberFormat="1" applyFont="1" applyBorder="1" applyAlignment="1">
      <alignment vertical="center" wrapText="1"/>
    </xf>
    <xf numFmtId="3" fontId="17" fillId="0" borderId="27" xfId="2" applyNumberFormat="1" applyFont="1" applyBorder="1" applyAlignment="1">
      <alignment vertical="center" wrapText="1"/>
    </xf>
    <xf numFmtId="166" fontId="19" fillId="0" borderId="78" xfId="2" applyNumberFormat="1" applyFont="1" applyBorder="1" applyAlignment="1">
      <alignment vertical="center" wrapText="1"/>
    </xf>
    <xf numFmtId="3" fontId="10" fillId="0" borderId="79" xfId="2" applyNumberFormat="1" applyFont="1" applyBorder="1" applyAlignment="1">
      <alignment vertical="center"/>
    </xf>
    <xf numFmtId="166" fontId="16" fillId="0" borderId="34" xfId="2" applyNumberFormat="1" applyFont="1" applyBorder="1" applyAlignment="1">
      <alignment vertical="center" wrapText="1"/>
    </xf>
    <xf numFmtId="3" fontId="16" fillId="0" borderId="34" xfId="2" applyNumberFormat="1" applyFont="1" applyBorder="1" applyAlignment="1">
      <alignment vertical="center" wrapText="1"/>
    </xf>
    <xf numFmtId="3" fontId="10" fillId="0" borderId="34" xfId="2" applyNumberFormat="1" applyFont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166" fontId="10" fillId="0" borderId="23" xfId="2" applyNumberFormat="1" applyFont="1" applyBorder="1" applyAlignment="1">
      <alignment vertical="center" wrapText="1"/>
    </xf>
    <xf numFmtId="166" fontId="10" fillId="0" borderId="61" xfId="2" applyNumberFormat="1" applyFont="1" applyBorder="1" applyAlignment="1">
      <alignment vertical="center" wrapText="1"/>
    </xf>
    <xf numFmtId="0" fontId="4" fillId="0" borderId="80" xfId="2" applyFont="1" applyBorder="1" applyAlignment="1">
      <alignment horizontal="center"/>
    </xf>
    <xf numFmtId="3" fontId="8" fillId="0" borderId="81" xfId="2" applyNumberFormat="1" applyFont="1" applyBorder="1" applyAlignment="1">
      <alignment vertical="center"/>
    </xf>
    <xf numFmtId="3" fontId="8" fillId="0" borderId="82" xfId="2" applyNumberFormat="1" applyFont="1" applyBorder="1" applyAlignment="1">
      <alignment vertical="center"/>
    </xf>
    <xf numFmtId="3" fontId="8" fillId="0" borderId="83" xfId="2" applyNumberFormat="1" applyFont="1" applyBorder="1" applyAlignment="1">
      <alignment vertical="center"/>
    </xf>
    <xf numFmtId="3" fontId="8" fillId="0" borderId="83" xfId="2" applyNumberFormat="1" applyFont="1" applyBorder="1" applyAlignment="1">
      <alignment vertical="center" wrapText="1"/>
    </xf>
    <xf numFmtId="3" fontId="8" fillId="0" borderId="84" xfId="2" applyNumberFormat="1" applyFont="1" applyBorder="1" applyAlignment="1">
      <alignment vertical="center" wrapText="1"/>
    </xf>
    <xf numFmtId="3" fontId="8" fillId="0" borderId="85" xfId="2" applyNumberFormat="1" applyFont="1" applyBorder="1" applyAlignment="1">
      <alignment vertical="center" wrapText="1"/>
    </xf>
    <xf numFmtId="3" fontId="12" fillId="0" borderId="8" xfId="2" applyNumberFormat="1" applyFont="1" applyBorder="1" applyAlignment="1">
      <alignment vertical="center" wrapText="1"/>
    </xf>
    <xf numFmtId="166" fontId="8" fillId="0" borderId="65" xfId="2" applyNumberFormat="1" applyFont="1" applyBorder="1" applyAlignment="1">
      <alignment vertical="center" wrapText="1"/>
    </xf>
    <xf numFmtId="3" fontId="8" fillId="0" borderId="65" xfId="2" applyNumberFormat="1" applyFont="1" applyBorder="1" applyAlignment="1">
      <alignment vertical="center" wrapText="1"/>
    </xf>
    <xf numFmtId="3" fontId="13" fillId="0" borderId="49" xfId="2" applyNumberFormat="1" applyFont="1" applyBorder="1" applyAlignment="1">
      <alignment vertical="center"/>
    </xf>
    <xf numFmtId="166" fontId="4" fillId="0" borderId="8" xfId="2" applyNumberFormat="1" applyFont="1" applyBorder="1" applyAlignment="1">
      <alignment vertical="center" wrapText="1"/>
    </xf>
    <xf numFmtId="166" fontId="12" fillId="0" borderId="8" xfId="2" applyNumberFormat="1" applyFont="1" applyBorder="1" applyAlignment="1">
      <alignment vertical="center" wrapText="1"/>
    </xf>
    <xf numFmtId="166" fontId="10" fillId="0" borderId="18" xfId="2" applyNumberFormat="1" applyFont="1" applyFill="1" applyBorder="1" applyAlignment="1">
      <alignment vertical="center" wrapText="1"/>
    </xf>
    <xf numFmtId="49" fontId="34" fillId="0" borderId="11" xfId="2" applyNumberFormat="1" applyFont="1" applyBorder="1" applyAlignment="1">
      <alignment horizontal="center" vertical="center" wrapText="1"/>
    </xf>
    <xf numFmtId="0" fontId="34" fillId="0" borderId="0" xfId="2" applyFont="1" applyBorder="1" applyAlignment="1">
      <alignment vertical="center" wrapText="1"/>
    </xf>
    <xf numFmtId="166" fontId="34" fillId="0" borderId="10" xfId="2" applyNumberFormat="1" applyFont="1" applyBorder="1" applyAlignment="1">
      <alignment vertical="center" wrapText="1"/>
    </xf>
    <xf numFmtId="3" fontId="11" fillId="0" borderId="17" xfId="2" applyNumberFormat="1" applyFont="1" applyFill="1" applyBorder="1" applyAlignment="1">
      <alignment vertical="center" wrapText="1"/>
    </xf>
    <xf numFmtId="166" fontId="35" fillId="0" borderId="19" xfId="2" applyNumberFormat="1" applyFont="1" applyBorder="1" applyAlignment="1">
      <alignment vertical="center" wrapText="1"/>
    </xf>
    <xf numFmtId="0" fontId="13" fillId="0" borderId="17" xfId="2" applyFont="1" applyBorder="1" applyAlignment="1">
      <alignment horizontal="right" vertical="center"/>
    </xf>
    <xf numFmtId="166" fontId="13" fillId="0" borderId="17" xfId="2" applyNumberFormat="1" applyFont="1" applyBorder="1" applyAlignment="1">
      <alignment vertical="center"/>
    </xf>
    <xf numFmtId="49" fontId="8" fillId="4" borderId="11" xfId="2" applyNumberFormat="1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/>
    </xf>
    <xf numFmtId="49" fontId="12" fillId="4" borderId="10" xfId="2" applyNumberFormat="1" applyFont="1" applyFill="1" applyBorder="1" applyAlignment="1">
      <alignment horizontal="center" vertical="center" wrapText="1"/>
    </xf>
    <xf numFmtId="166" fontId="12" fillId="4" borderId="8" xfId="2" applyNumberFormat="1" applyFont="1" applyFill="1" applyBorder="1" applyAlignment="1">
      <alignment vertical="center" wrapText="1"/>
    </xf>
    <xf numFmtId="49" fontId="12" fillId="4" borderId="15" xfId="2" applyNumberFormat="1" applyFont="1" applyFill="1" applyBorder="1" applyAlignment="1">
      <alignment horizontal="center" vertical="center" wrapText="1"/>
    </xf>
    <xf numFmtId="49" fontId="12" fillId="0" borderId="9" xfId="2" applyNumberFormat="1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166" fontId="22" fillId="0" borderId="17" xfId="2" applyNumberFormat="1" applyFont="1" applyBorder="1" applyAlignment="1">
      <alignment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4" fillId="0" borderId="6" xfId="2" applyFont="1" applyBorder="1" applyAlignment="1"/>
    <xf numFmtId="0" fontId="0" fillId="0" borderId="86" xfId="0" applyBorder="1" applyAlignment="1"/>
    <xf numFmtId="0" fontId="4" fillId="0" borderId="87" xfId="2" applyFont="1" applyBorder="1" applyAlignment="1"/>
    <xf numFmtId="0" fontId="8" fillId="0" borderId="10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10" xfId="2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0" fontId="4" fillId="0" borderId="88" xfId="2" applyFont="1" applyBorder="1" applyAlignment="1"/>
    <xf numFmtId="0" fontId="4" fillId="2" borderId="88" xfId="0" applyFont="1" applyFill="1" applyBorder="1" applyAlignment="1" applyProtection="1">
      <protection hidden="1"/>
    </xf>
    <xf numFmtId="0" fontId="4" fillId="2" borderId="88" xfId="0" applyFont="1" applyFill="1" applyBorder="1" applyAlignment="1" applyProtection="1">
      <alignment horizontal="center"/>
      <protection hidden="1"/>
    </xf>
    <xf numFmtId="0" fontId="4" fillId="0" borderId="89" xfId="2" applyFont="1" applyBorder="1" applyAlignment="1"/>
    <xf numFmtId="0" fontId="4" fillId="0" borderId="90" xfId="2" applyFont="1" applyBorder="1" applyAlignment="1"/>
    <xf numFmtId="0" fontId="16" fillId="0" borderId="91" xfId="2" applyFont="1" applyBorder="1" applyAlignment="1">
      <alignment horizontal="center"/>
    </xf>
    <xf numFmtId="0" fontId="16" fillId="0" borderId="88" xfId="2" applyFont="1" applyBorder="1" applyAlignment="1">
      <alignment horizontal="center"/>
    </xf>
    <xf numFmtId="3" fontId="11" fillId="0" borderId="15" xfId="2" applyNumberFormat="1" applyFont="1" applyBorder="1" applyAlignment="1">
      <alignment horizontal="right" vertical="center" wrapText="1"/>
    </xf>
    <xf numFmtId="0" fontId="6" fillId="0" borderId="92" xfId="2" applyFont="1" applyBorder="1" applyAlignment="1">
      <alignment horizontal="center"/>
    </xf>
    <xf numFmtId="3" fontId="16" fillId="0" borderId="92" xfId="2" applyNumberFormat="1" applyFont="1" applyBorder="1"/>
    <xf numFmtId="3" fontId="16" fillId="0" borderId="42" xfId="2" applyNumberFormat="1" applyFont="1" applyBorder="1"/>
    <xf numFmtId="166" fontId="10" fillId="0" borderId="42" xfId="2" applyNumberFormat="1" applyFont="1" applyBorder="1" applyAlignment="1">
      <alignment horizontal="right" vertical="center" wrapText="1"/>
    </xf>
    <xf numFmtId="166" fontId="6" fillId="0" borderId="87" xfId="2" applyNumberFormat="1" applyFont="1" applyBorder="1" applyAlignment="1">
      <alignment vertical="center" wrapText="1"/>
    </xf>
    <xf numFmtId="166" fontId="6" fillId="0" borderId="93" xfId="2" applyNumberFormat="1" applyFont="1" applyBorder="1" applyAlignment="1">
      <alignment vertical="center" wrapText="1"/>
    </xf>
    <xf numFmtId="166" fontId="11" fillId="0" borderId="94" xfId="2" applyNumberFormat="1" applyFont="1" applyBorder="1" applyAlignment="1">
      <alignment vertical="center" wrapText="1"/>
    </xf>
    <xf numFmtId="3" fontId="11" fillId="0" borderId="95" xfId="2" applyNumberFormat="1" applyFont="1" applyBorder="1" applyAlignment="1">
      <alignment vertical="center" wrapText="1"/>
    </xf>
    <xf numFmtId="3" fontId="11" fillId="0" borderId="87" xfId="2" applyNumberFormat="1" applyFont="1" applyBorder="1" applyAlignment="1">
      <alignment vertical="center" wrapText="1"/>
    </xf>
    <xf numFmtId="166" fontId="6" fillId="0" borderId="94" xfId="2" applyNumberFormat="1" applyFont="1" applyBorder="1" applyAlignment="1">
      <alignment vertical="center" wrapText="1"/>
    </xf>
    <xf numFmtId="166" fontId="10" fillId="0" borderId="96" xfId="2" applyNumberFormat="1" applyFont="1" applyBorder="1" applyAlignment="1">
      <alignment vertical="center"/>
    </xf>
    <xf numFmtId="166" fontId="10" fillId="0" borderId="97" xfId="2" applyNumberFormat="1" applyFont="1" applyBorder="1" applyAlignment="1">
      <alignment vertical="center"/>
    </xf>
    <xf numFmtId="166" fontId="10" fillId="0" borderId="94" xfId="2" applyNumberFormat="1" applyFont="1" applyBorder="1" applyAlignment="1">
      <alignment vertical="center" wrapText="1"/>
    </xf>
    <xf numFmtId="3" fontId="13" fillId="0" borderId="43" xfId="2" applyNumberFormat="1" applyFont="1" applyBorder="1" applyAlignment="1">
      <alignment vertical="center" wrapText="1"/>
    </xf>
    <xf numFmtId="3" fontId="21" fillId="0" borderId="21" xfId="2" applyNumberFormat="1" applyFont="1" applyBorder="1" applyAlignment="1">
      <alignment vertical="center" wrapText="1"/>
    </xf>
    <xf numFmtId="166" fontId="4" fillId="0" borderId="22" xfId="2" applyNumberFormat="1" applyFont="1" applyBorder="1" applyAlignment="1">
      <alignment vertical="center" wrapText="1"/>
    </xf>
    <xf numFmtId="166" fontId="4" fillId="0" borderId="98" xfId="2" applyNumberFormat="1" applyFont="1" applyBorder="1" applyAlignment="1">
      <alignment vertical="center" wrapText="1"/>
    </xf>
    <xf numFmtId="3" fontId="13" fillId="0" borderId="12" xfId="2" applyNumberFormat="1" applyFont="1" applyBorder="1" applyAlignment="1">
      <alignment vertical="center" wrapText="1"/>
    </xf>
    <xf numFmtId="166" fontId="25" fillId="0" borderId="21" xfId="2" applyNumberFormat="1" applyFont="1" applyBorder="1" applyAlignment="1">
      <alignment vertical="center" wrapText="1"/>
    </xf>
    <xf numFmtId="3" fontId="11" fillId="0" borderId="22" xfId="2" applyNumberFormat="1" applyFont="1" applyBorder="1" applyAlignment="1">
      <alignment vertical="center" wrapText="1"/>
    </xf>
    <xf numFmtId="166" fontId="8" fillId="0" borderId="22" xfId="2" applyNumberFormat="1" applyFont="1" applyBorder="1" applyAlignment="1">
      <alignment vertical="center" wrapText="1"/>
    </xf>
    <xf numFmtId="166" fontId="10" fillId="0" borderId="51" xfId="2" applyNumberFormat="1" applyFont="1" applyBorder="1" applyAlignment="1">
      <alignment vertical="center"/>
    </xf>
    <xf numFmtId="166" fontId="10" fillId="0" borderId="15" xfId="2" applyNumberFormat="1" applyFont="1" applyBorder="1" applyAlignment="1">
      <alignment vertical="center"/>
    </xf>
    <xf numFmtId="166" fontId="10" fillId="0" borderId="22" xfId="2" applyNumberFormat="1" applyFont="1" applyBorder="1" applyAlignment="1">
      <alignment vertical="center"/>
    </xf>
    <xf numFmtId="166" fontId="10" fillId="0" borderId="24" xfId="2" applyNumberFormat="1" applyFont="1" applyBorder="1" applyAlignment="1">
      <alignment vertical="center"/>
    </xf>
    <xf numFmtId="0" fontId="5" fillId="0" borderId="10" xfId="2" applyFont="1" applyBorder="1"/>
    <xf numFmtId="0" fontId="5" fillId="0" borderId="22" xfId="2" applyFont="1" applyBorder="1"/>
    <xf numFmtId="3" fontId="11" fillId="0" borderId="21" xfId="2" applyNumberFormat="1" applyFont="1" applyFill="1" applyBorder="1" applyAlignment="1">
      <alignment vertical="center" wrapText="1"/>
    </xf>
    <xf numFmtId="3" fontId="11" fillId="0" borderId="15" xfId="2" applyNumberFormat="1" applyFont="1" applyBorder="1" applyAlignment="1">
      <alignment vertical="center" wrapText="1"/>
    </xf>
    <xf numFmtId="0" fontId="4" fillId="0" borderId="10" xfId="2" applyFont="1" applyFill="1" applyBorder="1" applyAlignment="1">
      <alignment vertical="center" wrapText="1"/>
    </xf>
    <xf numFmtId="166" fontId="4" fillId="0" borderId="10" xfId="2" applyNumberFormat="1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center"/>
    </xf>
    <xf numFmtId="166" fontId="4" fillId="0" borderId="62" xfId="2" applyNumberFormat="1" applyFont="1" applyBorder="1" applyAlignment="1">
      <alignment vertical="center" wrapText="1"/>
    </xf>
    <xf numFmtId="0" fontId="6" fillId="0" borderId="99" xfId="2" applyFont="1" applyBorder="1" applyAlignment="1"/>
    <xf numFmtId="170" fontId="8" fillId="0" borderId="10" xfId="2" applyNumberFormat="1" applyFont="1" applyBorder="1" applyAlignment="1">
      <alignment vertical="center" wrapText="1"/>
    </xf>
    <xf numFmtId="166" fontId="27" fillId="0" borderId="17" xfId="2" applyNumberFormat="1" applyFont="1" applyBorder="1" applyAlignment="1">
      <alignment vertical="center" wrapText="1"/>
    </xf>
    <xf numFmtId="166" fontId="27" fillId="0" borderId="21" xfId="2" applyNumberFormat="1" applyFont="1" applyBorder="1" applyAlignment="1">
      <alignment vertical="center" wrapText="1"/>
    </xf>
    <xf numFmtId="166" fontId="27" fillId="0" borderId="94" xfId="2" applyNumberFormat="1" applyFont="1" applyBorder="1" applyAlignment="1">
      <alignment vertical="center" wrapText="1"/>
    </xf>
    <xf numFmtId="0" fontId="28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top"/>
    </xf>
    <xf numFmtId="0" fontId="28" fillId="0" borderId="0" xfId="2" applyFont="1" applyBorder="1" applyAlignment="1">
      <alignment horizontal="center" vertical="top" wrapText="1"/>
    </xf>
    <xf numFmtId="49" fontId="4" fillId="0" borderId="10" xfId="2" applyNumberFormat="1" applyFont="1" applyBorder="1" applyAlignment="1">
      <alignment horizontal="center" vertical="center" wrapText="1"/>
    </xf>
    <xf numFmtId="0" fontId="9" fillId="0" borderId="10" xfId="2" applyFont="1" applyBorder="1" applyAlignment="1">
      <alignment vertical="center"/>
    </xf>
    <xf numFmtId="3" fontId="8" fillId="0" borderId="10" xfId="2" applyNumberFormat="1" applyFont="1" applyBorder="1" applyAlignment="1">
      <alignment vertical="center"/>
    </xf>
    <xf numFmtId="3" fontId="8" fillId="0" borderId="19" xfId="2" applyNumberFormat="1" applyFont="1" applyBorder="1" applyAlignment="1">
      <alignment vertical="center"/>
    </xf>
    <xf numFmtId="3" fontId="17" fillId="0" borderId="22" xfId="2" applyNumberFormat="1" applyFont="1" applyBorder="1" applyAlignment="1">
      <alignment vertical="center" wrapText="1"/>
    </xf>
    <xf numFmtId="0" fontId="8" fillId="0" borderId="16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/>
    </xf>
    <xf numFmtId="3" fontId="8" fillId="0" borderId="100" xfId="2" applyNumberFormat="1" applyFont="1" applyBorder="1" applyAlignment="1">
      <alignment vertical="center"/>
    </xf>
    <xf numFmtId="3" fontId="8" fillId="0" borderId="27" xfId="2" applyNumberFormat="1" applyFont="1" applyBorder="1" applyAlignment="1">
      <alignment vertical="center" wrapText="1"/>
    </xf>
    <xf numFmtId="3" fontId="8" fillId="0" borderId="71" xfId="2" applyNumberFormat="1" applyFont="1" applyBorder="1" applyAlignment="1">
      <alignment vertical="center" wrapText="1"/>
    </xf>
    <xf numFmtId="3" fontId="8" fillId="0" borderId="78" xfId="2" applyNumberFormat="1" applyFont="1" applyBorder="1" applyAlignment="1">
      <alignment vertical="center" wrapText="1"/>
    </xf>
    <xf numFmtId="3" fontId="12" fillId="0" borderId="19" xfId="2" applyNumberFormat="1" applyFont="1" applyBorder="1" applyAlignment="1">
      <alignment vertical="center" wrapText="1"/>
    </xf>
    <xf numFmtId="166" fontId="8" fillId="0" borderId="34" xfId="2" applyNumberFormat="1" applyFont="1" applyBorder="1" applyAlignment="1">
      <alignment vertical="center" wrapText="1"/>
    </xf>
    <xf numFmtId="166" fontId="10" fillId="0" borderId="101" xfId="2" applyNumberFormat="1" applyFont="1" applyBorder="1" applyAlignment="1">
      <alignment vertical="center" wrapText="1"/>
    </xf>
    <xf numFmtId="0" fontId="16" fillId="2" borderId="91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6" fillId="0" borderId="19" xfId="2" applyFont="1" applyBorder="1" applyAlignment="1">
      <alignment horizontal="center"/>
    </xf>
    <xf numFmtId="0" fontId="4" fillId="0" borderId="31" xfId="2" applyFont="1" applyBorder="1" applyAlignment="1">
      <alignment horizontal="center" vertical="center"/>
    </xf>
    <xf numFmtId="3" fontId="11" fillId="0" borderId="66" xfId="2" applyNumberFormat="1" applyFont="1" applyBorder="1" applyAlignment="1">
      <alignment vertical="center" wrapText="1"/>
    </xf>
    <xf numFmtId="0" fontId="4" fillId="0" borderId="48" xfId="2" applyFont="1" applyBorder="1" applyAlignment="1">
      <alignment horizontal="center" vertical="center"/>
    </xf>
    <xf numFmtId="3" fontId="12" fillId="0" borderId="23" xfId="2" applyNumberFormat="1" applyFont="1" applyBorder="1" applyAlignment="1">
      <alignment vertical="center" wrapText="1"/>
    </xf>
    <xf numFmtId="3" fontId="12" fillId="0" borderId="79" xfId="2" applyNumberFormat="1" applyFont="1" applyBorder="1" applyAlignment="1">
      <alignment vertical="center" wrapText="1"/>
    </xf>
    <xf numFmtId="166" fontId="13" fillId="0" borderId="23" xfId="2" applyNumberFormat="1" applyFont="1" applyBorder="1" applyAlignment="1">
      <alignment vertical="center"/>
    </xf>
    <xf numFmtId="0" fontId="4" fillId="0" borderId="91" xfId="2" applyFont="1" applyBorder="1" applyAlignment="1">
      <alignment horizontal="center"/>
    </xf>
    <xf numFmtId="3" fontId="13" fillId="0" borderId="102" xfId="2" applyNumberFormat="1" applyFont="1" applyBorder="1" applyAlignment="1">
      <alignment vertical="center"/>
    </xf>
    <xf numFmtId="1" fontId="8" fillId="0" borderId="15" xfId="2" applyNumberFormat="1" applyFont="1" applyBorder="1" applyAlignment="1">
      <alignment horizontal="left" vertical="center" wrapText="1"/>
    </xf>
    <xf numFmtId="1" fontId="4" fillId="0" borderId="15" xfId="2" applyNumberFormat="1" applyFont="1" applyBorder="1" applyAlignment="1">
      <alignment horizontal="left" vertical="center" wrapText="1"/>
    </xf>
    <xf numFmtId="1" fontId="4" fillId="0" borderId="15" xfId="2" applyNumberFormat="1" applyFont="1" applyFill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166" fontId="29" fillId="0" borderId="17" xfId="2" applyNumberFormat="1" applyFont="1" applyBorder="1" applyAlignment="1">
      <alignment vertical="center"/>
    </xf>
    <xf numFmtId="166" fontId="29" fillId="0" borderId="23" xfId="2" applyNumberFormat="1" applyFont="1" applyBorder="1" applyAlignment="1">
      <alignment vertical="center"/>
    </xf>
    <xf numFmtId="166" fontId="29" fillId="0" borderId="18" xfId="2" applyNumberFormat="1" applyFont="1" applyBorder="1" applyAlignment="1">
      <alignment vertical="center"/>
    </xf>
    <xf numFmtId="166" fontId="16" fillId="0" borderId="19" xfId="2" applyNumberFormat="1" applyFont="1" applyFill="1" applyBorder="1" applyAlignment="1">
      <alignment vertical="center" wrapText="1"/>
    </xf>
    <xf numFmtId="1" fontId="8" fillId="0" borderId="15" xfId="2" applyNumberFormat="1" applyFont="1" applyFill="1" applyBorder="1" applyAlignment="1">
      <alignment horizontal="left" vertical="center" wrapText="1"/>
    </xf>
    <xf numFmtId="49" fontId="8" fillId="0" borderId="11" xfId="2" applyNumberFormat="1" applyFont="1" applyFill="1" applyBorder="1" applyAlignment="1">
      <alignment horizontal="left" vertical="center" wrapText="1"/>
    </xf>
    <xf numFmtId="49" fontId="8" fillId="0" borderId="15" xfId="2" applyNumberFormat="1" applyFont="1" applyFill="1" applyBorder="1" applyAlignment="1">
      <alignment horizontal="left" vertical="center" wrapText="1"/>
    </xf>
    <xf numFmtId="166" fontId="13" fillId="0" borderId="9" xfId="2" applyNumberFormat="1" applyFont="1" applyBorder="1" applyAlignment="1">
      <alignment vertical="center" wrapText="1"/>
    </xf>
    <xf numFmtId="166" fontId="8" fillId="0" borderId="9" xfId="2" applyNumberFormat="1" applyFont="1" applyBorder="1" applyAlignment="1">
      <alignment vertical="center" wrapText="1"/>
    </xf>
    <xf numFmtId="0" fontId="4" fillId="0" borderId="11" xfId="2" applyFont="1" applyBorder="1" applyAlignment="1">
      <alignment horizontal="center" vertical="center"/>
    </xf>
    <xf numFmtId="166" fontId="6" fillId="0" borderId="59" xfId="2" applyNumberFormat="1" applyFont="1" applyBorder="1" applyAlignment="1">
      <alignment vertical="center" wrapText="1"/>
    </xf>
    <xf numFmtId="0" fontId="16" fillId="2" borderId="7" xfId="0" applyFont="1" applyFill="1" applyBorder="1" applyAlignment="1">
      <alignment horizontal="center"/>
    </xf>
    <xf numFmtId="0" fontId="4" fillId="0" borderId="5" xfId="2" applyFont="1" applyBorder="1" applyAlignment="1">
      <alignment horizontal="right"/>
    </xf>
    <xf numFmtId="0" fontId="4" fillId="0" borderId="36" xfId="2" applyFont="1" applyBorder="1" applyAlignment="1">
      <alignment horizontal="right"/>
    </xf>
    <xf numFmtId="0" fontId="9" fillId="0" borderId="10" xfId="2" applyFont="1" applyBorder="1" applyAlignment="1">
      <alignment horizontal="right" vertical="center"/>
    </xf>
    <xf numFmtId="166" fontId="10" fillId="0" borderId="59" xfId="2" applyNumberFormat="1" applyFont="1" applyBorder="1" applyAlignment="1">
      <alignment horizontal="right" vertical="center" wrapText="1"/>
    </xf>
    <xf numFmtId="3" fontId="9" fillId="0" borderId="8" xfId="2" applyNumberFormat="1" applyFont="1" applyBorder="1" applyAlignment="1">
      <alignment horizontal="right" vertical="center" wrapText="1"/>
    </xf>
    <xf numFmtId="3" fontId="8" fillId="0" borderId="10" xfId="2" applyNumberFormat="1" applyFont="1" applyBorder="1" applyAlignment="1">
      <alignment horizontal="right" vertical="center" wrapText="1"/>
    </xf>
    <xf numFmtId="1" fontId="8" fillId="0" borderId="9" xfId="2" applyNumberFormat="1" applyFont="1" applyBorder="1" applyAlignment="1">
      <alignment horizontal="center" vertical="center" wrapText="1"/>
    </xf>
    <xf numFmtId="166" fontId="13" fillId="0" borderId="10" xfId="2" applyNumberFormat="1" applyFont="1" applyBorder="1" applyAlignment="1">
      <alignment vertical="center" wrapText="1"/>
    </xf>
    <xf numFmtId="166" fontId="13" fillId="0" borderId="22" xfId="2" applyNumberFormat="1" applyFont="1" applyBorder="1" applyAlignment="1">
      <alignment vertical="center" wrapText="1"/>
    </xf>
    <xf numFmtId="3" fontId="8" fillId="0" borderId="98" xfId="2" applyNumberFormat="1" applyFont="1" applyBorder="1" applyAlignment="1">
      <alignment vertical="center" wrapText="1"/>
    </xf>
    <xf numFmtId="3" fontId="22" fillId="0" borderId="17" xfId="2" applyNumberFormat="1" applyFont="1" applyBorder="1" applyAlignment="1">
      <alignment vertical="center"/>
    </xf>
    <xf numFmtId="3" fontId="22" fillId="0" borderId="21" xfId="2" applyNumberFormat="1" applyFont="1" applyBorder="1" applyAlignment="1">
      <alignment vertical="center"/>
    </xf>
    <xf numFmtId="16" fontId="5" fillId="0" borderId="17" xfId="2" quotePrefix="1" applyNumberFormat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166" fontId="13" fillId="0" borderId="76" xfId="2" applyNumberFormat="1" applyFont="1" applyBorder="1" applyAlignment="1">
      <alignment vertical="center" wrapText="1"/>
    </xf>
    <xf numFmtId="166" fontId="13" fillId="0" borderId="19" xfId="2" applyNumberFormat="1" applyFont="1" applyBorder="1" applyAlignment="1">
      <alignment vertical="center" wrapText="1"/>
    </xf>
    <xf numFmtId="166" fontId="8" fillId="3" borderId="19" xfId="2" applyNumberFormat="1" applyFont="1" applyFill="1" applyBorder="1" applyAlignment="1">
      <alignment vertical="center" wrapText="1"/>
    </xf>
    <xf numFmtId="166" fontId="10" fillId="0" borderId="17" xfId="2" applyNumberFormat="1" applyFont="1" applyFill="1" applyBorder="1" applyAlignment="1">
      <alignment vertical="center"/>
    </xf>
    <xf numFmtId="0" fontId="5" fillId="0" borderId="103" xfId="2" applyFont="1" applyBorder="1"/>
    <xf numFmtId="166" fontId="22" fillId="0" borderId="17" xfId="2" applyNumberFormat="1" applyFont="1" applyBorder="1" applyAlignment="1">
      <alignment vertical="center"/>
    </xf>
    <xf numFmtId="166" fontId="22" fillId="0" borderId="23" xfId="2" applyNumberFormat="1" applyFont="1" applyBorder="1" applyAlignment="1">
      <alignment vertical="center"/>
    </xf>
    <xf numFmtId="166" fontId="22" fillId="0" borderId="18" xfId="2" applyNumberFormat="1" applyFont="1" applyBorder="1" applyAlignment="1">
      <alignment vertical="center"/>
    </xf>
    <xf numFmtId="3" fontId="22" fillId="0" borderId="23" xfId="2" applyNumberFormat="1" applyFont="1" applyBorder="1" applyAlignment="1">
      <alignment vertical="center" wrapText="1"/>
    </xf>
    <xf numFmtId="3" fontId="22" fillId="0" borderId="17" xfId="2" applyNumberFormat="1" applyFont="1" applyBorder="1" applyAlignment="1">
      <alignment vertical="center" wrapText="1"/>
    </xf>
    <xf numFmtId="1" fontId="12" fillId="0" borderId="15" xfId="2" applyNumberFormat="1" applyFont="1" applyFill="1" applyBorder="1" applyAlignment="1">
      <alignment horizontal="center" vertical="center" wrapText="1"/>
    </xf>
    <xf numFmtId="1" fontId="36" fillId="0" borderId="15" xfId="2" applyNumberFormat="1" applyFont="1" applyBorder="1" applyAlignment="1">
      <alignment horizontal="center" vertical="center" wrapText="1"/>
    </xf>
    <xf numFmtId="166" fontId="16" fillId="0" borderId="59" xfId="2" applyNumberFormat="1" applyFont="1" applyBorder="1" applyAlignment="1">
      <alignment vertical="center" wrapText="1"/>
    </xf>
    <xf numFmtId="0" fontId="26" fillId="0" borderId="15" xfId="2" applyFont="1" applyFill="1" applyBorder="1" applyAlignment="1">
      <alignment horizontal="center" vertical="center" wrapText="1"/>
    </xf>
    <xf numFmtId="3" fontId="22" fillId="0" borderId="23" xfId="2" applyNumberFormat="1" applyFont="1" applyFill="1" applyBorder="1" applyAlignment="1">
      <alignment vertical="center" wrapText="1"/>
    </xf>
    <xf numFmtId="3" fontId="13" fillId="0" borderId="11" xfId="2" applyNumberFormat="1" applyFont="1" applyFill="1" applyBorder="1" applyAlignment="1">
      <alignment vertical="center" wrapText="1"/>
    </xf>
    <xf numFmtId="166" fontId="10" fillId="0" borderId="10" xfId="2" applyNumberFormat="1" applyFont="1" applyFill="1" applyBorder="1" applyAlignment="1">
      <alignment vertical="center"/>
    </xf>
    <xf numFmtId="166" fontId="12" fillId="0" borderId="10" xfId="2" applyNumberFormat="1" applyFont="1" applyFill="1" applyBorder="1" applyAlignment="1">
      <alignment vertical="center" wrapText="1"/>
    </xf>
    <xf numFmtId="166" fontId="10" fillId="0" borderId="52" xfId="2" applyNumberFormat="1" applyFont="1" applyFill="1" applyBorder="1" applyAlignment="1">
      <alignment vertical="center"/>
    </xf>
    <xf numFmtId="166" fontId="10" fillId="0" borderId="48" xfId="2" applyNumberFormat="1" applyFont="1" applyFill="1" applyBorder="1" applyAlignment="1">
      <alignment vertical="center"/>
    </xf>
    <xf numFmtId="166" fontId="10" fillId="0" borderId="55" xfId="2" applyNumberFormat="1" applyFont="1" applyFill="1" applyBorder="1" applyAlignment="1">
      <alignment vertical="center"/>
    </xf>
    <xf numFmtId="166" fontId="10" fillId="0" borderId="21" xfId="2" applyNumberFormat="1" applyFont="1" applyFill="1" applyBorder="1" applyAlignment="1">
      <alignment vertical="center" wrapText="1"/>
    </xf>
    <xf numFmtId="166" fontId="13" fillId="0" borderId="17" xfId="2" applyNumberFormat="1" applyFont="1" applyFill="1" applyBorder="1" applyAlignment="1">
      <alignment vertical="center"/>
    </xf>
    <xf numFmtId="0" fontId="5" fillId="0" borderId="0" xfId="2" applyFont="1" applyFill="1"/>
    <xf numFmtId="3" fontId="22" fillId="0" borderId="18" xfId="2" applyNumberFormat="1" applyFont="1" applyFill="1" applyBorder="1" applyAlignment="1">
      <alignment vertical="center" wrapText="1"/>
    </xf>
    <xf numFmtId="3" fontId="13" fillId="0" borderId="49" xfId="2" applyNumberFormat="1" applyFont="1" applyFill="1" applyBorder="1" applyAlignment="1">
      <alignment vertical="center" wrapText="1"/>
    </xf>
    <xf numFmtId="166" fontId="16" fillId="0" borderId="8" xfId="2" applyNumberFormat="1" applyFont="1" applyFill="1" applyBorder="1" applyAlignment="1">
      <alignment vertical="center" wrapText="1"/>
    </xf>
    <xf numFmtId="166" fontId="10" fillId="0" borderId="18" xfId="2" applyNumberFormat="1" applyFont="1" applyFill="1" applyBorder="1" applyAlignment="1">
      <alignment vertical="center"/>
    </xf>
    <xf numFmtId="166" fontId="10" fillId="0" borderId="8" xfId="2" applyNumberFormat="1" applyFont="1" applyFill="1" applyBorder="1" applyAlignment="1">
      <alignment vertical="center"/>
    </xf>
    <xf numFmtId="166" fontId="10" fillId="0" borderId="67" xfId="2" applyNumberFormat="1" applyFont="1" applyFill="1" applyBorder="1" applyAlignment="1">
      <alignment vertical="center"/>
    </xf>
    <xf numFmtId="166" fontId="10" fillId="0" borderId="63" xfId="2" applyNumberFormat="1" applyFont="1" applyFill="1" applyBorder="1" applyAlignment="1">
      <alignment vertical="center"/>
    </xf>
    <xf numFmtId="166" fontId="10" fillId="0" borderId="68" xfId="2" applyNumberFormat="1" applyFont="1" applyFill="1" applyBorder="1" applyAlignment="1">
      <alignment vertical="center"/>
    </xf>
    <xf numFmtId="166" fontId="16" fillId="0" borderId="21" xfId="2" applyNumberFormat="1" applyFont="1" applyFill="1" applyBorder="1" applyAlignment="1">
      <alignment vertical="center" wrapText="1"/>
    </xf>
    <xf numFmtId="0" fontId="5" fillId="0" borderId="0" xfId="2" applyFont="1" applyFill="1" applyBorder="1"/>
    <xf numFmtId="49" fontId="12" fillId="0" borderId="6" xfId="2" applyNumberFormat="1" applyFont="1" applyBorder="1" applyAlignment="1">
      <alignment horizontal="center" vertical="center" wrapText="1"/>
    </xf>
    <xf numFmtId="3" fontId="10" fillId="0" borderId="21" xfId="2" applyNumberFormat="1" applyFont="1" applyBorder="1" applyAlignment="1">
      <alignment vertical="center" wrapText="1"/>
    </xf>
    <xf numFmtId="3" fontId="10" fillId="0" borderId="23" xfId="2" applyNumberFormat="1" applyFont="1" applyBorder="1" applyAlignment="1">
      <alignment vertical="center" wrapText="1"/>
    </xf>
    <xf numFmtId="3" fontId="10" fillId="0" borderId="18" xfId="2" applyNumberFormat="1" applyFont="1" applyBorder="1" applyAlignment="1">
      <alignment vertical="center" wrapText="1"/>
    </xf>
    <xf numFmtId="0" fontId="10" fillId="0" borderId="7" xfId="2" applyFont="1" applyBorder="1" applyAlignment="1">
      <alignment vertical="center"/>
    </xf>
    <xf numFmtId="3" fontId="11" fillId="0" borderId="7" xfId="2" applyNumberFormat="1" applyFont="1" applyBorder="1" applyAlignment="1">
      <alignment vertical="center" wrapText="1"/>
    </xf>
    <xf numFmtId="0" fontId="5" fillId="0" borderId="50" xfId="2" applyFont="1" applyBorder="1" applyAlignment="1">
      <alignment horizontal="center" vertical="center"/>
    </xf>
    <xf numFmtId="3" fontId="13" fillId="0" borderId="51" xfId="2" applyNumberFormat="1" applyFont="1" applyBorder="1" applyAlignment="1">
      <alignment vertical="center" wrapText="1"/>
    </xf>
    <xf numFmtId="3" fontId="13" fillId="0" borderId="53" xfId="2" applyNumberFormat="1" applyFont="1" applyBorder="1" applyAlignment="1">
      <alignment vertical="center" wrapText="1"/>
    </xf>
    <xf numFmtId="166" fontId="6" fillId="0" borderId="67" xfId="2" applyNumberFormat="1" applyFont="1" applyBorder="1" applyAlignment="1">
      <alignment vertical="center" wrapText="1"/>
    </xf>
    <xf numFmtId="0" fontId="13" fillId="0" borderId="51" xfId="2" applyFont="1" applyBorder="1" applyAlignment="1">
      <alignment horizontal="right" vertical="center"/>
    </xf>
    <xf numFmtId="3" fontId="13" fillId="0" borderId="51" xfId="2" applyNumberFormat="1" applyFont="1" applyBorder="1" applyAlignment="1">
      <alignment vertical="center"/>
    </xf>
    <xf numFmtId="3" fontId="13" fillId="0" borderId="52" xfId="2" applyNumberFormat="1" applyFont="1" applyBorder="1" applyAlignment="1">
      <alignment vertical="center"/>
    </xf>
    <xf numFmtId="3" fontId="10" fillId="0" borderId="52" xfId="2" applyNumberFormat="1" applyFont="1" applyBorder="1" applyAlignment="1">
      <alignment vertical="center"/>
    </xf>
    <xf numFmtId="3" fontId="13" fillId="0" borderId="67" xfId="2" applyNumberFormat="1" applyFont="1" applyBorder="1" applyAlignment="1">
      <alignment vertical="center"/>
    </xf>
    <xf numFmtId="166" fontId="12" fillId="0" borderId="8" xfId="2" applyNumberFormat="1" applyFont="1" applyFill="1" applyBorder="1" applyAlignment="1">
      <alignment vertical="center" wrapText="1"/>
    </xf>
    <xf numFmtId="166" fontId="16" fillId="0" borderId="0" xfId="2" applyNumberFormat="1" applyFont="1" applyFill="1" applyBorder="1" applyAlignment="1">
      <alignment vertical="center" wrapText="1"/>
    </xf>
    <xf numFmtId="0" fontId="12" fillId="0" borderId="9" xfId="2" applyFont="1" applyBorder="1" applyAlignment="1">
      <alignment horizontal="center" vertical="center" wrapText="1"/>
    </xf>
    <xf numFmtId="0" fontId="13" fillId="0" borderId="102" xfId="2" applyFont="1" applyBorder="1" applyAlignment="1">
      <alignment vertical="center"/>
    </xf>
    <xf numFmtId="0" fontId="13" fillId="0" borderId="51" xfId="2" applyFont="1" applyBorder="1" applyAlignment="1">
      <alignment vertical="center"/>
    </xf>
    <xf numFmtId="166" fontId="4" fillId="0" borderId="38" xfId="2" applyNumberFormat="1" applyFont="1" applyBorder="1" applyAlignment="1">
      <alignment vertical="center" wrapText="1"/>
    </xf>
    <xf numFmtId="166" fontId="4" fillId="0" borderId="73" xfId="2" applyNumberFormat="1" applyFont="1" applyBorder="1" applyAlignment="1">
      <alignment vertical="center" wrapText="1"/>
    </xf>
    <xf numFmtId="166" fontId="4" fillId="0" borderId="44" xfId="2" applyNumberFormat="1" applyFont="1" applyBorder="1" applyAlignment="1">
      <alignment vertical="center" wrapText="1"/>
    </xf>
    <xf numFmtId="166" fontId="8" fillId="0" borderId="87" xfId="2" applyNumberFormat="1" applyFont="1" applyBorder="1" applyAlignment="1">
      <alignment vertical="center" wrapText="1"/>
    </xf>
    <xf numFmtId="0" fontId="4" fillId="0" borderId="46" xfId="2" applyFont="1" applyBorder="1" applyAlignment="1">
      <alignment vertical="top"/>
    </xf>
    <xf numFmtId="0" fontId="4" fillId="0" borderId="73" xfId="2" applyFont="1" applyBorder="1"/>
    <xf numFmtId="0" fontId="5" fillId="0" borderId="73" xfId="2" applyFont="1" applyBorder="1"/>
    <xf numFmtId="0" fontId="5" fillId="0" borderId="44" xfId="2" applyFont="1" applyBorder="1"/>
    <xf numFmtId="0" fontId="5" fillId="0" borderId="104" xfId="2" applyFont="1" applyBorder="1"/>
    <xf numFmtId="3" fontId="10" fillId="0" borderId="18" xfId="2" applyNumberFormat="1" applyFont="1" applyFill="1" applyBorder="1" applyAlignment="1">
      <alignment vertical="center" wrapText="1"/>
    </xf>
    <xf numFmtId="3" fontId="10" fillId="0" borderId="23" xfId="2" applyNumberFormat="1" applyFont="1" applyFill="1" applyBorder="1" applyAlignment="1">
      <alignment vertical="center" wrapText="1"/>
    </xf>
    <xf numFmtId="3" fontId="10" fillId="0" borderId="17" xfId="2" applyNumberFormat="1" applyFont="1" applyBorder="1" applyAlignment="1">
      <alignment vertical="center" wrapText="1"/>
    </xf>
    <xf numFmtId="0" fontId="4" fillId="0" borderId="105" xfId="2" applyFont="1" applyBorder="1" applyAlignment="1">
      <alignment horizontal="center"/>
    </xf>
    <xf numFmtId="0" fontId="5" fillId="0" borderId="106" xfId="2" applyFont="1" applyBorder="1" applyAlignment="1">
      <alignment horizontal="center" vertical="center"/>
    </xf>
    <xf numFmtId="1" fontId="26" fillId="0" borderId="15" xfId="2" applyNumberFormat="1" applyFont="1" applyFill="1" applyBorder="1" applyAlignment="1">
      <alignment horizontal="center" vertical="center" wrapText="1"/>
    </xf>
    <xf numFmtId="49" fontId="26" fillId="0" borderId="11" xfId="2" applyNumberFormat="1" applyFont="1" applyFill="1" applyBorder="1" applyAlignment="1">
      <alignment horizontal="center" vertical="center" wrapText="1"/>
    </xf>
    <xf numFmtId="0" fontId="5" fillId="0" borderId="107" xfId="2" applyFont="1" applyBorder="1" applyAlignment="1">
      <alignment horizontal="center" vertical="center"/>
    </xf>
    <xf numFmtId="3" fontId="9" fillId="0" borderId="62" xfId="2" applyNumberFormat="1" applyFont="1" applyBorder="1" applyAlignment="1">
      <alignment horizontal="right" vertical="center" wrapText="1"/>
    </xf>
    <xf numFmtId="0" fontId="4" fillId="0" borderId="59" xfId="2" applyFont="1" applyBorder="1" applyAlignment="1">
      <alignment horizontal="center"/>
    </xf>
    <xf numFmtId="0" fontId="13" fillId="0" borderId="10" xfId="2" applyFont="1" applyBorder="1" applyAlignment="1">
      <alignment horizontal="right" vertical="center"/>
    </xf>
    <xf numFmtId="3" fontId="13" fillId="0" borderId="10" xfId="2" applyNumberFormat="1" applyFont="1" applyBorder="1" applyAlignment="1">
      <alignment vertical="center" wrapText="1"/>
    </xf>
    <xf numFmtId="3" fontId="13" fillId="0" borderId="10" xfId="2" applyNumberFormat="1" applyFont="1" applyFill="1" applyBorder="1" applyAlignment="1">
      <alignment vertical="center" wrapText="1"/>
    </xf>
    <xf numFmtId="3" fontId="13" fillId="0" borderId="19" xfId="2" applyNumberFormat="1" applyFont="1" applyBorder="1" applyAlignment="1">
      <alignment vertical="center" wrapText="1"/>
    </xf>
    <xf numFmtId="3" fontId="13" fillId="0" borderId="8" xfId="2" applyNumberFormat="1" applyFont="1" applyFill="1" applyBorder="1" applyAlignment="1">
      <alignment vertical="center" wrapText="1"/>
    </xf>
    <xf numFmtId="0" fontId="7" fillId="0" borderId="17" xfId="2" applyFont="1" applyBorder="1" applyAlignment="1">
      <alignment horizontal="center" vertical="center"/>
    </xf>
    <xf numFmtId="0" fontId="13" fillId="0" borderId="0" xfId="2" applyFont="1" applyBorder="1" applyAlignment="1">
      <alignment horizontal="right" vertical="center"/>
    </xf>
    <xf numFmtId="1" fontId="8" fillId="5" borderId="10" xfId="2" applyNumberFormat="1" applyFont="1" applyFill="1" applyBorder="1" applyAlignment="1">
      <alignment horizontal="center" vertical="center" wrapText="1"/>
    </xf>
    <xf numFmtId="1" fontId="4" fillId="0" borderId="10" xfId="2" applyNumberFormat="1" applyFont="1" applyFill="1" applyBorder="1" applyAlignment="1">
      <alignment horizontal="center" vertical="center" wrapText="1"/>
    </xf>
    <xf numFmtId="166" fontId="16" fillId="0" borderId="22" xfId="2" applyNumberFormat="1" applyFont="1" applyBorder="1" applyAlignment="1">
      <alignment vertical="center" wrapText="1"/>
    </xf>
    <xf numFmtId="166" fontId="16" fillId="3" borderId="22" xfId="2" applyNumberFormat="1" applyFont="1" applyFill="1" applyBorder="1" applyAlignment="1">
      <alignment vertical="center" wrapText="1"/>
    </xf>
    <xf numFmtId="49" fontId="8" fillId="0" borderId="10" xfId="2" applyNumberFormat="1" applyFont="1" applyFill="1" applyBorder="1" applyAlignment="1">
      <alignment horizontal="center" vertical="center" wrapText="1"/>
    </xf>
    <xf numFmtId="170" fontId="5" fillId="0" borderId="0" xfId="2" applyNumberFormat="1" applyFont="1"/>
    <xf numFmtId="3" fontId="29" fillId="0" borderId="17" xfId="2" applyNumberFormat="1" applyFont="1" applyFill="1" applyBorder="1" applyAlignment="1">
      <alignment vertical="center"/>
    </xf>
    <xf numFmtId="3" fontId="29" fillId="0" borderId="23" xfId="2" applyNumberFormat="1" applyFont="1" applyFill="1" applyBorder="1" applyAlignment="1">
      <alignment vertical="center"/>
    </xf>
    <xf numFmtId="3" fontId="29" fillId="0" borderId="18" xfId="2" applyNumberFormat="1" applyFont="1" applyFill="1" applyBorder="1" applyAlignment="1">
      <alignment vertical="center"/>
    </xf>
    <xf numFmtId="166" fontId="26" fillId="0" borderId="10" xfId="2" applyNumberFormat="1" applyFont="1" applyBorder="1" applyAlignment="1">
      <alignment vertical="center" wrapText="1"/>
    </xf>
    <xf numFmtId="0" fontId="26" fillId="0" borderId="0" xfId="2" applyFont="1"/>
    <xf numFmtId="166" fontId="26" fillId="0" borderId="19" xfId="2" applyNumberFormat="1" applyFont="1" applyBorder="1" applyAlignment="1">
      <alignment vertical="center" wrapText="1"/>
    </xf>
    <xf numFmtId="3" fontId="30" fillId="0" borderId="19" xfId="2" applyNumberFormat="1" applyFont="1" applyBorder="1" applyAlignment="1">
      <alignment vertical="center" wrapText="1"/>
    </xf>
    <xf numFmtId="166" fontId="26" fillId="0" borderId="8" xfId="2" applyNumberFormat="1" applyFont="1" applyBorder="1" applyAlignment="1">
      <alignment vertical="center" wrapText="1"/>
    </xf>
    <xf numFmtId="3" fontId="26" fillId="0" borderId="10" xfId="2" applyNumberFormat="1" applyFont="1" applyBorder="1" applyAlignment="1">
      <alignment vertical="center" wrapText="1"/>
    </xf>
    <xf numFmtId="3" fontId="26" fillId="0" borderId="19" xfId="2" applyNumberFormat="1" applyFont="1" applyBorder="1" applyAlignment="1">
      <alignment vertical="center" wrapText="1"/>
    </xf>
    <xf numFmtId="3" fontId="26" fillId="0" borderId="8" xfId="2" applyNumberFormat="1" applyFont="1" applyBorder="1" applyAlignment="1">
      <alignment vertical="center" wrapText="1"/>
    </xf>
    <xf numFmtId="170" fontId="26" fillId="0" borderId="10" xfId="2" applyNumberFormat="1" applyFont="1" applyBorder="1" applyAlignment="1">
      <alignment vertical="center" wrapText="1"/>
    </xf>
    <xf numFmtId="3" fontId="30" fillId="0" borderId="10" xfId="2" applyNumberFormat="1" applyFont="1" applyBorder="1" applyAlignment="1">
      <alignment vertical="center" wrapText="1"/>
    </xf>
    <xf numFmtId="3" fontId="30" fillId="0" borderId="22" xfId="2" applyNumberFormat="1" applyFont="1" applyBorder="1" applyAlignment="1">
      <alignment vertical="center" wrapText="1"/>
    </xf>
    <xf numFmtId="166" fontId="30" fillId="0" borderId="87" xfId="2" applyNumberFormat="1" applyFont="1" applyBorder="1" applyAlignment="1">
      <alignment vertical="center" wrapText="1"/>
    </xf>
    <xf numFmtId="3" fontId="30" fillId="0" borderId="73" xfId="2" applyNumberFormat="1" applyFont="1" applyBorder="1" applyAlignment="1">
      <alignment vertical="center" wrapText="1"/>
    </xf>
    <xf numFmtId="3" fontId="30" fillId="0" borderId="44" xfId="2" applyNumberFormat="1" applyFont="1" applyBorder="1" applyAlignment="1">
      <alignment vertical="center" wrapText="1"/>
    </xf>
    <xf numFmtId="3" fontId="30" fillId="0" borderId="108" xfId="2" applyNumberFormat="1" applyFont="1" applyBorder="1"/>
    <xf numFmtId="3" fontId="27" fillId="0" borderId="17" xfId="2" applyNumberFormat="1" applyFont="1" applyBorder="1" applyAlignment="1">
      <alignment vertical="center" wrapText="1"/>
    </xf>
    <xf numFmtId="165" fontId="27" fillId="0" borderId="17" xfId="2" applyNumberFormat="1" applyFont="1" applyBorder="1" applyAlignment="1">
      <alignment vertical="center" wrapText="1"/>
    </xf>
    <xf numFmtId="165" fontId="27" fillId="0" borderId="21" xfId="2" applyNumberFormat="1" applyFont="1" applyBorder="1" applyAlignment="1">
      <alignment vertical="center" wrapText="1"/>
    </xf>
    <xf numFmtId="165" fontId="27" fillId="0" borderId="94" xfId="2" applyNumberFormat="1" applyFont="1" applyBorder="1" applyAlignment="1">
      <alignment vertical="center" wrapText="1"/>
    </xf>
    <xf numFmtId="3" fontId="27" fillId="0" borderId="21" xfId="2" applyNumberFormat="1" applyFont="1" applyBorder="1" applyAlignment="1">
      <alignment vertical="center" wrapText="1"/>
    </xf>
    <xf numFmtId="166" fontId="26" fillId="0" borderId="0" xfId="2" applyNumberFormat="1" applyFont="1" applyBorder="1" applyAlignment="1">
      <alignment vertical="center" wrapText="1"/>
    </xf>
    <xf numFmtId="1" fontId="26" fillId="0" borderId="10" xfId="2" applyNumberFormat="1" applyFont="1" applyBorder="1" applyAlignment="1">
      <alignment horizontal="center" vertical="center" wrapText="1"/>
    </xf>
    <xf numFmtId="0" fontId="8" fillId="5" borderId="5" xfId="2" applyFont="1" applyFill="1" applyBorder="1" applyAlignment="1">
      <alignment horizontal="center" vertical="center"/>
    </xf>
    <xf numFmtId="49" fontId="8" fillId="5" borderId="10" xfId="2" applyNumberFormat="1" applyFont="1" applyFill="1" applyBorder="1" applyAlignment="1">
      <alignment horizontal="center" vertical="center" wrapText="1"/>
    </xf>
    <xf numFmtId="166" fontId="30" fillId="0" borderId="19" xfId="2" applyNumberFormat="1" applyFont="1" applyBorder="1" applyAlignment="1">
      <alignment vertical="center" wrapText="1"/>
    </xf>
    <xf numFmtId="165" fontId="8" fillId="0" borderId="17" xfId="2" applyNumberFormat="1" applyFont="1" applyBorder="1" applyAlignment="1">
      <alignment vertical="center" wrapText="1"/>
    </xf>
    <xf numFmtId="0" fontId="4" fillId="0" borderId="50" xfId="2" applyFont="1" applyBorder="1" applyAlignment="1">
      <alignment horizontal="center" vertical="top"/>
    </xf>
    <xf numFmtId="166" fontId="29" fillId="0" borderId="51" xfId="2" applyNumberFormat="1" applyFont="1" applyBorder="1" applyAlignment="1">
      <alignment vertical="center"/>
    </xf>
    <xf numFmtId="166" fontId="29" fillId="0" borderId="52" xfId="2" applyNumberFormat="1" applyFont="1" applyBorder="1" applyAlignment="1">
      <alignment vertical="center"/>
    </xf>
    <xf numFmtId="166" fontId="29" fillId="0" borderId="67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 vertical="top"/>
    </xf>
    <xf numFmtId="1" fontId="8" fillId="5" borderId="15" xfId="2" applyNumberFormat="1" applyFont="1" applyFill="1" applyBorder="1" applyAlignment="1">
      <alignment horizontal="center" vertical="center" wrapText="1"/>
    </xf>
    <xf numFmtId="0" fontId="12" fillId="0" borderId="15" xfId="2" applyFont="1" applyBorder="1" applyAlignment="1">
      <alignment vertical="center" wrapText="1"/>
    </xf>
    <xf numFmtId="166" fontId="26" fillId="0" borderId="15" xfId="2" applyNumberFormat="1" applyFont="1" applyBorder="1" applyAlignment="1">
      <alignment vertical="center" wrapText="1"/>
    </xf>
    <xf numFmtId="166" fontId="26" fillId="0" borderId="48" xfId="2" applyNumberFormat="1" applyFont="1" applyBorder="1" applyAlignment="1">
      <alignment vertical="center" wrapText="1"/>
    </xf>
    <xf numFmtId="166" fontId="30" fillId="0" borderId="48" xfId="2" applyNumberFormat="1" applyFont="1" applyBorder="1" applyAlignment="1">
      <alignment vertical="center" wrapText="1"/>
    </xf>
    <xf numFmtId="166" fontId="26" fillId="0" borderId="63" xfId="2" applyNumberFormat="1" applyFont="1" applyBorder="1" applyAlignment="1">
      <alignment vertical="center" wrapText="1"/>
    </xf>
    <xf numFmtId="0" fontId="4" fillId="0" borderId="54" xfId="2" applyFont="1" applyBorder="1" applyAlignment="1">
      <alignment horizontal="center" vertical="top"/>
    </xf>
    <xf numFmtId="166" fontId="29" fillId="0" borderId="24" xfId="2" applyNumberFormat="1" applyFont="1" applyBorder="1" applyAlignment="1">
      <alignment vertical="center"/>
    </xf>
    <xf numFmtId="166" fontId="29" fillId="0" borderId="55" xfId="2" applyNumberFormat="1" applyFont="1" applyBorder="1" applyAlignment="1">
      <alignment vertical="center"/>
    </xf>
    <xf numFmtId="166" fontId="29" fillId="0" borderId="68" xfId="2" applyNumberFormat="1" applyFont="1" applyBorder="1" applyAlignment="1">
      <alignment vertical="center"/>
    </xf>
    <xf numFmtId="3" fontId="10" fillId="0" borderId="51" xfId="2" applyNumberFormat="1" applyFont="1" applyBorder="1" applyAlignment="1">
      <alignment vertical="center"/>
    </xf>
    <xf numFmtId="3" fontId="10" fillId="0" borderId="53" xfId="2" applyNumberFormat="1" applyFont="1" applyBorder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vertical="center" wrapText="1"/>
    </xf>
    <xf numFmtId="166" fontId="8" fillId="0" borderId="15" xfId="2" applyNumberFormat="1" applyFont="1" applyBorder="1" applyAlignment="1">
      <alignment vertical="center" wrapText="1"/>
    </xf>
    <xf numFmtId="166" fontId="8" fillId="0" borderId="48" xfId="2" applyNumberFormat="1" applyFont="1" applyBorder="1" applyAlignment="1">
      <alignment vertical="center" wrapText="1"/>
    </xf>
    <xf numFmtId="166" fontId="16" fillId="0" borderId="43" xfId="2" applyNumberFormat="1" applyFont="1" applyBorder="1" applyAlignment="1">
      <alignment vertical="center" wrapText="1"/>
    </xf>
    <xf numFmtId="3" fontId="10" fillId="0" borderId="24" xfId="2" applyNumberFormat="1" applyFont="1" applyBorder="1" applyAlignment="1">
      <alignment vertical="center"/>
    </xf>
    <xf numFmtId="3" fontId="10" fillId="0" borderId="55" xfId="2" applyNumberFormat="1" applyFont="1" applyBorder="1" applyAlignment="1">
      <alignment vertical="center"/>
    </xf>
    <xf numFmtId="3" fontId="10" fillId="0" borderId="56" xfId="2" applyNumberFormat="1" applyFont="1" applyBorder="1" applyAlignment="1">
      <alignment vertical="center"/>
    </xf>
    <xf numFmtId="1" fontId="8" fillId="6" borderId="10" xfId="2" applyNumberFormat="1" applyFont="1" applyFill="1" applyBorder="1" applyAlignment="1">
      <alignment horizontal="center" vertical="center" wrapText="1"/>
    </xf>
    <xf numFmtId="0" fontId="8" fillId="6" borderId="5" xfId="2" applyFont="1" applyFill="1" applyBorder="1" applyAlignment="1">
      <alignment horizontal="center" vertical="center"/>
    </xf>
    <xf numFmtId="49" fontId="8" fillId="6" borderId="10" xfId="2" applyNumberFormat="1" applyFont="1" applyFill="1" applyBorder="1" applyAlignment="1">
      <alignment horizontal="center" vertical="center" wrapText="1"/>
    </xf>
    <xf numFmtId="0" fontId="8" fillId="7" borderId="5" xfId="2" applyFont="1" applyFill="1" applyBorder="1" applyAlignment="1">
      <alignment horizontal="center" vertical="center"/>
    </xf>
    <xf numFmtId="49" fontId="8" fillId="7" borderId="10" xfId="2" applyNumberFormat="1" applyFont="1" applyFill="1" applyBorder="1" applyAlignment="1">
      <alignment horizontal="center" vertical="center" wrapText="1"/>
    </xf>
    <xf numFmtId="0" fontId="8" fillId="8" borderId="5" xfId="2" applyFont="1" applyFill="1" applyBorder="1" applyAlignment="1">
      <alignment horizontal="center" vertical="center"/>
    </xf>
    <xf numFmtId="1" fontId="8" fillId="8" borderId="10" xfId="2" applyNumberFormat="1" applyFont="1" applyFill="1" applyBorder="1" applyAlignment="1">
      <alignment horizontal="center" vertical="center" wrapText="1"/>
    </xf>
    <xf numFmtId="49" fontId="8" fillId="8" borderId="10" xfId="2" applyNumberFormat="1" applyFont="1" applyFill="1" applyBorder="1" applyAlignment="1">
      <alignment horizontal="center" vertical="center" wrapText="1"/>
    </xf>
    <xf numFmtId="167" fontId="1" fillId="0" borderId="10" xfId="1" applyNumberFormat="1" applyBorder="1" applyAlignment="1">
      <alignment vertical="center" wrapText="1"/>
    </xf>
    <xf numFmtId="1" fontId="31" fillId="0" borderId="10" xfId="2" applyNumberFormat="1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166" fontId="6" fillId="0" borderId="0" xfId="2" applyNumberFormat="1" applyFont="1" applyBorder="1" applyAlignment="1">
      <alignment vertical="center" wrapText="1"/>
    </xf>
    <xf numFmtId="3" fontId="10" fillId="0" borderId="58" xfId="2" applyNumberFormat="1" applyFont="1" applyBorder="1" applyAlignment="1">
      <alignment horizontal="right" vertical="center" wrapText="1"/>
    </xf>
    <xf numFmtId="166" fontId="8" fillId="0" borderId="109" xfId="2" applyNumberFormat="1" applyFont="1" applyFill="1" applyBorder="1" applyAlignment="1">
      <alignment vertical="center" wrapText="1"/>
    </xf>
    <xf numFmtId="166" fontId="8" fillId="0" borderId="109" xfId="2" applyNumberFormat="1" applyFont="1" applyBorder="1" applyAlignment="1">
      <alignment vertical="center" wrapText="1"/>
    </xf>
    <xf numFmtId="166" fontId="8" fillId="0" borderId="110" xfId="2" applyNumberFormat="1" applyFont="1" applyBorder="1" applyAlignment="1">
      <alignment vertical="center" wrapText="1"/>
    </xf>
    <xf numFmtId="166" fontId="8" fillId="0" borderId="22" xfId="2" applyNumberFormat="1" applyFont="1" applyFill="1" applyBorder="1" applyAlignment="1">
      <alignment vertical="center" wrapText="1"/>
    </xf>
    <xf numFmtId="1" fontId="31" fillId="5" borderId="15" xfId="2" applyNumberFormat="1" applyFont="1" applyFill="1" applyBorder="1" applyAlignment="1">
      <alignment horizontal="center" vertical="center" wrapText="1"/>
    </xf>
    <xf numFmtId="0" fontId="37" fillId="0" borderId="0" xfId="2" applyFont="1" applyBorder="1" applyAlignment="1">
      <alignment vertical="center" wrapText="1"/>
    </xf>
    <xf numFmtId="0" fontId="38" fillId="0" borderId="10" xfId="2" applyFont="1" applyBorder="1" applyAlignment="1">
      <alignment vertical="center" wrapText="1"/>
    </xf>
    <xf numFmtId="1" fontId="31" fillId="0" borderId="15" xfId="2" applyNumberFormat="1" applyFont="1" applyFill="1" applyBorder="1" applyAlignment="1">
      <alignment horizontal="center" vertical="center" wrapText="1"/>
    </xf>
    <xf numFmtId="1" fontId="37" fillId="0" borderId="15" xfId="2" applyNumberFormat="1" applyFont="1" applyFill="1" applyBorder="1" applyAlignment="1">
      <alignment horizontal="left" vertical="center" wrapText="1"/>
    </xf>
    <xf numFmtId="3" fontId="12" fillId="0" borderId="69" xfId="2" applyNumberFormat="1" applyFont="1" applyFill="1" applyBorder="1"/>
    <xf numFmtId="3" fontId="12" fillId="0" borderId="69" xfId="2" applyNumberFormat="1" applyFont="1" applyBorder="1"/>
    <xf numFmtId="166" fontId="12" fillId="0" borderId="69" xfId="2" applyNumberFormat="1" applyFont="1" applyBorder="1"/>
    <xf numFmtId="166" fontId="12" fillId="0" borderId="0" xfId="2" applyNumberFormat="1" applyFont="1"/>
    <xf numFmtId="168" fontId="32" fillId="0" borderId="69" xfId="1" applyNumberFormat="1" applyFont="1" applyFill="1" applyBorder="1" applyAlignment="1">
      <alignment horizontal="right"/>
    </xf>
    <xf numFmtId="168" fontId="33" fillId="0" borderId="69" xfId="1" applyNumberFormat="1" applyFont="1" applyBorder="1" applyAlignment="1"/>
    <xf numFmtId="168" fontId="33" fillId="0" borderId="69" xfId="1" applyNumberFormat="1" applyFont="1" applyFill="1" applyBorder="1" applyAlignment="1">
      <alignment horizontal="right"/>
    </xf>
    <xf numFmtId="168" fontId="33" fillId="0" borderId="69" xfId="1" applyNumberFormat="1" applyFont="1" applyBorder="1" applyAlignment="1">
      <alignment horizontal="right"/>
    </xf>
    <xf numFmtId="169" fontId="33" fillId="0" borderId="69" xfId="1" applyNumberFormat="1" applyFont="1" applyFill="1" applyBorder="1" applyAlignment="1">
      <alignment horizontal="right"/>
    </xf>
    <xf numFmtId="166" fontId="33" fillId="0" borderId="0" xfId="2" applyNumberFormat="1" applyFont="1"/>
    <xf numFmtId="1" fontId="39" fillId="0" borderId="15" xfId="2" applyNumberFormat="1" applyFont="1" applyFill="1" applyBorder="1" applyAlignment="1">
      <alignment horizontal="center" vertical="center" wrapText="1"/>
    </xf>
    <xf numFmtId="0" fontId="37" fillId="0" borderId="9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left" vertical="center" wrapText="1"/>
    </xf>
    <xf numFmtId="0" fontId="8" fillId="5" borderId="15" xfId="2" applyFont="1" applyFill="1" applyBorder="1" applyAlignment="1">
      <alignment horizontal="center" vertical="center" wrapText="1"/>
    </xf>
    <xf numFmtId="0" fontId="8" fillId="5" borderId="15" xfId="2" applyFont="1" applyFill="1" applyBorder="1" applyAlignment="1">
      <alignment horizontal="left" vertical="center" wrapText="1"/>
    </xf>
    <xf numFmtId="0" fontId="4" fillId="0" borderId="15" xfId="2" applyFont="1" applyFill="1" applyBorder="1" applyAlignment="1">
      <alignment horizontal="left" vertical="center" wrapText="1"/>
    </xf>
    <xf numFmtId="0" fontId="8" fillId="5" borderId="9" xfId="2" applyFont="1" applyFill="1" applyBorder="1" applyAlignment="1">
      <alignment horizontal="center" vertical="center" wrapText="1"/>
    </xf>
    <xf numFmtId="0" fontId="37" fillId="0" borderId="15" xfId="2" applyFont="1" applyFill="1" applyBorder="1" applyAlignment="1">
      <alignment horizontal="center" vertical="center" wrapText="1"/>
    </xf>
    <xf numFmtId="0" fontId="4" fillId="5" borderId="11" xfId="2" applyFont="1" applyFill="1" applyBorder="1" applyAlignment="1">
      <alignment horizontal="center" vertical="center"/>
    </xf>
    <xf numFmtId="0" fontId="5" fillId="0" borderId="17" xfId="2" applyFont="1" applyBorder="1" applyAlignment="1">
      <alignment horizontal="center" vertical="center" wrapText="1"/>
    </xf>
    <xf numFmtId="0" fontId="10" fillId="0" borderId="111" xfId="2" applyFont="1" applyBorder="1" applyAlignment="1">
      <alignment horizontal="center"/>
    </xf>
    <xf numFmtId="0" fontId="7" fillId="0" borderId="7" xfId="2" applyFont="1" applyBorder="1" applyAlignment="1">
      <alignment horizontal="center" vertical="center"/>
    </xf>
    <xf numFmtId="3" fontId="10" fillId="0" borderId="7" xfId="2" applyNumberFormat="1" applyFont="1" applyBorder="1" applyAlignment="1">
      <alignment vertical="center"/>
    </xf>
    <xf numFmtId="3" fontId="10" fillId="0" borderId="7" xfId="2" applyNumberFormat="1" applyFont="1" applyFill="1" applyBorder="1" applyAlignment="1">
      <alignment vertical="center"/>
    </xf>
    <xf numFmtId="3" fontId="10" fillId="0" borderId="75" xfId="2" applyNumberFormat="1" applyFont="1" applyBorder="1" applyAlignment="1">
      <alignment vertical="center"/>
    </xf>
    <xf numFmtId="3" fontId="10" fillId="0" borderId="80" xfId="2" applyNumberFormat="1" applyFont="1" applyBorder="1" applyAlignment="1">
      <alignment vertical="center"/>
    </xf>
    <xf numFmtId="0" fontId="4" fillId="0" borderId="13" xfId="2" applyFont="1" applyBorder="1" applyAlignment="1">
      <alignment horizontal="center"/>
    </xf>
    <xf numFmtId="0" fontId="4" fillId="0" borderId="14" xfId="2" applyFont="1" applyBorder="1" applyAlignment="1">
      <alignment horizontal="center"/>
    </xf>
    <xf numFmtId="3" fontId="11" fillId="0" borderId="48" xfId="2" applyNumberFormat="1" applyFont="1" applyBorder="1" applyAlignment="1">
      <alignment vertical="center" wrapText="1"/>
    </xf>
    <xf numFmtId="0" fontId="9" fillId="0" borderId="0" xfId="2" applyFont="1" applyBorder="1" applyAlignment="1">
      <alignment horizontal="right" vertical="center"/>
    </xf>
    <xf numFmtId="3" fontId="10" fillId="0" borderId="59" xfId="2" applyNumberFormat="1" applyFont="1" applyBorder="1" applyAlignment="1">
      <alignment horizontal="right" vertical="center" wrapText="1"/>
    </xf>
    <xf numFmtId="0" fontId="13" fillId="0" borderId="10" xfId="2" applyFont="1" applyBorder="1" applyAlignment="1">
      <alignment vertical="center"/>
    </xf>
    <xf numFmtId="3" fontId="13" fillId="0" borderId="0" xfId="2" applyNumberFormat="1" applyFont="1" applyBorder="1" applyAlignment="1">
      <alignment vertical="center" wrapText="1"/>
    </xf>
    <xf numFmtId="3" fontId="13" fillId="0" borderId="22" xfId="2" applyNumberFormat="1" applyFont="1" applyBorder="1" applyAlignment="1">
      <alignment vertical="center" wrapText="1"/>
    </xf>
    <xf numFmtId="3" fontId="13" fillId="0" borderId="10" xfId="2" applyNumberFormat="1" applyFont="1" applyBorder="1" applyAlignment="1">
      <alignment vertical="center"/>
    </xf>
    <xf numFmtId="3" fontId="13" fillId="0" borderId="19" xfId="2" applyNumberFormat="1" applyFont="1" applyBorder="1" applyAlignment="1">
      <alignment vertical="center"/>
    </xf>
    <xf numFmtId="3" fontId="13" fillId="0" borderId="8" xfId="2" applyNumberFormat="1" applyFont="1" applyBorder="1" applyAlignment="1">
      <alignment vertical="center"/>
    </xf>
    <xf numFmtId="168" fontId="1" fillId="0" borderId="0" xfId="1" applyNumberFormat="1"/>
    <xf numFmtId="168" fontId="1" fillId="0" borderId="0" xfId="1" applyNumberFormat="1" applyBorder="1"/>
    <xf numFmtId="49" fontId="18" fillId="0" borderId="11" xfId="2" applyNumberFormat="1" applyFont="1" applyFill="1" applyBorder="1" applyAlignment="1">
      <alignment horizontal="center" vertical="center" wrapText="1"/>
    </xf>
    <xf numFmtId="1" fontId="4" fillId="9" borderId="15" xfId="2" applyNumberFormat="1" applyFont="1" applyFill="1" applyBorder="1" applyAlignment="1">
      <alignment horizontal="center" vertical="center" wrapText="1"/>
    </xf>
    <xf numFmtId="0" fontId="8" fillId="9" borderId="10" xfId="2" applyFont="1" applyFill="1" applyBorder="1" applyAlignment="1">
      <alignment vertical="center" wrapText="1"/>
    </xf>
    <xf numFmtId="0" fontId="4" fillId="9" borderId="5" xfId="2" applyFont="1" applyFill="1" applyBorder="1" applyAlignment="1">
      <alignment horizontal="center" vertical="center"/>
    </xf>
    <xf numFmtId="1" fontId="8" fillId="9" borderId="15" xfId="2" applyNumberFormat="1" applyFont="1" applyFill="1" applyBorder="1" applyAlignment="1">
      <alignment horizontal="center" vertical="center" wrapText="1"/>
    </xf>
    <xf numFmtId="0" fontId="26" fillId="9" borderId="15" xfId="2" applyFont="1" applyFill="1" applyBorder="1" applyAlignment="1">
      <alignment horizontal="center" vertical="center" wrapText="1"/>
    </xf>
    <xf numFmtId="0" fontId="8" fillId="9" borderId="0" xfId="2" applyFont="1" applyFill="1" applyBorder="1" applyAlignment="1">
      <alignment vertical="center" wrapText="1"/>
    </xf>
    <xf numFmtId="0" fontId="4" fillId="9" borderId="15" xfId="2" applyFont="1" applyFill="1" applyBorder="1" applyAlignment="1">
      <alignment horizontal="center" vertical="center" wrapText="1"/>
    </xf>
    <xf numFmtId="1" fontId="8" fillId="10" borderId="15" xfId="2" applyNumberFormat="1" applyFont="1" applyFill="1" applyBorder="1" applyAlignment="1">
      <alignment horizontal="center" vertical="center" wrapText="1"/>
    </xf>
    <xf numFmtId="0" fontId="8" fillId="10" borderId="10" xfId="2" applyFont="1" applyFill="1" applyBorder="1" applyAlignment="1">
      <alignment vertical="center" wrapText="1"/>
    </xf>
    <xf numFmtId="0" fontId="8" fillId="0" borderId="10" xfId="2" applyFont="1" applyFill="1" applyBorder="1" applyAlignment="1">
      <alignment vertical="center" wrapText="1"/>
    </xf>
    <xf numFmtId="166" fontId="14" fillId="0" borderId="0" xfId="2" applyNumberFormat="1" applyFont="1"/>
    <xf numFmtId="1" fontId="4" fillId="5" borderId="15" xfId="2" applyNumberFormat="1" applyFont="1" applyFill="1" applyBorder="1" applyAlignment="1">
      <alignment horizontal="center" vertical="center" wrapText="1"/>
    </xf>
    <xf numFmtId="1" fontId="36" fillId="0" borderId="15" xfId="2" applyNumberFormat="1" applyFont="1" applyFill="1" applyBorder="1" applyAlignment="1">
      <alignment horizontal="center" vertical="center" wrapText="1"/>
    </xf>
    <xf numFmtId="0" fontId="4" fillId="5" borderId="15" xfId="2" applyFont="1" applyFill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49" fontId="12" fillId="5" borderId="15" xfId="2" applyNumberFormat="1" applyFont="1" applyFill="1" applyBorder="1" applyAlignment="1">
      <alignment horizontal="center" vertical="center" wrapText="1"/>
    </xf>
    <xf numFmtId="0" fontId="12" fillId="5" borderId="10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vertical="center" wrapText="1"/>
    </xf>
    <xf numFmtId="3" fontId="11" fillId="5" borderId="17" xfId="2" applyNumberFormat="1" applyFont="1" applyFill="1" applyBorder="1" applyAlignment="1">
      <alignment vertical="center" wrapText="1"/>
    </xf>
    <xf numFmtId="166" fontId="12" fillId="5" borderId="0" xfId="2" applyNumberFormat="1" applyFont="1" applyFill="1"/>
    <xf numFmtId="0" fontId="4" fillId="0" borderId="112" xfId="2" applyFont="1" applyBorder="1" applyAlignment="1">
      <alignment horizontal="center"/>
    </xf>
    <xf numFmtId="0" fontId="4" fillId="0" borderId="113" xfId="2" applyFont="1" applyBorder="1" applyAlignment="1">
      <alignment horizontal="center"/>
    </xf>
    <xf numFmtId="0" fontId="4" fillId="0" borderId="114" xfId="2" applyFont="1" applyBorder="1" applyAlignment="1">
      <alignment horizontal="center"/>
    </xf>
    <xf numFmtId="0" fontId="4" fillId="2" borderId="112" xfId="0" applyFont="1" applyFill="1" applyBorder="1" applyAlignment="1" applyProtection="1">
      <alignment horizontal="center"/>
      <protection hidden="1"/>
    </xf>
    <xf numFmtId="0" fontId="4" fillId="2" borderId="114" xfId="0" applyFont="1" applyFill="1" applyBorder="1" applyAlignment="1" applyProtection="1">
      <alignment horizontal="center"/>
      <protection hidden="1"/>
    </xf>
    <xf numFmtId="0" fontId="4" fillId="0" borderId="115" xfId="2" applyFont="1" applyBorder="1" applyAlignment="1">
      <alignment horizontal="center"/>
    </xf>
    <xf numFmtId="0" fontId="4" fillId="0" borderId="89" xfId="2" applyFont="1" applyBorder="1" applyAlignment="1">
      <alignment horizontal="center"/>
    </xf>
    <xf numFmtId="0" fontId="4" fillId="0" borderId="90" xfId="2" applyFont="1" applyBorder="1" applyAlignment="1">
      <alignment horizontal="center"/>
    </xf>
    <xf numFmtId="0" fontId="28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28" fillId="0" borderId="0" xfId="2" applyFont="1" applyBorder="1" applyAlignment="1">
      <alignment horizontal="center" vertical="top" wrapText="1"/>
    </xf>
    <xf numFmtId="0" fontId="28" fillId="0" borderId="0" xfId="2" applyFont="1" applyBorder="1" applyAlignment="1">
      <alignment horizontal="center" vertical="top"/>
    </xf>
    <xf numFmtId="0" fontId="6" fillId="0" borderId="99" xfId="2" applyFont="1" applyBorder="1" applyAlignment="1">
      <alignment horizontal="center"/>
    </xf>
    <xf numFmtId="0" fontId="4" fillId="2" borderId="112" xfId="0" applyFont="1" applyFill="1" applyBorder="1" applyAlignment="1">
      <alignment horizontal="center"/>
    </xf>
    <xf numFmtId="0" fontId="4" fillId="2" borderId="11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15" xfId="0" applyFont="1" applyFill="1" applyBorder="1" applyAlignment="1">
      <alignment horizontal="center"/>
    </xf>
    <xf numFmtId="0" fontId="4" fillId="2" borderId="89" xfId="0" applyFont="1" applyFill="1" applyBorder="1" applyAlignment="1">
      <alignment horizontal="center"/>
    </xf>
    <xf numFmtId="0" fontId="4" fillId="2" borderId="90" xfId="0" applyFont="1" applyFill="1" applyBorder="1" applyAlignment="1">
      <alignment horizontal="center"/>
    </xf>
    <xf numFmtId="0" fontId="28" fillId="0" borderId="0" xfId="2" applyFont="1" applyBorder="1" applyAlignment="1">
      <alignment horizontal="center" wrapText="1"/>
    </xf>
    <xf numFmtId="0" fontId="6" fillId="0" borderId="116" xfId="2" applyFont="1" applyBorder="1" applyAlignment="1">
      <alignment horizontal="center"/>
    </xf>
    <xf numFmtId="0" fontId="6" fillId="0" borderId="117" xfId="2" applyFont="1" applyBorder="1" applyAlignment="1">
      <alignment horizontal="center"/>
    </xf>
  </cellXfs>
  <cellStyles count="3">
    <cellStyle name="Ezres" xfId="1" builtinId="3"/>
    <cellStyle name="Normál" xfId="0" builtinId="0"/>
    <cellStyle name="Normál_SajatHK2005_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11"/>
  <sheetViews>
    <sheetView tabSelected="1" topLeftCell="K1" zoomScale="75" zoomScaleNormal="75" workbookViewId="0">
      <selection activeCell="W1" sqref="W1"/>
    </sheetView>
  </sheetViews>
  <sheetFormatPr defaultRowHeight="16.5" x14ac:dyDescent="0.25"/>
  <cols>
    <col min="1" max="1" width="5.5703125" style="1" customWidth="1"/>
    <col min="2" max="2" width="10.5703125" style="1" hidden="1" customWidth="1"/>
    <col min="3" max="3" width="48.7109375" style="2" customWidth="1"/>
    <col min="4" max="4" width="15" style="2" customWidth="1"/>
    <col min="5" max="5" width="13.28515625" style="2" customWidth="1"/>
    <col min="6" max="6" width="14.7109375" style="2" customWidth="1"/>
    <col min="7" max="7" width="13.28515625" style="2" customWidth="1"/>
    <col min="8" max="8" width="15.42578125" style="2" customWidth="1"/>
    <col min="9" max="11" width="13.7109375" style="2" customWidth="1"/>
    <col min="12" max="12" width="16.7109375" style="2" customWidth="1"/>
    <col min="13" max="13" width="14.42578125" style="2" customWidth="1"/>
    <col min="14" max="14" width="13.7109375" style="2" customWidth="1"/>
    <col min="15" max="15" width="15.7109375" style="2" customWidth="1"/>
    <col min="16" max="16" width="0.85546875" style="2" customWidth="1"/>
    <col min="17" max="17" width="15.85546875" style="2" customWidth="1"/>
    <col min="18" max="20" width="13.7109375" style="2" customWidth="1"/>
    <col min="21" max="21" width="15.7109375" style="2" customWidth="1"/>
    <col min="22" max="22" width="1.85546875" style="2" customWidth="1"/>
    <col min="23" max="23" width="17.7109375" style="2" customWidth="1"/>
    <col min="24" max="29" width="9.140625" style="2"/>
    <col min="30" max="31" width="10.7109375" style="2" customWidth="1"/>
    <col min="32" max="32" width="10.28515625" style="2" customWidth="1"/>
    <col min="33" max="33" width="10" style="2" customWidth="1"/>
    <col min="34" max="34" width="10.28515625" style="2" customWidth="1"/>
    <col min="35" max="35" width="10.7109375" style="2" customWidth="1"/>
    <col min="36" max="36" width="10.5703125" style="2" customWidth="1"/>
    <col min="37" max="40" width="9.140625" style="2"/>
    <col min="41" max="41" width="11" style="2" customWidth="1"/>
    <col min="42" max="16384" width="9.140625" style="2"/>
  </cols>
  <sheetData>
    <row r="1" spans="1:35" ht="20.25" customHeight="1" x14ac:dyDescent="0.25">
      <c r="W1" s="191" t="s">
        <v>92</v>
      </c>
    </row>
    <row r="2" spans="1:35" ht="30" customHeight="1" x14ac:dyDescent="0.3">
      <c r="A2" s="751" t="s">
        <v>0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</row>
    <row r="3" spans="1:35" ht="9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35" ht="50.1" customHeight="1" x14ac:dyDescent="0.2">
      <c r="A4" s="752" t="s">
        <v>622</v>
      </c>
      <c r="B4" s="753"/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/>
      <c r="O4" s="753"/>
      <c r="P4" s="753"/>
      <c r="Q4" s="753"/>
      <c r="R4" s="753"/>
      <c r="S4" s="753"/>
      <c r="T4" s="753"/>
      <c r="U4" s="753"/>
      <c r="V4" s="753"/>
      <c r="W4" s="753"/>
    </row>
    <row r="5" spans="1:35" ht="12" customHeight="1" x14ac:dyDescent="0.25"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35" ht="17.25" thickBot="1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 t="s">
        <v>1</v>
      </c>
    </row>
    <row r="7" spans="1:35" ht="18" customHeight="1" x14ac:dyDescent="0.25">
      <c r="A7" s="7"/>
      <c r="B7" s="8"/>
      <c r="C7" s="9"/>
      <c r="D7" s="743" t="s">
        <v>123</v>
      </c>
      <c r="E7" s="744"/>
      <c r="F7" s="745"/>
      <c r="G7" s="411"/>
      <c r="H7" s="412"/>
      <c r="I7" s="413" t="s">
        <v>4</v>
      </c>
      <c r="J7" s="746" t="s">
        <v>131</v>
      </c>
      <c r="K7" s="747"/>
      <c r="L7" s="411"/>
      <c r="M7" s="414" t="s">
        <v>132</v>
      </c>
      <c r="N7" s="415"/>
      <c r="O7" s="416" t="s">
        <v>139</v>
      </c>
      <c r="P7" s="417"/>
      <c r="Q7" s="748" t="s">
        <v>141</v>
      </c>
      <c r="R7" s="749"/>
      <c r="S7" s="749"/>
      <c r="T7" s="750"/>
      <c r="U7" s="417" t="s">
        <v>153</v>
      </c>
      <c r="V7" s="416"/>
      <c r="W7" s="10" t="s">
        <v>2</v>
      </c>
    </row>
    <row r="8" spans="1:35" x14ac:dyDescent="0.25">
      <c r="A8" s="11"/>
      <c r="B8" s="12"/>
      <c r="C8" s="13" t="s">
        <v>3</v>
      </c>
      <c r="D8" s="16" t="s">
        <v>124</v>
      </c>
      <c r="E8" s="13" t="s">
        <v>125</v>
      </c>
      <c r="F8" s="4" t="s">
        <v>126</v>
      </c>
      <c r="G8" s="17" t="s">
        <v>133</v>
      </c>
      <c r="H8" s="17" t="s">
        <v>5</v>
      </c>
      <c r="I8" s="17" t="s">
        <v>15</v>
      </c>
      <c r="J8" s="13" t="s">
        <v>6</v>
      </c>
      <c r="K8" s="13" t="s">
        <v>134</v>
      </c>
      <c r="L8" s="407" t="s">
        <v>105</v>
      </c>
      <c r="M8" s="13" t="s">
        <v>135</v>
      </c>
      <c r="N8" s="17" t="s">
        <v>4</v>
      </c>
      <c r="O8" s="408" t="s">
        <v>140</v>
      </c>
      <c r="P8" s="409"/>
      <c r="Q8" s="17" t="s">
        <v>142</v>
      </c>
      <c r="R8" s="17" t="s">
        <v>143</v>
      </c>
      <c r="S8" s="17" t="s">
        <v>144</v>
      </c>
      <c r="T8" s="17" t="s">
        <v>4</v>
      </c>
      <c r="U8" s="409" t="s">
        <v>154</v>
      </c>
      <c r="V8" s="408"/>
      <c r="W8" s="15" t="s">
        <v>7</v>
      </c>
    </row>
    <row r="9" spans="1:35" x14ac:dyDescent="0.25">
      <c r="A9" s="18" t="s">
        <v>8</v>
      </c>
      <c r="B9" s="13"/>
      <c r="C9" s="13" t="s">
        <v>9</v>
      </c>
      <c r="D9" s="17" t="s">
        <v>15</v>
      </c>
      <c r="E9" s="13" t="s">
        <v>127</v>
      </c>
      <c r="F9" s="4" t="s">
        <v>79</v>
      </c>
      <c r="G9" s="17" t="s">
        <v>10</v>
      </c>
      <c r="H9" s="13" t="s">
        <v>10</v>
      </c>
      <c r="I9" s="13" t="s">
        <v>11</v>
      </c>
      <c r="J9" s="13" t="s">
        <v>11</v>
      </c>
      <c r="K9" s="13" t="s">
        <v>79</v>
      </c>
      <c r="L9" s="300" t="s">
        <v>106</v>
      </c>
      <c r="M9" s="17" t="s">
        <v>136</v>
      </c>
      <c r="N9" s="17" t="s">
        <v>107</v>
      </c>
      <c r="O9" s="408" t="s">
        <v>10</v>
      </c>
      <c r="P9" s="409"/>
      <c r="Q9" s="17" t="s">
        <v>145</v>
      </c>
      <c r="R9" s="17" t="s">
        <v>146</v>
      </c>
      <c r="S9" s="17" t="s">
        <v>147</v>
      </c>
      <c r="T9" s="17" t="s">
        <v>195</v>
      </c>
      <c r="U9" s="409" t="s">
        <v>10</v>
      </c>
      <c r="V9" s="408"/>
      <c r="W9" s="15" t="s">
        <v>12</v>
      </c>
    </row>
    <row r="10" spans="1:35" x14ac:dyDescent="0.25">
      <c r="A10" s="11"/>
      <c r="B10" s="12"/>
      <c r="C10" s="13" t="s">
        <v>13</v>
      </c>
      <c r="D10" s="17" t="s">
        <v>128</v>
      </c>
      <c r="E10" s="13" t="s">
        <v>129</v>
      </c>
      <c r="F10" s="4" t="s">
        <v>130</v>
      </c>
      <c r="G10" s="17"/>
      <c r="H10" s="13"/>
      <c r="I10" s="13" t="s">
        <v>104</v>
      </c>
      <c r="J10" s="13" t="s">
        <v>137</v>
      </c>
      <c r="K10" s="13" t="s">
        <v>130</v>
      </c>
      <c r="L10" s="13" t="s">
        <v>10</v>
      </c>
      <c r="M10" s="17" t="s">
        <v>41</v>
      </c>
      <c r="N10" s="17" t="s">
        <v>138</v>
      </c>
      <c r="O10" s="408" t="s">
        <v>12</v>
      </c>
      <c r="P10" s="409"/>
      <c r="Q10" s="17" t="s">
        <v>148</v>
      </c>
      <c r="R10" s="17" t="s">
        <v>149</v>
      </c>
      <c r="S10" s="17" t="s">
        <v>150</v>
      </c>
      <c r="T10" s="17" t="s">
        <v>196</v>
      </c>
      <c r="U10" s="409" t="s">
        <v>12</v>
      </c>
      <c r="V10" s="408"/>
      <c r="W10" s="19" t="s">
        <v>156</v>
      </c>
    </row>
    <row r="11" spans="1:35" x14ac:dyDescent="0.25">
      <c r="A11" s="11"/>
      <c r="B11" s="12"/>
      <c r="C11" s="13"/>
      <c r="D11" s="17"/>
      <c r="E11" s="13" t="s">
        <v>16</v>
      </c>
      <c r="F11" s="4" t="s">
        <v>103</v>
      </c>
      <c r="G11" s="17"/>
      <c r="H11" s="13"/>
      <c r="I11" s="13" t="s">
        <v>17</v>
      </c>
      <c r="J11" s="13" t="s">
        <v>50</v>
      </c>
      <c r="K11" s="13" t="s">
        <v>103</v>
      </c>
      <c r="L11" s="13"/>
      <c r="M11" s="20" t="s">
        <v>14</v>
      </c>
      <c r="N11" s="20" t="s">
        <v>17</v>
      </c>
      <c r="O11" s="4" t="s">
        <v>152</v>
      </c>
      <c r="P11" s="410"/>
      <c r="Q11" s="17" t="s">
        <v>16</v>
      </c>
      <c r="R11" s="20" t="s">
        <v>151</v>
      </c>
      <c r="S11" s="20" t="s">
        <v>50</v>
      </c>
      <c r="T11" s="20" t="s">
        <v>10</v>
      </c>
      <c r="U11" s="20" t="s">
        <v>155</v>
      </c>
      <c r="V11" s="4"/>
      <c r="W11" s="15"/>
    </row>
    <row r="12" spans="1:35" hidden="1" x14ac:dyDescent="0.25">
      <c r="A12" s="113"/>
      <c r="B12" s="114"/>
      <c r="C12" s="115"/>
      <c r="D12" s="16" t="s">
        <v>295</v>
      </c>
      <c r="E12" s="115" t="s">
        <v>296</v>
      </c>
      <c r="F12" s="116" t="s">
        <v>297</v>
      </c>
      <c r="G12" s="16" t="s">
        <v>298</v>
      </c>
      <c r="H12" s="115" t="s">
        <v>299</v>
      </c>
      <c r="I12" s="115" t="s">
        <v>300</v>
      </c>
      <c r="J12" s="115" t="s">
        <v>301</v>
      </c>
      <c r="K12" s="124" t="s">
        <v>302</v>
      </c>
      <c r="L12" s="115" t="s">
        <v>303</v>
      </c>
      <c r="M12" s="117" t="s">
        <v>304</v>
      </c>
      <c r="N12" s="118" t="s">
        <v>305</v>
      </c>
      <c r="O12" s="116"/>
      <c r="P12" s="20"/>
      <c r="Q12" s="16" t="s">
        <v>306</v>
      </c>
      <c r="R12" s="118" t="s">
        <v>307</v>
      </c>
      <c r="S12" s="118" t="s">
        <v>308</v>
      </c>
      <c r="T12" s="115" t="s">
        <v>309</v>
      </c>
      <c r="U12" s="16"/>
      <c r="V12" s="119"/>
      <c r="W12" s="419"/>
    </row>
    <row r="13" spans="1:35" ht="20.25" customHeight="1" thickBot="1" x14ac:dyDescent="0.25">
      <c r="A13" s="197">
        <v>1</v>
      </c>
      <c r="B13" s="218"/>
      <c r="C13" s="218">
        <v>2</v>
      </c>
      <c r="D13" s="218">
        <v>3</v>
      </c>
      <c r="E13" s="218">
        <v>4</v>
      </c>
      <c r="F13" s="218">
        <v>5</v>
      </c>
      <c r="G13" s="218">
        <v>6</v>
      </c>
      <c r="H13" s="218">
        <v>7</v>
      </c>
      <c r="I13" s="218">
        <v>8</v>
      </c>
      <c r="J13" s="218">
        <v>9</v>
      </c>
      <c r="K13" s="218">
        <v>10</v>
      </c>
      <c r="L13" s="218">
        <v>11</v>
      </c>
      <c r="M13" s="218">
        <v>12</v>
      </c>
      <c r="N13" s="218">
        <v>13</v>
      </c>
      <c r="O13" s="218">
        <v>14</v>
      </c>
      <c r="P13" s="218"/>
      <c r="Q13" s="218">
        <v>15</v>
      </c>
      <c r="R13" s="218">
        <v>16</v>
      </c>
      <c r="S13" s="218">
        <v>17</v>
      </c>
      <c r="T13" s="218">
        <v>18</v>
      </c>
      <c r="U13" s="218">
        <v>19</v>
      </c>
      <c r="V13" s="219"/>
      <c r="W13" s="220">
        <v>20</v>
      </c>
    </row>
    <row r="14" spans="1:35" ht="22.5" hidden="1" customHeight="1" x14ac:dyDescent="0.25">
      <c r="A14" s="22"/>
      <c r="B14" s="23"/>
      <c r="C14" s="24" t="s">
        <v>67</v>
      </c>
      <c r="D14" s="25">
        <v>2105800</v>
      </c>
      <c r="E14" s="25">
        <v>0</v>
      </c>
      <c r="F14" s="25">
        <v>52185</v>
      </c>
      <c r="G14" s="25">
        <v>8338072</v>
      </c>
      <c r="H14" s="25">
        <v>2186591</v>
      </c>
      <c r="I14" s="158">
        <v>0</v>
      </c>
      <c r="J14" s="25">
        <v>300000</v>
      </c>
      <c r="K14" s="25">
        <v>0</v>
      </c>
      <c r="L14" s="158">
        <v>1095678</v>
      </c>
      <c r="M14" s="25">
        <v>21300</v>
      </c>
      <c r="N14" s="25">
        <v>50000</v>
      </c>
      <c r="O14" s="418">
        <f>SUM(D14:N14)</f>
        <v>14149626</v>
      </c>
      <c r="P14" s="25"/>
      <c r="Q14" s="25">
        <v>0</v>
      </c>
      <c r="R14" s="25">
        <v>993513</v>
      </c>
      <c r="S14" s="25">
        <v>0</v>
      </c>
      <c r="T14" s="25">
        <v>0</v>
      </c>
      <c r="U14" s="418">
        <f>SUM(Q14:T14)</f>
        <v>993513</v>
      </c>
      <c r="V14" s="157"/>
      <c r="W14" s="143">
        <f>O14+U14</f>
        <v>15143139</v>
      </c>
    </row>
    <row r="15" spans="1:35" ht="20.100000000000001" hidden="1" customHeight="1" x14ac:dyDescent="0.25">
      <c r="A15" s="160"/>
      <c r="B15" s="27" t="s">
        <v>64</v>
      </c>
      <c r="C15" s="28" t="s">
        <v>109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142"/>
      <c r="V15" s="83"/>
      <c r="W15" s="420">
        <f>O15+U15</f>
        <v>0</v>
      </c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1:35" ht="20.100000000000001" hidden="1" customHeight="1" x14ac:dyDescent="0.25">
      <c r="A16" s="160"/>
      <c r="B16" s="27"/>
      <c r="C16" s="24" t="s">
        <v>18</v>
      </c>
      <c r="D16" s="155">
        <f>SUM(D14:D15)</f>
        <v>2105800</v>
      </c>
      <c r="E16" s="155">
        <f t="shared" ref="E16:U16" si="0">SUM(E14:E15)</f>
        <v>0</v>
      </c>
      <c r="F16" s="155">
        <f t="shared" si="0"/>
        <v>52185</v>
      </c>
      <c r="G16" s="155">
        <f t="shared" si="0"/>
        <v>8338072</v>
      </c>
      <c r="H16" s="155">
        <f t="shared" si="0"/>
        <v>2186591</v>
      </c>
      <c r="I16" s="155">
        <f t="shared" si="0"/>
        <v>0</v>
      </c>
      <c r="J16" s="155">
        <f t="shared" si="0"/>
        <v>300000</v>
      </c>
      <c r="K16" s="155">
        <f t="shared" si="0"/>
        <v>0</v>
      </c>
      <c r="L16" s="155">
        <f t="shared" si="0"/>
        <v>1095678</v>
      </c>
      <c r="M16" s="155">
        <f t="shared" si="0"/>
        <v>21300</v>
      </c>
      <c r="N16" s="155">
        <f t="shared" si="0"/>
        <v>50000</v>
      </c>
      <c r="O16" s="155">
        <f t="shared" si="0"/>
        <v>14149626</v>
      </c>
      <c r="P16" s="155"/>
      <c r="Q16" s="155">
        <f t="shared" si="0"/>
        <v>0</v>
      </c>
      <c r="R16" s="155">
        <f t="shared" si="0"/>
        <v>993513</v>
      </c>
      <c r="S16" s="155">
        <f t="shared" si="0"/>
        <v>0</v>
      </c>
      <c r="T16" s="155">
        <f t="shared" si="0"/>
        <v>0</v>
      </c>
      <c r="U16" s="155">
        <f t="shared" si="0"/>
        <v>993513</v>
      </c>
      <c r="V16" s="432"/>
      <c r="W16" s="421">
        <f>SUM(W14:W15)</f>
        <v>15143139</v>
      </c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70"/>
    </row>
    <row r="17" spans="1:35" ht="35.1" hidden="1" customHeight="1" x14ac:dyDescent="0.25">
      <c r="A17" s="82">
        <v>1</v>
      </c>
      <c r="B17" s="140" t="s">
        <v>200</v>
      </c>
      <c r="C17" s="28" t="s">
        <v>201</v>
      </c>
      <c r="D17" s="608"/>
      <c r="E17" s="608"/>
      <c r="F17" s="608"/>
      <c r="G17" s="608"/>
      <c r="H17" s="608"/>
      <c r="I17" s="608"/>
      <c r="J17" s="609"/>
      <c r="K17" s="608"/>
      <c r="L17" s="608"/>
      <c r="M17" s="608"/>
      <c r="N17" s="608"/>
      <c r="O17" s="608">
        <f t="shared" ref="O17:O28" si="1">SUM(D17:N17)</f>
        <v>0</v>
      </c>
      <c r="P17" s="613"/>
      <c r="Q17" s="616"/>
      <c r="R17" s="616"/>
      <c r="S17" s="616"/>
      <c r="T17" s="616"/>
      <c r="U17" s="617">
        <f t="shared" ref="U17:U28" si="2">SUM(Q17:T17)</f>
        <v>0</v>
      </c>
      <c r="V17" s="618"/>
      <c r="W17" s="619">
        <f t="shared" ref="W17:W28" si="3">O17+U17</f>
        <v>0</v>
      </c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70"/>
    </row>
    <row r="18" spans="1:35" ht="35.1" hidden="1" customHeight="1" x14ac:dyDescent="0.25">
      <c r="A18" s="82">
        <v>2</v>
      </c>
      <c r="B18" s="140" t="s">
        <v>205</v>
      </c>
      <c r="C18" s="28" t="s">
        <v>206</v>
      </c>
      <c r="D18" s="608"/>
      <c r="E18" s="608"/>
      <c r="F18" s="608"/>
      <c r="G18" s="608"/>
      <c r="H18" s="608">
        <f>141</f>
        <v>141</v>
      </c>
      <c r="I18" s="608"/>
      <c r="J18" s="609"/>
      <c r="K18" s="608"/>
      <c r="L18" s="608"/>
      <c r="M18" s="608"/>
      <c r="N18" s="608"/>
      <c r="O18" s="608">
        <f t="shared" si="1"/>
        <v>141</v>
      </c>
      <c r="P18" s="613"/>
      <c r="Q18" s="616"/>
      <c r="R18" s="616"/>
      <c r="S18" s="616"/>
      <c r="T18" s="616"/>
      <c r="U18" s="617">
        <f t="shared" si="2"/>
        <v>0</v>
      </c>
      <c r="V18" s="618"/>
      <c r="W18" s="619">
        <f t="shared" si="3"/>
        <v>141</v>
      </c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70"/>
    </row>
    <row r="19" spans="1:35" ht="35.1" hidden="1" customHeight="1" x14ac:dyDescent="0.25">
      <c r="A19" s="82">
        <v>3</v>
      </c>
      <c r="B19" s="140" t="s">
        <v>236</v>
      </c>
      <c r="C19" s="28" t="s">
        <v>235</v>
      </c>
      <c r="D19" s="608"/>
      <c r="E19" s="608"/>
      <c r="F19" s="628"/>
      <c r="G19" s="608"/>
      <c r="H19" s="608">
        <f>-16500</f>
        <v>-16500</v>
      </c>
      <c r="I19" s="608"/>
      <c r="J19" s="609"/>
      <c r="K19" s="608">
        <f>16500</f>
        <v>16500</v>
      </c>
      <c r="L19" s="608"/>
      <c r="M19" s="608"/>
      <c r="N19" s="608"/>
      <c r="O19" s="608">
        <f t="shared" si="1"/>
        <v>0</v>
      </c>
      <c r="P19" s="613"/>
      <c r="Q19" s="616"/>
      <c r="R19" s="616"/>
      <c r="S19" s="616"/>
      <c r="T19" s="616"/>
      <c r="U19" s="617">
        <f t="shared" si="2"/>
        <v>0</v>
      </c>
      <c r="V19" s="618"/>
      <c r="W19" s="619">
        <f t="shared" si="3"/>
        <v>0</v>
      </c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70"/>
    </row>
    <row r="20" spans="1:35" ht="35.1" hidden="1" customHeight="1" x14ac:dyDescent="0.25">
      <c r="A20" s="82">
        <v>4</v>
      </c>
      <c r="B20" s="140" t="s">
        <v>237</v>
      </c>
      <c r="C20" s="28" t="s">
        <v>238</v>
      </c>
      <c r="D20" s="608"/>
      <c r="E20" s="608"/>
      <c r="F20" s="628"/>
      <c r="G20" s="608"/>
      <c r="H20" s="608">
        <f>1400+378</f>
        <v>1778</v>
      </c>
      <c r="I20" s="608"/>
      <c r="J20" s="609"/>
      <c r="K20" s="608"/>
      <c r="L20" s="608"/>
      <c r="M20" s="608"/>
      <c r="N20" s="608"/>
      <c r="O20" s="608">
        <f t="shared" si="1"/>
        <v>1778</v>
      </c>
      <c r="P20" s="613"/>
      <c r="Q20" s="616"/>
      <c r="R20" s="616"/>
      <c r="S20" s="616"/>
      <c r="T20" s="616"/>
      <c r="U20" s="617">
        <f t="shared" si="2"/>
        <v>0</v>
      </c>
      <c r="V20" s="618"/>
      <c r="W20" s="619">
        <f t="shared" si="3"/>
        <v>1778</v>
      </c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70"/>
    </row>
    <row r="21" spans="1:35" ht="35.1" hidden="1" customHeight="1" x14ac:dyDescent="0.25">
      <c r="A21" s="82">
        <v>5</v>
      </c>
      <c r="B21" s="140" t="s">
        <v>242</v>
      </c>
      <c r="C21" s="28" t="s">
        <v>243</v>
      </c>
      <c r="D21" s="608"/>
      <c r="E21" s="608"/>
      <c r="F21" s="628"/>
      <c r="G21" s="608"/>
      <c r="H21" s="608"/>
      <c r="I21" s="608">
        <f>775</f>
        <v>775</v>
      </c>
      <c r="J21" s="609"/>
      <c r="K21" s="608"/>
      <c r="L21" s="608"/>
      <c r="M21" s="608"/>
      <c r="N21" s="608"/>
      <c r="O21" s="608">
        <f t="shared" si="1"/>
        <v>775</v>
      </c>
      <c r="P21" s="613"/>
      <c r="Q21" s="616"/>
      <c r="R21" s="616"/>
      <c r="S21" s="616"/>
      <c r="T21" s="616"/>
      <c r="U21" s="617">
        <f t="shared" si="2"/>
        <v>0</v>
      </c>
      <c r="V21" s="618"/>
      <c r="W21" s="619">
        <f t="shared" si="3"/>
        <v>775</v>
      </c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70"/>
    </row>
    <row r="22" spans="1:35" ht="35.1" hidden="1" customHeight="1" x14ac:dyDescent="0.25">
      <c r="A22" s="82">
        <v>6</v>
      </c>
      <c r="B22" s="140" t="s">
        <v>247</v>
      </c>
      <c r="C22" s="28" t="s">
        <v>248</v>
      </c>
      <c r="D22" s="608">
        <f>-0.26-0.713</f>
        <v>-0.97299999999999998</v>
      </c>
      <c r="E22" s="608"/>
      <c r="F22" s="628"/>
      <c r="G22" s="608"/>
      <c r="H22" s="608">
        <f>0.713</f>
        <v>0.71299999999999997</v>
      </c>
      <c r="I22" s="608"/>
      <c r="J22" s="609"/>
      <c r="K22" s="608"/>
      <c r="L22" s="608"/>
      <c r="M22" s="608"/>
      <c r="N22" s="608"/>
      <c r="O22" s="608">
        <f t="shared" si="1"/>
        <v>-0.26</v>
      </c>
      <c r="P22" s="613"/>
      <c r="Q22" s="616"/>
      <c r="R22" s="616"/>
      <c r="S22" s="616"/>
      <c r="T22" s="616"/>
      <c r="U22" s="617">
        <f t="shared" si="2"/>
        <v>0</v>
      </c>
      <c r="V22" s="618"/>
      <c r="W22" s="619">
        <f t="shared" si="3"/>
        <v>-0.26</v>
      </c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70"/>
    </row>
    <row r="23" spans="1:35" ht="35.1" hidden="1" customHeight="1" x14ac:dyDescent="0.25">
      <c r="A23" s="82">
        <v>7</v>
      </c>
      <c r="B23" s="140" t="s">
        <v>253</v>
      </c>
      <c r="C23" s="28" t="s">
        <v>254</v>
      </c>
      <c r="D23" s="608"/>
      <c r="E23" s="608"/>
      <c r="F23" s="628"/>
      <c r="G23" s="608">
        <f>72335</f>
        <v>72335</v>
      </c>
      <c r="H23" s="608"/>
      <c r="I23" s="608"/>
      <c r="J23" s="609"/>
      <c r="K23" s="608"/>
      <c r="M23" s="608"/>
      <c r="N23" s="608"/>
      <c r="O23" s="608">
        <f t="shared" si="1"/>
        <v>72335</v>
      </c>
      <c r="P23" s="613"/>
      <c r="Q23" s="616"/>
      <c r="R23" s="616"/>
      <c r="S23" s="616"/>
      <c r="T23" s="616"/>
      <c r="U23" s="617">
        <f t="shared" si="2"/>
        <v>0</v>
      </c>
      <c r="V23" s="618"/>
      <c r="W23" s="619">
        <f t="shared" si="3"/>
        <v>72335</v>
      </c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70"/>
    </row>
    <row r="24" spans="1:35" ht="35.1" hidden="1" customHeight="1" x14ac:dyDescent="0.25">
      <c r="A24" s="82">
        <v>8</v>
      </c>
      <c r="B24" s="140" t="s">
        <v>215</v>
      </c>
      <c r="C24" s="28" t="s">
        <v>218</v>
      </c>
      <c r="D24" s="608">
        <f>8350.961</f>
        <v>8350.9609999999993</v>
      </c>
      <c r="E24" s="608"/>
      <c r="F24" s="609"/>
      <c r="G24" s="608"/>
      <c r="H24" s="608"/>
      <c r="I24" s="608"/>
      <c r="J24" s="609"/>
      <c r="K24" s="608"/>
      <c r="L24" s="608"/>
      <c r="M24" s="608"/>
      <c r="N24" s="608"/>
      <c r="O24" s="608">
        <f t="shared" si="1"/>
        <v>8350.9609999999993</v>
      </c>
      <c r="P24" s="613"/>
      <c r="Q24" s="616"/>
      <c r="R24" s="616"/>
      <c r="S24" s="616"/>
      <c r="T24" s="616"/>
      <c r="U24" s="617">
        <f t="shared" si="2"/>
        <v>0</v>
      </c>
      <c r="V24" s="618"/>
      <c r="W24" s="619">
        <f t="shared" si="3"/>
        <v>8350.9609999999993</v>
      </c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</row>
    <row r="25" spans="1:35" ht="35.1" hidden="1" customHeight="1" x14ac:dyDescent="0.25">
      <c r="A25" s="82">
        <v>9</v>
      </c>
      <c r="B25" s="140" t="s">
        <v>217</v>
      </c>
      <c r="C25" s="28" t="s">
        <v>219</v>
      </c>
      <c r="D25" s="608">
        <f>10065.19</f>
        <v>10065.19</v>
      </c>
      <c r="E25" s="608"/>
      <c r="F25" s="609"/>
      <c r="G25" s="608"/>
      <c r="H25" s="608"/>
      <c r="I25" s="608"/>
      <c r="J25" s="609"/>
      <c r="K25" s="608"/>
      <c r="L25" s="608"/>
      <c r="M25" s="608"/>
      <c r="N25" s="608"/>
      <c r="O25" s="608">
        <f t="shared" si="1"/>
        <v>10065.19</v>
      </c>
      <c r="P25" s="613"/>
      <c r="Q25" s="616"/>
      <c r="R25" s="616"/>
      <c r="S25" s="616"/>
      <c r="T25" s="616"/>
      <c r="U25" s="617">
        <f t="shared" si="2"/>
        <v>0</v>
      </c>
      <c r="V25" s="618"/>
      <c r="W25" s="619">
        <f t="shared" si="3"/>
        <v>10065.19</v>
      </c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70"/>
    </row>
    <row r="26" spans="1:35" ht="35.1" hidden="1" customHeight="1" x14ac:dyDescent="0.25">
      <c r="A26" s="82">
        <v>10</v>
      </c>
      <c r="B26" s="140" t="s">
        <v>221</v>
      </c>
      <c r="C26" s="28" t="s">
        <v>222</v>
      </c>
      <c r="D26" s="608">
        <f>6950.094</f>
        <v>6950.0940000000001</v>
      </c>
      <c r="E26" s="608"/>
      <c r="F26" s="609"/>
      <c r="G26" s="608"/>
      <c r="H26" s="608"/>
      <c r="I26" s="608"/>
      <c r="J26" s="609"/>
      <c r="K26" s="608"/>
      <c r="L26" s="608"/>
      <c r="M26" s="608"/>
      <c r="N26" s="608"/>
      <c r="O26" s="608">
        <f t="shared" si="1"/>
        <v>6950.0940000000001</v>
      </c>
      <c r="P26" s="613"/>
      <c r="Q26" s="616"/>
      <c r="R26" s="616"/>
      <c r="S26" s="616"/>
      <c r="T26" s="616"/>
      <c r="U26" s="617">
        <f t="shared" si="2"/>
        <v>0</v>
      </c>
      <c r="V26" s="618"/>
      <c r="W26" s="619">
        <f t="shared" si="3"/>
        <v>6950.0940000000001</v>
      </c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</row>
    <row r="27" spans="1:35" ht="35.1" hidden="1" customHeight="1" x14ac:dyDescent="0.25">
      <c r="A27" s="82">
        <v>11</v>
      </c>
      <c r="B27" s="140" t="s">
        <v>261</v>
      </c>
      <c r="C27" s="28" t="s">
        <v>262</v>
      </c>
      <c r="D27" s="608">
        <f>3723.574</f>
        <v>3723.5740000000001</v>
      </c>
      <c r="E27" s="608"/>
      <c r="F27" s="609"/>
      <c r="G27" s="608"/>
      <c r="H27" s="608"/>
      <c r="I27" s="608"/>
      <c r="J27" s="609"/>
      <c r="K27" s="608"/>
      <c r="L27" s="608"/>
      <c r="M27" s="608"/>
      <c r="N27" s="608"/>
      <c r="O27" s="608">
        <f t="shared" si="1"/>
        <v>3723.5740000000001</v>
      </c>
      <c r="P27" s="613"/>
      <c r="Q27" s="616"/>
      <c r="R27" s="616"/>
      <c r="S27" s="616"/>
      <c r="T27" s="616"/>
      <c r="U27" s="617">
        <f t="shared" si="2"/>
        <v>0</v>
      </c>
      <c r="V27" s="618"/>
      <c r="W27" s="619">
        <f t="shared" si="3"/>
        <v>3723.5740000000001</v>
      </c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70"/>
    </row>
    <row r="28" spans="1:35" ht="30" hidden="1" customHeight="1" x14ac:dyDescent="0.25">
      <c r="A28" s="82">
        <v>12</v>
      </c>
      <c r="B28" s="603" t="s">
        <v>223</v>
      </c>
      <c r="C28" s="28" t="s">
        <v>224</v>
      </c>
      <c r="D28" s="608">
        <v>13617.361000000001</v>
      </c>
      <c r="E28" s="608"/>
      <c r="F28" s="608"/>
      <c r="G28" s="608"/>
      <c r="H28" s="608"/>
      <c r="I28" s="608"/>
      <c r="J28" s="608"/>
      <c r="K28" s="608"/>
      <c r="L28" s="608"/>
      <c r="M28" s="608"/>
      <c r="N28" s="608"/>
      <c r="O28" s="608">
        <f t="shared" si="1"/>
        <v>13617.361000000001</v>
      </c>
      <c r="P28" s="613"/>
      <c r="Q28" s="616"/>
      <c r="R28" s="616"/>
      <c r="S28" s="616"/>
      <c r="T28" s="616"/>
      <c r="U28" s="617">
        <f t="shared" si="2"/>
        <v>0</v>
      </c>
      <c r="V28" s="618"/>
      <c r="W28" s="619">
        <f t="shared" si="3"/>
        <v>13617.361000000001</v>
      </c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</row>
    <row r="29" spans="1:35" ht="30" hidden="1" customHeight="1" x14ac:dyDescent="0.25">
      <c r="A29" s="82">
        <v>13</v>
      </c>
      <c r="B29" s="140" t="s">
        <v>316</v>
      </c>
      <c r="C29" s="28" t="s">
        <v>228</v>
      </c>
      <c r="D29" s="608"/>
      <c r="E29" s="608"/>
      <c r="F29" s="608"/>
      <c r="G29" s="608"/>
      <c r="H29" s="608"/>
      <c r="I29" s="608"/>
      <c r="J29" s="608"/>
      <c r="K29" s="608"/>
      <c r="L29" s="608"/>
      <c r="M29" s="608"/>
      <c r="N29" s="608"/>
      <c r="O29" s="608">
        <f t="shared" ref="O29:O40" si="4">SUM(D29:N29)</f>
        <v>0</v>
      </c>
      <c r="P29" s="613"/>
      <c r="Q29" s="608">
        <f>2900000+1000000</f>
        <v>3900000</v>
      </c>
      <c r="R29" s="616"/>
      <c r="S29" s="616"/>
      <c r="T29" s="616"/>
      <c r="U29" s="617">
        <f t="shared" ref="U29:U40" si="5">SUM(Q29:T29)</f>
        <v>3900000</v>
      </c>
      <c r="V29" s="618"/>
      <c r="W29" s="619">
        <f t="shared" ref="W29:W40" si="6">O29+U29</f>
        <v>3900000</v>
      </c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</row>
    <row r="30" spans="1:35" ht="30" hidden="1" customHeight="1" x14ac:dyDescent="0.25">
      <c r="A30" s="82">
        <v>14</v>
      </c>
      <c r="B30" s="661" t="s">
        <v>229</v>
      </c>
      <c r="C30" s="28" t="s">
        <v>230</v>
      </c>
      <c r="D30" s="608"/>
      <c r="E30" s="608"/>
      <c r="F30" s="608"/>
      <c r="G30" s="608"/>
      <c r="H30" s="608"/>
      <c r="I30" s="608"/>
      <c r="J30" s="608"/>
      <c r="K30" s="608"/>
      <c r="L30" s="608"/>
      <c r="M30" s="608"/>
      <c r="N30" s="608"/>
      <c r="O30" s="608">
        <f t="shared" si="4"/>
        <v>0</v>
      </c>
      <c r="P30" s="613"/>
      <c r="Q30" s="616"/>
      <c r="R30" s="608"/>
      <c r="S30" s="616"/>
      <c r="T30" s="616"/>
      <c r="U30" s="617">
        <f t="shared" si="5"/>
        <v>0</v>
      </c>
      <c r="V30" s="618"/>
      <c r="W30" s="619">
        <f t="shared" si="6"/>
        <v>0</v>
      </c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</row>
    <row r="31" spans="1:35" ht="30" hidden="1" customHeight="1" x14ac:dyDescent="0.25">
      <c r="A31" s="82">
        <v>15</v>
      </c>
      <c r="B31" s="603" t="s">
        <v>324</v>
      </c>
      <c r="C31" s="28" t="s">
        <v>238</v>
      </c>
      <c r="D31" s="608"/>
      <c r="E31" s="608"/>
      <c r="F31" s="608"/>
      <c r="G31" s="608"/>
      <c r="H31" s="608">
        <f>1400+378</f>
        <v>1778</v>
      </c>
      <c r="I31" s="608"/>
      <c r="J31" s="608"/>
      <c r="K31" s="608"/>
      <c r="L31" s="608"/>
      <c r="M31" s="608"/>
      <c r="N31" s="608"/>
      <c r="O31" s="608">
        <f t="shared" si="4"/>
        <v>1778</v>
      </c>
      <c r="P31" s="613"/>
      <c r="Q31" s="616"/>
      <c r="R31" s="616"/>
      <c r="S31" s="616"/>
      <c r="T31" s="616"/>
      <c r="U31" s="617">
        <f t="shared" si="5"/>
        <v>0</v>
      </c>
      <c r="V31" s="618"/>
      <c r="W31" s="619">
        <f t="shared" si="6"/>
        <v>1778</v>
      </c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</row>
    <row r="32" spans="1:35" ht="30" hidden="1" customHeight="1" x14ac:dyDescent="0.25">
      <c r="A32" s="82">
        <v>16</v>
      </c>
      <c r="B32" s="140" t="s">
        <v>360</v>
      </c>
      <c r="C32" s="28" t="s">
        <v>219</v>
      </c>
      <c r="D32" s="608">
        <f>1039.407+2718.494+2007.616</f>
        <v>5765.5169999999998</v>
      </c>
      <c r="E32" s="608"/>
      <c r="F32" s="608"/>
      <c r="G32" s="608"/>
      <c r="H32" s="608"/>
      <c r="I32" s="608"/>
      <c r="J32" s="608"/>
      <c r="K32" s="608"/>
      <c r="L32" s="608"/>
      <c r="M32" s="608"/>
      <c r="N32" s="608"/>
      <c r="O32" s="608">
        <f t="shared" si="4"/>
        <v>5765.5169999999998</v>
      </c>
      <c r="P32" s="613"/>
      <c r="Q32" s="616"/>
      <c r="R32" s="616"/>
      <c r="S32" s="616"/>
      <c r="T32" s="616"/>
      <c r="U32" s="617">
        <f t="shared" si="5"/>
        <v>0</v>
      </c>
      <c r="V32" s="618"/>
      <c r="W32" s="619">
        <f t="shared" si="6"/>
        <v>5765.5169999999998</v>
      </c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</row>
    <row r="33" spans="1:35" ht="30" hidden="1" customHeight="1" x14ac:dyDescent="0.25">
      <c r="A33" s="82">
        <v>17</v>
      </c>
      <c r="B33" s="140" t="s">
        <v>365</v>
      </c>
      <c r="C33" s="28" t="s">
        <v>366</v>
      </c>
      <c r="D33" s="608">
        <f>7813.903</f>
        <v>7813.9030000000002</v>
      </c>
      <c r="E33" s="608"/>
      <c r="F33" s="608"/>
      <c r="G33" s="608"/>
      <c r="H33" s="608"/>
      <c r="I33" s="608"/>
      <c r="J33" s="608"/>
      <c r="K33" s="608"/>
      <c r="L33" s="608"/>
      <c r="M33" s="608"/>
      <c r="N33" s="608"/>
      <c r="O33" s="608">
        <f t="shared" si="4"/>
        <v>7813.9030000000002</v>
      </c>
      <c r="P33" s="613"/>
      <c r="Q33" s="616"/>
      <c r="R33" s="616"/>
      <c r="S33" s="616"/>
      <c r="T33" s="616"/>
      <c r="U33" s="617">
        <f t="shared" si="5"/>
        <v>0</v>
      </c>
      <c r="V33" s="618"/>
      <c r="W33" s="619">
        <f t="shared" si="6"/>
        <v>7813.9030000000002</v>
      </c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1:35" ht="30" hidden="1" customHeight="1" x14ac:dyDescent="0.25">
      <c r="A34" s="630">
        <v>18</v>
      </c>
      <c r="B34" s="631" t="s">
        <v>351</v>
      </c>
      <c r="C34" s="28" t="s">
        <v>352</v>
      </c>
      <c r="D34" s="608"/>
      <c r="E34" s="608"/>
      <c r="F34" s="608"/>
      <c r="G34" s="608"/>
      <c r="H34" s="608"/>
      <c r="I34" s="608">
        <f>2200</f>
        <v>2200</v>
      </c>
      <c r="J34" s="608"/>
      <c r="K34" s="608"/>
      <c r="L34" s="608"/>
      <c r="M34" s="608"/>
      <c r="N34" s="608"/>
      <c r="O34" s="608">
        <f>SUM(D34:N34)</f>
        <v>2200</v>
      </c>
      <c r="P34" s="613"/>
      <c r="Q34" s="616"/>
      <c r="R34" s="616"/>
      <c r="S34" s="616"/>
      <c r="T34" s="616"/>
      <c r="U34" s="617">
        <f>SUM(Q34:T34)</f>
        <v>0</v>
      </c>
      <c r="V34" s="618"/>
      <c r="W34" s="619">
        <f>O34+U34</f>
        <v>2200</v>
      </c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</row>
    <row r="35" spans="1:35" ht="30" hidden="1" customHeight="1" x14ac:dyDescent="0.25">
      <c r="A35" s="82"/>
      <c r="B35" s="140"/>
      <c r="C35" s="28"/>
      <c r="D35" s="608"/>
      <c r="E35" s="608"/>
      <c r="F35" s="608"/>
      <c r="G35" s="608"/>
      <c r="H35" s="608"/>
      <c r="I35" s="608"/>
      <c r="J35" s="608"/>
      <c r="K35" s="608"/>
      <c r="L35" s="608"/>
      <c r="M35" s="608"/>
      <c r="N35" s="608"/>
      <c r="O35" s="608">
        <f t="shared" si="4"/>
        <v>0</v>
      </c>
      <c r="P35" s="613"/>
      <c r="Q35" s="616"/>
      <c r="R35" s="616"/>
      <c r="S35" s="616"/>
      <c r="T35" s="616"/>
      <c r="U35" s="617">
        <f t="shared" si="5"/>
        <v>0</v>
      </c>
      <c r="V35" s="618"/>
      <c r="W35" s="619">
        <f t="shared" si="6"/>
        <v>0</v>
      </c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</row>
    <row r="36" spans="1:35" ht="30" hidden="1" customHeight="1" x14ac:dyDescent="0.25">
      <c r="A36" s="82"/>
      <c r="B36" s="140"/>
      <c r="C36" s="28"/>
      <c r="D36" s="608"/>
      <c r="E36" s="608"/>
      <c r="F36" s="608"/>
      <c r="G36" s="608"/>
      <c r="H36" s="608"/>
      <c r="I36" s="608"/>
      <c r="J36" s="608"/>
      <c r="K36" s="608"/>
      <c r="L36" s="608"/>
      <c r="M36" s="608"/>
      <c r="N36" s="608"/>
      <c r="O36" s="608">
        <f t="shared" si="4"/>
        <v>0</v>
      </c>
      <c r="P36" s="613"/>
      <c r="Q36" s="616"/>
      <c r="R36" s="616"/>
      <c r="S36" s="616"/>
      <c r="T36" s="616"/>
      <c r="U36" s="617">
        <f t="shared" si="5"/>
        <v>0</v>
      </c>
      <c r="V36" s="618"/>
      <c r="W36" s="619">
        <f t="shared" si="6"/>
        <v>0</v>
      </c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</row>
    <row r="37" spans="1:35" ht="30" hidden="1" customHeight="1" x14ac:dyDescent="0.25">
      <c r="A37" s="82"/>
      <c r="B37" s="140"/>
      <c r="C37" s="28"/>
      <c r="D37" s="608"/>
      <c r="E37" s="608"/>
      <c r="F37" s="608"/>
      <c r="G37" s="608"/>
      <c r="H37" s="608"/>
      <c r="I37" s="608"/>
      <c r="J37" s="608"/>
      <c r="K37" s="608"/>
      <c r="L37" s="608"/>
      <c r="M37" s="608"/>
      <c r="N37" s="608"/>
      <c r="O37" s="608">
        <f t="shared" si="4"/>
        <v>0</v>
      </c>
      <c r="P37" s="613"/>
      <c r="Q37" s="616"/>
      <c r="R37" s="616"/>
      <c r="S37" s="616"/>
      <c r="T37" s="616"/>
      <c r="U37" s="617">
        <f t="shared" si="5"/>
        <v>0</v>
      </c>
      <c r="V37" s="618"/>
      <c r="W37" s="619">
        <f t="shared" si="6"/>
        <v>0</v>
      </c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</row>
    <row r="38" spans="1:35" ht="30" hidden="1" customHeight="1" x14ac:dyDescent="0.25">
      <c r="A38" s="82"/>
      <c r="B38" s="140"/>
      <c r="C38" s="28"/>
      <c r="D38" s="608"/>
      <c r="E38" s="608"/>
      <c r="F38" s="608"/>
      <c r="G38" s="608"/>
      <c r="H38" s="608"/>
      <c r="I38" s="608"/>
      <c r="J38" s="608"/>
      <c r="K38" s="608"/>
      <c r="L38" s="608"/>
      <c r="M38" s="608"/>
      <c r="N38" s="608"/>
      <c r="O38" s="608">
        <f t="shared" si="4"/>
        <v>0</v>
      </c>
      <c r="P38" s="613"/>
      <c r="Q38" s="616"/>
      <c r="R38" s="616"/>
      <c r="S38" s="616"/>
      <c r="T38" s="616"/>
      <c r="U38" s="617">
        <f t="shared" si="5"/>
        <v>0</v>
      </c>
      <c r="V38" s="618"/>
      <c r="W38" s="619">
        <f t="shared" si="6"/>
        <v>0</v>
      </c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</row>
    <row r="39" spans="1:35" ht="30" hidden="1" customHeight="1" x14ac:dyDescent="0.25">
      <c r="A39" s="82"/>
      <c r="B39" s="140"/>
      <c r="C39" s="28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>
        <f t="shared" si="4"/>
        <v>0</v>
      </c>
      <c r="P39" s="613"/>
      <c r="Q39" s="616"/>
      <c r="R39" s="616"/>
      <c r="S39" s="616"/>
      <c r="T39" s="616"/>
      <c r="U39" s="617">
        <f t="shared" si="5"/>
        <v>0</v>
      </c>
      <c r="V39" s="618"/>
      <c r="W39" s="619">
        <f t="shared" si="6"/>
        <v>0</v>
      </c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70"/>
    </row>
    <row r="40" spans="1:35" ht="30" hidden="1" customHeight="1" x14ac:dyDescent="0.25">
      <c r="A40" s="82"/>
      <c r="B40" s="140"/>
      <c r="C40" s="28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>
        <f t="shared" si="4"/>
        <v>0</v>
      </c>
      <c r="P40" s="613"/>
      <c r="Q40" s="616"/>
      <c r="R40" s="616"/>
      <c r="S40" s="616"/>
      <c r="T40" s="616"/>
      <c r="U40" s="617">
        <f t="shared" si="5"/>
        <v>0</v>
      </c>
      <c r="V40" s="618"/>
      <c r="W40" s="619">
        <f t="shared" si="6"/>
        <v>0</v>
      </c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70"/>
    </row>
    <row r="41" spans="1:35" ht="30" hidden="1" customHeight="1" x14ac:dyDescent="0.25">
      <c r="A41" s="82"/>
      <c r="B41" s="140"/>
      <c r="C41" s="39"/>
      <c r="D41" s="608"/>
      <c r="E41" s="608"/>
      <c r="F41" s="608"/>
      <c r="G41" s="608"/>
      <c r="H41" s="608"/>
      <c r="I41" s="608"/>
      <c r="J41" s="608"/>
      <c r="K41" s="608"/>
      <c r="L41" s="608"/>
      <c r="M41" s="608"/>
      <c r="N41" s="608"/>
      <c r="O41" s="608">
        <f>SUM(D41:N41)</f>
        <v>0</v>
      </c>
      <c r="P41" s="613"/>
      <c r="Q41" s="616"/>
      <c r="R41" s="616"/>
      <c r="S41" s="616"/>
      <c r="T41" s="616"/>
      <c r="U41" s="617">
        <f>SUM(Q41:T41)</f>
        <v>0</v>
      </c>
      <c r="V41" s="618"/>
      <c r="W41" s="619">
        <f>O41+U41</f>
        <v>0</v>
      </c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70"/>
    </row>
    <row r="42" spans="1:35" ht="35.1" hidden="1" customHeight="1" thickBot="1" x14ac:dyDescent="0.3">
      <c r="A42" s="68"/>
      <c r="B42" s="120"/>
      <c r="C42" s="28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08"/>
      <c r="P42" s="613"/>
      <c r="Q42" s="613"/>
      <c r="R42" s="613"/>
      <c r="S42" s="613"/>
      <c r="T42" s="613"/>
      <c r="U42" s="620"/>
      <c r="V42" s="621"/>
      <c r="W42" s="622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70"/>
    </row>
    <row r="43" spans="1:35" ht="35.1" hidden="1" customHeight="1" thickTop="1" thickBot="1" x14ac:dyDescent="0.3">
      <c r="A43" s="35"/>
      <c r="B43" s="36"/>
      <c r="C43" s="44" t="s">
        <v>19</v>
      </c>
      <c r="D43" s="454">
        <f t="shared" ref="D43:O43" si="7">SUM(D17:D42)</f>
        <v>56285.627</v>
      </c>
      <c r="E43" s="454">
        <f t="shared" si="7"/>
        <v>0</v>
      </c>
      <c r="F43" s="454">
        <f t="shared" si="7"/>
        <v>0</v>
      </c>
      <c r="G43" s="454">
        <f t="shared" si="7"/>
        <v>72335</v>
      </c>
      <c r="H43" s="454">
        <f t="shared" si="7"/>
        <v>-12802.287</v>
      </c>
      <c r="I43" s="454">
        <f t="shared" si="7"/>
        <v>2975</v>
      </c>
      <c r="J43" s="454">
        <f t="shared" si="7"/>
        <v>0</v>
      </c>
      <c r="K43" s="454">
        <f t="shared" si="7"/>
        <v>16500</v>
      </c>
      <c r="L43" s="454">
        <f t="shared" si="7"/>
        <v>0</v>
      </c>
      <c r="M43" s="454">
        <f t="shared" si="7"/>
        <v>0</v>
      </c>
      <c r="N43" s="454">
        <f t="shared" si="7"/>
        <v>0</v>
      </c>
      <c r="O43" s="454">
        <f t="shared" si="7"/>
        <v>135293.34</v>
      </c>
      <c r="P43" s="454"/>
      <c r="Q43" s="454">
        <f>SUM(Q17:Q42)</f>
        <v>3900000</v>
      </c>
      <c r="R43" s="454">
        <f>SUM(R17:R42)</f>
        <v>0</v>
      </c>
      <c r="S43" s="454">
        <f>SUM(S17:S42)</f>
        <v>0</v>
      </c>
      <c r="T43" s="454">
        <f>SUM(T17:T42)</f>
        <v>0</v>
      </c>
      <c r="U43" s="454">
        <f>SUM(U17:U42)</f>
        <v>3900000</v>
      </c>
      <c r="V43" s="455"/>
      <c r="W43" s="456">
        <f>SUM(W17:W42)</f>
        <v>4035293.34</v>
      </c>
    </row>
    <row r="44" spans="1:35" ht="35.1" hidden="1" customHeight="1" thickTop="1" thickBot="1" x14ac:dyDescent="0.3">
      <c r="A44" s="35"/>
      <c r="B44" s="36"/>
      <c r="C44" s="44" t="s">
        <v>157</v>
      </c>
      <c r="D44" s="623">
        <f t="shared" ref="D44:O44" si="8">D16+D43</f>
        <v>2162085.6269999999</v>
      </c>
      <c r="E44" s="623">
        <f t="shared" si="8"/>
        <v>0</v>
      </c>
      <c r="F44" s="623">
        <f t="shared" si="8"/>
        <v>52185</v>
      </c>
      <c r="G44" s="623">
        <f t="shared" si="8"/>
        <v>8410407</v>
      </c>
      <c r="H44" s="623">
        <f t="shared" si="8"/>
        <v>2173788.713</v>
      </c>
      <c r="I44" s="623">
        <f t="shared" si="8"/>
        <v>2975</v>
      </c>
      <c r="J44" s="623">
        <f t="shared" si="8"/>
        <v>300000</v>
      </c>
      <c r="K44" s="623">
        <f t="shared" si="8"/>
        <v>16500</v>
      </c>
      <c r="L44" s="623">
        <f t="shared" si="8"/>
        <v>1095678</v>
      </c>
      <c r="M44" s="623">
        <f t="shared" si="8"/>
        <v>21300</v>
      </c>
      <c r="N44" s="623">
        <f t="shared" si="8"/>
        <v>50000</v>
      </c>
      <c r="O44" s="624">
        <f t="shared" si="8"/>
        <v>14284919.34</v>
      </c>
      <c r="P44" s="624"/>
      <c r="Q44" s="624">
        <f>Q16+Q43</f>
        <v>3900000</v>
      </c>
      <c r="R44" s="624">
        <f>R16+R43</f>
        <v>993513</v>
      </c>
      <c r="S44" s="624">
        <f>S16+S43</f>
        <v>0</v>
      </c>
      <c r="T44" s="624">
        <f>T16+T43</f>
        <v>0</v>
      </c>
      <c r="U44" s="624">
        <f>U16+U43</f>
        <v>4893513</v>
      </c>
      <c r="V44" s="625"/>
      <c r="W44" s="626">
        <f t="shared" ref="W44:W60" si="9">O44+U44</f>
        <v>19178432.34</v>
      </c>
    </row>
    <row r="45" spans="1:35" ht="35.1" hidden="1" customHeight="1" thickTop="1" thickBot="1" x14ac:dyDescent="0.3">
      <c r="A45" s="35"/>
      <c r="B45" s="36"/>
      <c r="C45" s="39" t="s">
        <v>312</v>
      </c>
      <c r="D45" s="623"/>
      <c r="E45" s="623"/>
      <c r="F45" s="623"/>
      <c r="G45" s="623"/>
      <c r="H45" s="623"/>
      <c r="I45" s="623"/>
      <c r="J45" s="623"/>
      <c r="K45" s="623"/>
      <c r="L45" s="623"/>
      <c r="M45" s="623"/>
      <c r="N45" s="624"/>
      <c r="O45" s="624"/>
      <c r="P45" s="624"/>
      <c r="Q45" s="624"/>
      <c r="R45" s="624">
        <f>3954084.206+39432+54061.391</f>
        <v>4047577.5969999996</v>
      </c>
      <c r="S45" s="624"/>
      <c r="T45" s="624"/>
      <c r="U45" s="623">
        <f>SUM(Q45:T45)</f>
        <v>4047577.5969999996</v>
      </c>
      <c r="V45" s="627"/>
      <c r="W45" s="626">
        <f t="shared" si="9"/>
        <v>4047577.5969999996</v>
      </c>
    </row>
    <row r="46" spans="1:35" ht="35.1" hidden="1" customHeight="1" thickTop="1" thickBot="1" x14ac:dyDescent="0.3">
      <c r="A46" s="35"/>
      <c r="B46" s="597" t="s">
        <v>180</v>
      </c>
      <c r="C46" s="557" t="s">
        <v>313</v>
      </c>
      <c r="D46" s="623">
        <f t="shared" ref="D46:U46" si="10">D44+D45</f>
        <v>2162085.6269999999</v>
      </c>
      <c r="E46" s="623">
        <f t="shared" si="10"/>
        <v>0</v>
      </c>
      <c r="F46" s="623">
        <f t="shared" si="10"/>
        <v>52185</v>
      </c>
      <c r="G46" s="623">
        <f t="shared" si="10"/>
        <v>8410407</v>
      </c>
      <c r="H46" s="623">
        <f t="shared" si="10"/>
        <v>2173788.713</v>
      </c>
      <c r="I46" s="623">
        <f t="shared" si="10"/>
        <v>2975</v>
      </c>
      <c r="J46" s="623">
        <f t="shared" si="10"/>
        <v>300000</v>
      </c>
      <c r="K46" s="623">
        <f t="shared" si="10"/>
        <v>16500</v>
      </c>
      <c r="L46" s="623">
        <f t="shared" si="10"/>
        <v>1095678</v>
      </c>
      <c r="M46" s="623">
        <f t="shared" si="10"/>
        <v>21300</v>
      </c>
      <c r="N46" s="623">
        <f t="shared" si="10"/>
        <v>50000</v>
      </c>
      <c r="O46" s="624">
        <f t="shared" si="10"/>
        <v>14284919.34</v>
      </c>
      <c r="P46" s="624"/>
      <c r="Q46" s="624">
        <f t="shared" si="10"/>
        <v>3900000</v>
      </c>
      <c r="R46" s="624">
        <f t="shared" si="10"/>
        <v>5041090.5969999991</v>
      </c>
      <c r="S46" s="624">
        <f t="shared" si="10"/>
        <v>0</v>
      </c>
      <c r="T46" s="624">
        <f t="shared" si="10"/>
        <v>0</v>
      </c>
      <c r="U46" s="623">
        <f t="shared" si="10"/>
        <v>8941090.5969999991</v>
      </c>
      <c r="V46" s="627"/>
      <c r="W46" s="626">
        <f t="shared" si="9"/>
        <v>23226009.936999999</v>
      </c>
    </row>
    <row r="47" spans="1:35" ht="24.95" hidden="1" customHeight="1" x14ac:dyDescent="0.25">
      <c r="A47" s="22"/>
      <c r="B47" s="23"/>
      <c r="C47" s="64" t="s">
        <v>18</v>
      </c>
      <c r="D47" s="25">
        <f t="shared" ref="D47:U47" si="11">D46</f>
        <v>2162085.6269999999</v>
      </c>
      <c r="E47" s="25">
        <f t="shared" si="11"/>
        <v>0</v>
      </c>
      <c r="F47" s="25">
        <f t="shared" si="11"/>
        <v>52185</v>
      </c>
      <c r="G47" s="25">
        <f t="shared" si="11"/>
        <v>8410407</v>
      </c>
      <c r="H47" s="25">
        <f t="shared" si="11"/>
        <v>2173788.713</v>
      </c>
      <c r="I47" s="25">
        <f t="shared" si="11"/>
        <v>2975</v>
      </c>
      <c r="J47" s="25">
        <f t="shared" si="11"/>
        <v>300000</v>
      </c>
      <c r="K47" s="25">
        <f t="shared" si="11"/>
        <v>16500</v>
      </c>
      <c r="L47" s="25">
        <f t="shared" si="11"/>
        <v>1095678</v>
      </c>
      <c r="M47" s="25">
        <f t="shared" si="11"/>
        <v>21300</v>
      </c>
      <c r="N47" s="25">
        <f t="shared" si="11"/>
        <v>50000</v>
      </c>
      <c r="O47" s="25">
        <f t="shared" si="11"/>
        <v>14284919.34</v>
      </c>
      <c r="P47" s="25"/>
      <c r="Q47" s="25">
        <f t="shared" si="11"/>
        <v>3900000</v>
      </c>
      <c r="R47" s="25">
        <f>R46</f>
        <v>5041090.5969999991</v>
      </c>
      <c r="S47" s="25">
        <f>S46</f>
        <v>0</v>
      </c>
      <c r="T47" s="25">
        <f t="shared" si="11"/>
        <v>0</v>
      </c>
      <c r="U47" s="25">
        <f t="shared" si="11"/>
        <v>8941090.5969999991</v>
      </c>
      <c r="V47" s="144"/>
      <c r="W47" s="422">
        <f t="shared" si="9"/>
        <v>23226009.936999999</v>
      </c>
    </row>
    <row r="48" spans="1:35" ht="24.95" hidden="1" customHeight="1" x14ac:dyDescent="0.2">
      <c r="A48" s="227">
        <v>1</v>
      </c>
      <c r="B48" s="490" t="s">
        <v>377</v>
      </c>
      <c r="C48" s="28" t="s">
        <v>238</v>
      </c>
      <c r="D48" s="174"/>
      <c r="E48" s="174"/>
      <c r="F48" s="174"/>
      <c r="G48" s="174"/>
      <c r="H48" s="174">
        <f>1016</f>
        <v>1016</v>
      </c>
      <c r="I48" s="174"/>
      <c r="J48" s="174"/>
      <c r="K48" s="174"/>
      <c r="L48" s="174"/>
      <c r="M48" s="174"/>
      <c r="N48" s="174"/>
      <c r="O48" s="174">
        <f t="shared" ref="O48:O81" si="12">SUM(D48:N48)</f>
        <v>1016</v>
      </c>
      <c r="P48" s="174"/>
      <c r="Q48" s="174"/>
      <c r="R48" s="174"/>
      <c r="S48" s="174"/>
      <c r="T48" s="174"/>
      <c r="U48" s="174">
        <f t="shared" ref="U48:U60" si="13">SUM(Q48:T48)</f>
        <v>0</v>
      </c>
      <c r="V48" s="434"/>
      <c r="W48" s="423">
        <f t="shared" si="9"/>
        <v>1016</v>
      </c>
    </row>
    <row r="49" spans="1:23" ht="24.95" hidden="1" customHeight="1" x14ac:dyDescent="0.2">
      <c r="A49" s="227">
        <v>2</v>
      </c>
      <c r="B49" s="490" t="s">
        <v>398</v>
      </c>
      <c r="C49" s="41" t="s">
        <v>399</v>
      </c>
      <c r="D49" s="174">
        <f>7312.719</f>
        <v>7312.7190000000001</v>
      </c>
      <c r="E49" s="174"/>
      <c r="F49" s="174"/>
      <c r="H49" s="174"/>
      <c r="I49" s="174"/>
      <c r="J49" s="174"/>
      <c r="K49" s="174"/>
      <c r="L49" s="174"/>
      <c r="M49" s="174"/>
      <c r="N49" s="174"/>
      <c r="O49" s="174">
        <f t="shared" si="12"/>
        <v>7312.7190000000001</v>
      </c>
      <c r="P49" s="174"/>
      <c r="Q49" s="174"/>
      <c r="R49" s="174"/>
      <c r="S49" s="174"/>
      <c r="T49" s="174"/>
      <c r="U49" s="174">
        <f t="shared" si="13"/>
        <v>0</v>
      </c>
      <c r="V49" s="434"/>
      <c r="W49" s="423">
        <f t="shared" si="9"/>
        <v>7312.7190000000001</v>
      </c>
    </row>
    <row r="50" spans="1:23" ht="24.95" hidden="1" customHeight="1" x14ac:dyDescent="0.2">
      <c r="A50" s="227">
        <v>3</v>
      </c>
      <c r="B50" s="490" t="s">
        <v>429</v>
      </c>
      <c r="C50" s="41" t="s">
        <v>430</v>
      </c>
      <c r="D50" s="174">
        <f>7398.148</f>
        <v>7398.1480000000001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>
        <f t="shared" si="12"/>
        <v>7398.1480000000001</v>
      </c>
      <c r="P50" s="174"/>
      <c r="Q50" s="174"/>
      <c r="R50" s="174"/>
      <c r="S50" s="174"/>
      <c r="T50" s="174"/>
      <c r="U50" s="174">
        <f t="shared" si="13"/>
        <v>0</v>
      </c>
      <c r="V50" s="434"/>
      <c r="W50" s="423">
        <f t="shared" si="9"/>
        <v>7398.1480000000001</v>
      </c>
    </row>
    <row r="51" spans="1:23" ht="24.95" hidden="1" customHeight="1" x14ac:dyDescent="0.2">
      <c r="A51" s="227">
        <v>4</v>
      </c>
      <c r="B51" s="490" t="s">
        <v>431</v>
      </c>
      <c r="C51" s="41" t="s">
        <v>434</v>
      </c>
      <c r="D51" s="174"/>
      <c r="E51" s="174"/>
      <c r="F51" s="174"/>
      <c r="G51" s="174"/>
      <c r="H51" s="174">
        <f>1664</f>
        <v>1664</v>
      </c>
      <c r="I51" s="174"/>
      <c r="J51" s="174"/>
      <c r="K51" s="174"/>
      <c r="L51" s="174"/>
      <c r="M51" s="174"/>
      <c r="N51" s="174"/>
      <c r="O51" s="174">
        <f t="shared" si="12"/>
        <v>1664</v>
      </c>
      <c r="P51" s="174"/>
      <c r="Q51" s="174"/>
      <c r="R51" s="174"/>
      <c r="S51" s="174"/>
      <c r="T51" s="174"/>
      <c r="U51" s="174">
        <f t="shared" si="13"/>
        <v>0</v>
      </c>
      <c r="V51" s="434"/>
      <c r="W51" s="423">
        <f t="shared" si="9"/>
        <v>1664</v>
      </c>
    </row>
    <row r="52" spans="1:23" ht="24.95" hidden="1" customHeight="1" x14ac:dyDescent="0.2">
      <c r="A52" s="227">
        <v>5</v>
      </c>
      <c r="B52" s="490" t="s">
        <v>432</v>
      </c>
      <c r="C52" s="41" t="s">
        <v>435</v>
      </c>
      <c r="D52" s="174"/>
      <c r="E52" s="174"/>
      <c r="F52" s="174"/>
      <c r="G52" s="174"/>
      <c r="H52" s="174">
        <f>132+26+89</f>
        <v>247</v>
      </c>
      <c r="I52" s="174">
        <f>70</f>
        <v>70</v>
      </c>
      <c r="J52" s="174"/>
      <c r="K52" s="174"/>
      <c r="L52" s="174"/>
      <c r="M52" s="174"/>
      <c r="N52" s="174"/>
      <c r="O52" s="174">
        <f t="shared" si="12"/>
        <v>317</v>
      </c>
      <c r="P52" s="174"/>
      <c r="Q52" s="174"/>
      <c r="R52" s="174"/>
      <c r="S52" s="174"/>
      <c r="T52" s="174"/>
      <c r="U52" s="174">
        <f t="shared" si="13"/>
        <v>0</v>
      </c>
      <c r="V52" s="434"/>
      <c r="W52" s="423">
        <f t="shared" si="9"/>
        <v>317</v>
      </c>
    </row>
    <row r="53" spans="1:23" ht="24.95" hidden="1" customHeight="1" x14ac:dyDescent="0.2">
      <c r="A53" s="227">
        <v>6</v>
      </c>
      <c r="B53" s="681" t="s">
        <v>433</v>
      </c>
      <c r="C53" s="678" t="s">
        <v>436</v>
      </c>
      <c r="D53" s="174"/>
      <c r="E53" s="174"/>
      <c r="F53" s="174">
        <f>85</f>
        <v>85</v>
      </c>
      <c r="G53" s="174"/>
      <c r="H53" s="174"/>
      <c r="I53" s="174">
        <f>100</f>
        <v>100</v>
      </c>
      <c r="J53" s="174"/>
      <c r="K53" s="174"/>
      <c r="L53" s="174"/>
      <c r="M53" s="174"/>
      <c r="N53" s="174"/>
      <c r="O53" s="174">
        <f t="shared" si="12"/>
        <v>185</v>
      </c>
      <c r="P53" s="174"/>
      <c r="Q53" s="174"/>
      <c r="R53" s="174"/>
      <c r="S53" s="174"/>
      <c r="T53" s="174"/>
      <c r="U53" s="174">
        <f t="shared" si="13"/>
        <v>0</v>
      </c>
      <c r="V53" s="434"/>
      <c r="W53" s="423">
        <f t="shared" si="9"/>
        <v>185</v>
      </c>
    </row>
    <row r="54" spans="1:23" ht="24.95" hidden="1" customHeight="1" x14ac:dyDescent="0.2">
      <c r="A54" s="227">
        <v>7</v>
      </c>
      <c r="B54" s="694" t="s">
        <v>451</v>
      </c>
      <c r="C54" s="41" t="s">
        <v>238</v>
      </c>
      <c r="D54" s="174"/>
      <c r="E54" s="174"/>
      <c r="F54" s="174"/>
      <c r="G54" s="174"/>
      <c r="H54" s="174">
        <f>700+189</f>
        <v>889</v>
      </c>
      <c r="I54" s="174"/>
      <c r="J54" s="174"/>
      <c r="K54" s="174"/>
      <c r="L54" s="174"/>
      <c r="M54" s="174"/>
      <c r="N54" s="174"/>
      <c r="O54" s="174">
        <f t="shared" si="12"/>
        <v>889</v>
      </c>
      <c r="P54" s="174"/>
      <c r="Q54" s="174"/>
      <c r="R54" s="174"/>
      <c r="S54" s="174"/>
      <c r="T54" s="174"/>
      <c r="U54" s="174">
        <f t="shared" si="13"/>
        <v>0</v>
      </c>
      <c r="V54" s="434"/>
      <c r="W54" s="423">
        <f t="shared" si="9"/>
        <v>889</v>
      </c>
    </row>
    <row r="55" spans="1:23" ht="24.95" hidden="1" customHeight="1" x14ac:dyDescent="0.2">
      <c r="A55" s="227">
        <v>8</v>
      </c>
      <c r="B55" s="496" t="s">
        <v>454</v>
      </c>
      <c r="C55" s="41" t="s">
        <v>453</v>
      </c>
      <c r="D55" s="174">
        <f>2021.653</f>
        <v>2021.653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>
        <f t="shared" si="12"/>
        <v>2021.653</v>
      </c>
      <c r="P55" s="174"/>
      <c r="Q55" s="174"/>
      <c r="R55" s="174"/>
      <c r="S55" s="174"/>
      <c r="T55" s="174"/>
      <c r="U55" s="174">
        <f t="shared" si="13"/>
        <v>0</v>
      </c>
      <c r="V55" s="434"/>
      <c r="W55" s="423">
        <f t="shared" si="9"/>
        <v>2021.653</v>
      </c>
    </row>
    <row r="56" spans="1:23" ht="24.95" hidden="1" customHeight="1" x14ac:dyDescent="0.2">
      <c r="A56" s="227">
        <v>9</v>
      </c>
      <c r="B56" s="491" t="s">
        <v>454</v>
      </c>
      <c r="C56" s="28" t="s">
        <v>457</v>
      </c>
      <c r="D56" s="174">
        <f>5178.432</f>
        <v>5178.4319999999998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>
        <f t="shared" si="12"/>
        <v>5178.4319999999998</v>
      </c>
      <c r="P56" s="174"/>
      <c r="Q56" s="174"/>
      <c r="R56" s="174"/>
      <c r="S56" s="174"/>
      <c r="T56" s="174"/>
      <c r="U56" s="174">
        <f t="shared" si="13"/>
        <v>0</v>
      </c>
      <c r="V56" s="434"/>
      <c r="W56" s="423">
        <f t="shared" si="9"/>
        <v>5178.4319999999998</v>
      </c>
    </row>
    <row r="57" spans="1:23" ht="24.95" hidden="1" customHeight="1" x14ac:dyDescent="0.2">
      <c r="A57" s="227">
        <v>10</v>
      </c>
      <c r="B57" s="491" t="s">
        <v>454</v>
      </c>
      <c r="C57" s="28" t="s">
        <v>458</v>
      </c>
      <c r="D57" s="174">
        <f>3859.403</f>
        <v>3859.4029999999998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>
        <f t="shared" si="12"/>
        <v>3859.4029999999998</v>
      </c>
      <c r="P57" s="174"/>
      <c r="Q57" s="174"/>
      <c r="R57" s="174"/>
      <c r="S57" s="174"/>
      <c r="T57" s="174"/>
      <c r="U57" s="174">
        <f t="shared" si="13"/>
        <v>0</v>
      </c>
      <c r="V57" s="434"/>
      <c r="W57" s="423">
        <f t="shared" si="9"/>
        <v>3859.4029999999998</v>
      </c>
    </row>
    <row r="58" spans="1:23" ht="24.95" hidden="1" customHeight="1" x14ac:dyDescent="0.2">
      <c r="A58" s="227">
        <v>11</v>
      </c>
      <c r="B58" s="491" t="s">
        <v>459</v>
      </c>
      <c r="C58" s="28" t="s">
        <v>460</v>
      </c>
      <c r="D58" s="174">
        <f>7919.281</f>
        <v>7919.2809999999999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>
        <f t="shared" si="12"/>
        <v>7919.2809999999999</v>
      </c>
      <c r="P58" s="174"/>
      <c r="Q58" s="174"/>
      <c r="R58" s="174"/>
      <c r="S58" s="174"/>
      <c r="T58" s="174"/>
      <c r="U58" s="174">
        <f t="shared" si="13"/>
        <v>0</v>
      </c>
      <c r="V58" s="434"/>
      <c r="W58" s="423">
        <f t="shared" si="9"/>
        <v>7919.2809999999999</v>
      </c>
    </row>
    <row r="59" spans="1:23" ht="24.95" hidden="1" customHeight="1" x14ac:dyDescent="0.2">
      <c r="A59" s="227">
        <v>12</v>
      </c>
      <c r="B59" s="697" t="s">
        <v>463</v>
      </c>
      <c r="C59" s="28" t="s">
        <v>465</v>
      </c>
      <c r="D59" s="174"/>
      <c r="E59" s="174"/>
      <c r="F59" s="174"/>
      <c r="G59" s="174"/>
      <c r="H59" s="174"/>
      <c r="I59" s="174">
        <f>225</f>
        <v>225</v>
      </c>
      <c r="J59" s="174"/>
      <c r="K59" s="174"/>
      <c r="L59" s="174"/>
      <c r="M59" s="174"/>
      <c r="N59" s="174"/>
      <c r="O59" s="174">
        <f t="shared" si="12"/>
        <v>225</v>
      </c>
      <c r="P59" s="174"/>
      <c r="Q59" s="174"/>
      <c r="R59" s="174"/>
      <c r="S59" s="174"/>
      <c r="T59" s="174"/>
      <c r="U59" s="174">
        <f t="shared" si="13"/>
        <v>0</v>
      </c>
      <c r="V59" s="434"/>
      <c r="W59" s="423">
        <f t="shared" si="9"/>
        <v>225</v>
      </c>
    </row>
    <row r="60" spans="1:23" ht="24.95" hidden="1" customHeight="1" x14ac:dyDescent="0.2">
      <c r="A60" s="227">
        <v>13</v>
      </c>
      <c r="B60" s="696" t="s">
        <v>499</v>
      </c>
      <c r="C60" s="28" t="s">
        <v>498</v>
      </c>
      <c r="D60" s="174">
        <f>-0.18+1972.05-729.48+0.426-904.896-337.92+13211.379+907.95</f>
        <v>14119.329000000002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>
        <f t="shared" si="12"/>
        <v>14119.329000000002</v>
      </c>
      <c r="P60" s="174"/>
      <c r="Q60" s="174"/>
      <c r="R60" s="174"/>
      <c r="S60" s="174"/>
      <c r="T60" s="174"/>
      <c r="U60" s="174">
        <f t="shared" si="13"/>
        <v>0</v>
      </c>
      <c r="V60" s="434"/>
      <c r="W60" s="423">
        <f t="shared" si="9"/>
        <v>14119.329000000002</v>
      </c>
    </row>
    <row r="61" spans="1:23" ht="24.95" hidden="1" customHeight="1" x14ac:dyDescent="0.2">
      <c r="A61" s="40"/>
      <c r="B61" s="31"/>
      <c r="C61" s="28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434"/>
      <c r="W61" s="423"/>
    </row>
    <row r="62" spans="1:23" ht="24.95" hidden="1" customHeight="1" x14ac:dyDescent="0.2">
      <c r="A62" s="40"/>
      <c r="B62" s="32"/>
      <c r="C62" s="28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>
        <f t="shared" si="12"/>
        <v>0</v>
      </c>
      <c r="P62" s="174"/>
      <c r="Q62" s="174"/>
      <c r="R62" s="174"/>
      <c r="S62" s="174"/>
      <c r="T62" s="174"/>
      <c r="U62" s="174"/>
      <c r="V62" s="434"/>
      <c r="W62" s="423"/>
    </row>
    <row r="63" spans="1:23" ht="24.95" hidden="1" customHeight="1" x14ac:dyDescent="0.2">
      <c r="A63" s="40"/>
      <c r="B63" s="32"/>
      <c r="C63" s="41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>
        <f t="shared" si="12"/>
        <v>0</v>
      </c>
      <c r="P63" s="174"/>
      <c r="Q63" s="174"/>
      <c r="R63" s="174"/>
      <c r="S63" s="174"/>
      <c r="T63" s="174"/>
      <c r="U63" s="174"/>
      <c r="V63" s="434"/>
      <c r="W63" s="423"/>
    </row>
    <row r="64" spans="1:23" ht="24.95" hidden="1" customHeight="1" x14ac:dyDescent="0.2">
      <c r="A64" s="40"/>
      <c r="B64" s="31"/>
      <c r="C64" s="41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>
        <f t="shared" si="12"/>
        <v>0</v>
      </c>
      <c r="P64" s="174"/>
      <c r="Q64" s="174"/>
      <c r="R64" s="174"/>
      <c r="S64" s="174"/>
      <c r="T64" s="174"/>
      <c r="U64" s="174"/>
      <c r="V64" s="434"/>
      <c r="W64" s="423"/>
    </row>
    <row r="65" spans="1:23" ht="24.95" hidden="1" customHeight="1" x14ac:dyDescent="0.2">
      <c r="A65" s="40"/>
      <c r="B65" s="31"/>
      <c r="C65" s="41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>
        <f t="shared" si="12"/>
        <v>0</v>
      </c>
      <c r="P65" s="174"/>
      <c r="Q65" s="174"/>
      <c r="R65" s="174"/>
      <c r="S65" s="174"/>
      <c r="T65" s="174"/>
      <c r="U65" s="174"/>
      <c r="V65" s="434"/>
      <c r="W65" s="423"/>
    </row>
    <row r="66" spans="1:23" ht="24.95" hidden="1" customHeight="1" x14ac:dyDescent="0.2">
      <c r="A66" s="40"/>
      <c r="B66" s="31"/>
      <c r="C66" s="127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>
        <f t="shared" si="12"/>
        <v>0</v>
      </c>
      <c r="P66" s="174"/>
      <c r="Q66" s="174"/>
      <c r="R66" s="174"/>
      <c r="S66" s="174"/>
      <c r="T66" s="174"/>
      <c r="U66" s="174"/>
      <c r="V66" s="434"/>
      <c r="W66" s="423"/>
    </row>
    <row r="67" spans="1:23" ht="24.95" hidden="1" customHeight="1" x14ac:dyDescent="0.2">
      <c r="A67" s="40"/>
      <c r="B67" s="31"/>
      <c r="C67" s="127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>
        <f t="shared" si="12"/>
        <v>0</v>
      </c>
      <c r="P67" s="174"/>
      <c r="Q67" s="174"/>
      <c r="R67" s="174"/>
      <c r="S67" s="174"/>
      <c r="T67" s="174"/>
      <c r="U67" s="174"/>
      <c r="V67" s="434"/>
      <c r="W67" s="423"/>
    </row>
    <row r="68" spans="1:23" ht="24.95" hidden="1" customHeight="1" x14ac:dyDescent="0.2">
      <c r="A68" s="40"/>
      <c r="B68" s="31"/>
      <c r="C68" s="41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>
        <f t="shared" si="12"/>
        <v>0</v>
      </c>
      <c r="P68" s="174"/>
      <c r="Q68" s="174"/>
      <c r="R68" s="174"/>
      <c r="S68" s="174"/>
      <c r="T68" s="174"/>
      <c r="U68" s="174"/>
      <c r="V68" s="434"/>
      <c r="W68" s="423"/>
    </row>
    <row r="69" spans="1:23" ht="24.95" hidden="1" customHeight="1" x14ac:dyDescent="0.2">
      <c r="A69" s="40"/>
      <c r="B69" s="31"/>
      <c r="C69" s="41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>
        <f t="shared" si="12"/>
        <v>0</v>
      </c>
      <c r="P69" s="174"/>
      <c r="Q69" s="174"/>
      <c r="R69" s="174"/>
      <c r="S69" s="174"/>
      <c r="T69" s="174"/>
      <c r="U69" s="174"/>
      <c r="V69" s="434"/>
      <c r="W69" s="423"/>
    </row>
    <row r="70" spans="1:23" ht="24.95" hidden="1" customHeight="1" x14ac:dyDescent="0.2">
      <c r="A70" s="40"/>
      <c r="B70" s="31"/>
      <c r="C70" s="41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>
        <f t="shared" si="12"/>
        <v>0</v>
      </c>
      <c r="P70" s="174"/>
      <c r="Q70" s="174"/>
      <c r="R70" s="174"/>
      <c r="S70" s="174"/>
      <c r="T70" s="174"/>
      <c r="U70" s="174"/>
      <c r="V70" s="434"/>
      <c r="W70" s="423"/>
    </row>
    <row r="71" spans="1:23" ht="24.95" hidden="1" customHeight="1" x14ac:dyDescent="0.2">
      <c r="A71" s="40"/>
      <c r="B71" s="31"/>
      <c r="C71" s="41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>
        <f t="shared" si="12"/>
        <v>0</v>
      </c>
      <c r="P71" s="174"/>
      <c r="Q71" s="174"/>
      <c r="R71" s="174"/>
      <c r="S71" s="174"/>
      <c r="T71" s="174"/>
      <c r="U71" s="174"/>
      <c r="V71" s="434"/>
      <c r="W71" s="423"/>
    </row>
    <row r="72" spans="1:23" ht="24.95" hidden="1" customHeight="1" x14ac:dyDescent="0.2">
      <c r="A72" s="40"/>
      <c r="B72" s="31"/>
      <c r="C72" s="41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>
        <f t="shared" si="12"/>
        <v>0</v>
      </c>
      <c r="P72" s="174"/>
      <c r="Q72" s="174"/>
      <c r="R72" s="174"/>
      <c r="S72" s="174"/>
      <c r="T72" s="174"/>
      <c r="U72" s="174"/>
      <c r="V72" s="434"/>
      <c r="W72" s="423"/>
    </row>
    <row r="73" spans="1:23" ht="24.95" hidden="1" customHeight="1" x14ac:dyDescent="0.2">
      <c r="A73" s="40"/>
      <c r="B73" s="126"/>
      <c r="C73" s="41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>
        <f t="shared" si="12"/>
        <v>0</v>
      </c>
      <c r="P73" s="174"/>
      <c r="Q73" s="174"/>
      <c r="R73" s="174"/>
      <c r="S73" s="174"/>
      <c r="T73" s="174"/>
      <c r="U73" s="174"/>
      <c r="V73" s="434"/>
      <c r="W73" s="423"/>
    </row>
    <row r="74" spans="1:23" ht="24.95" hidden="1" customHeight="1" x14ac:dyDescent="0.2">
      <c r="A74" s="40"/>
      <c r="B74" s="126"/>
      <c r="C74" s="41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>
        <f t="shared" si="12"/>
        <v>0</v>
      </c>
      <c r="P74" s="174"/>
      <c r="Q74" s="174"/>
      <c r="R74" s="174"/>
      <c r="S74" s="174"/>
      <c r="T74" s="174"/>
      <c r="U74" s="174"/>
      <c r="V74" s="434"/>
      <c r="W74" s="423"/>
    </row>
    <row r="75" spans="1:23" ht="24.95" hidden="1" customHeight="1" x14ac:dyDescent="0.2">
      <c r="A75" s="40"/>
      <c r="B75" s="126"/>
      <c r="C75" s="41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>
        <f t="shared" si="12"/>
        <v>0</v>
      </c>
      <c r="P75" s="174"/>
      <c r="Q75" s="174"/>
      <c r="R75" s="174"/>
      <c r="S75" s="174"/>
      <c r="T75" s="174"/>
      <c r="U75" s="174"/>
      <c r="V75" s="434"/>
      <c r="W75" s="423"/>
    </row>
    <row r="76" spans="1:23" ht="24.95" hidden="1" customHeight="1" x14ac:dyDescent="0.2">
      <c r="A76" s="40"/>
      <c r="B76" s="126"/>
      <c r="C76" s="41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>
        <f t="shared" si="12"/>
        <v>0</v>
      </c>
      <c r="P76" s="174"/>
      <c r="Q76" s="174"/>
      <c r="R76" s="174"/>
      <c r="S76" s="174"/>
      <c r="T76" s="174"/>
      <c r="U76" s="174"/>
      <c r="V76" s="434"/>
      <c r="W76" s="423"/>
    </row>
    <row r="77" spans="1:23" ht="24.95" hidden="1" customHeight="1" x14ac:dyDescent="0.2">
      <c r="A77" s="40"/>
      <c r="B77" s="126"/>
      <c r="C77" s="41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>
        <f t="shared" si="12"/>
        <v>0</v>
      </c>
      <c r="P77" s="174"/>
      <c r="Q77" s="174"/>
      <c r="R77" s="174"/>
      <c r="S77" s="174"/>
      <c r="T77" s="174"/>
      <c r="U77" s="174"/>
      <c r="V77" s="434"/>
      <c r="W77" s="423"/>
    </row>
    <row r="78" spans="1:23" ht="24.95" hidden="1" customHeight="1" x14ac:dyDescent="0.2">
      <c r="A78" s="40"/>
      <c r="B78" s="126"/>
      <c r="C78" s="41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>
        <f t="shared" si="12"/>
        <v>0</v>
      </c>
      <c r="P78" s="174"/>
      <c r="Q78" s="174"/>
      <c r="R78" s="174"/>
      <c r="S78" s="174"/>
      <c r="T78" s="174"/>
      <c r="U78" s="174"/>
      <c r="V78" s="434"/>
      <c r="W78" s="423"/>
    </row>
    <row r="79" spans="1:23" ht="24.95" hidden="1" customHeight="1" x14ac:dyDescent="0.2">
      <c r="A79" s="40"/>
      <c r="B79" s="126"/>
      <c r="C79" s="41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>
        <f t="shared" si="12"/>
        <v>0</v>
      </c>
      <c r="P79" s="174"/>
      <c r="Q79" s="174"/>
      <c r="R79" s="174"/>
      <c r="S79" s="174"/>
      <c r="T79" s="174"/>
      <c r="U79" s="174"/>
      <c r="V79" s="434"/>
      <c r="W79" s="423"/>
    </row>
    <row r="80" spans="1:23" ht="24.95" hidden="1" customHeight="1" x14ac:dyDescent="0.2">
      <c r="A80" s="40"/>
      <c r="B80" s="126"/>
      <c r="C80" s="41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>
        <f t="shared" si="12"/>
        <v>0</v>
      </c>
      <c r="P80" s="174"/>
      <c r="Q80" s="174"/>
      <c r="R80" s="174"/>
      <c r="S80" s="174"/>
      <c r="T80" s="174"/>
      <c r="U80" s="174"/>
      <c r="V80" s="434"/>
      <c r="W80" s="423"/>
    </row>
    <row r="81" spans="1:23" ht="24.95" hidden="1" customHeight="1" x14ac:dyDescent="0.2">
      <c r="A81" s="40"/>
      <c r="B81" s="126"/>
      <c r="C81" s="41" t="s">
        <v>68</v>
      </c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>
        <f t="shared" si="12"/>
        <v>0</v>
      </c>
      <c r="P81" s="174"/>
      <c r="Q81" s="174"/>
      <c r="R81" s="174"/>
      <c r="S81" s="174"/>
      <c r="T81" s="174"/>
      <c r="U81" s="174"/>
      <c r="V81" s="434"/>
      <c r="W81" s="423"/>
    </row>
    <row r="82" spans="1:23" ht="24.95" hidden="1" customHeight="1" thickBot="1" x14ac:dyDescent="0.25">
      <c r="A82" s="40"/>
      <c r="B82" s="106"/>
      <c r="C82" s="10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435"/>
      <c r="W82" s="424"/>
    </row>
    <row r="83" spans="1:23" ht="24.95" hidden="1" customHeight="1" thickTop="1" thickBot="1" x14ac:dyDescent="0.25">
      <c r="A83" s="47"/>
      <c r="B83" s="111" t="s">
        <v>185</v>
      </c>
      <c r="C83" s="44" t="s">
        <v>19</v>
      </c>
      <c r="D83" s="178">
        <f t="shared" ref="D83:O83" si="14">SUM(D48:D82)</f>
        <v>47808.964999999997</v>
      </c>
      <c r="E83" s="211">
        <f t="shared" si="14"/>
        <v>0</v>
      </c>
      <c r="F83" s="178">
        <f t="shared" si="14"/>
        <v>85</v>
      </c>
      <c r="G83" s="178">
        <f t="shared" si="14"/>
        <v>0</v>
      </c>
      <c r="H83" s="178">
        <f t="shared" si="14"/>
        <v>3816</v>
      </c>
      <c r="I83" s="178">
        <f t="shared" si="14"/>
        <v>395</v>
      </c>
      <c r="J83" s="178">
        <f t="shared" si="14"/>
        <v>0</v>
      </c>
      <c r="K83" s="178">
        <f t="shared" si="14"/>
        <v>0</v>
      </c>
      <c r="L83" s="178">
        <f t="shared" si="14"/>
        <v>0</v>
      </c>
      <c r="M83" s="178">
        <f t="shared" si="14"/>
        <v>0</v>
      </c>
      <c r="N83" s="178">
        <f t="shared" si="14"/>
        <v>0</v>
      </c>
      <c r="O83" s="178">
        <f t="shared" si="14"/>
        <v>52104.964999999997</v>
      </c>
      <c r="P83" s="178"/>
      <c r="Q83" s="178">
        <f>SUM(Q48:Q82)</f>
        <v>0</v>
      </c>
      <c r="R83" s="178">
        <f>SUM(R48:R82)</f>
        <v>0</v>
      </c>
      <c r="S83" s="178">
        <f>SUM(S48:S82)</f>
        <v>0</v>
      </c>
      <c r="T83" s="178">
        <f>SUM(T48:T82)</f>
        <v>0</v>
      </c>
      <c r="U83" s="178">
        <f>SUM(U48:U82)</f>
        <v>0</v>
      </c>
      <c r="V83" s="189"/>
      <c r="W83" s="425">
        <f>SUM(W48:W82)</f>
        <v>52104.964999999997</v>
      </c>
    </row>
    <row r="84" spans="1:23" ht="24.95" hidden="1" customHeight="1" thickTop="1" x14ac:dyDescent="0.2">
      <c r="A84" s="40"/>
      <c r="B84" s="31"/>
      <c r="C84" s="41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>
        <f t="shared" ref="O84:O94" si="15">SUM(D84:N84)</f>
        <v>0</v>
      </c>
      <c r="P84" s="174"/>
      <c r="Q84" s="174"/>
      <c r="R84" s="174"/>
      <c r="S84" s="174"/>
      <c r="T84" s="174"/>
      <c r="U84" s="174">
        <f t="shared" ref="U84:U94" si="16">SUM(Q84:T84)</f>
        <v>0</v>
      </c>
      <c r="V84" s="434"/>
      <c r="W84" s="423">
        <f t="shared" ref="W84:W93" si="17">O84+U84</f>
        <v>0</v>
      </c>
    </row>
    <row r="85" spans="1:23" ht="24.95" hidden="1" customHeight="1" x14ac:dyDescent="0.2">
      <c r="A85" s="40"/>
      <c r="B85" s="31"/>
      <c r="C85" s="41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>
        <f t="shared" si="15"/>
        <v>0</v>
      </c>
      <c r="P85" s="174"/>
      <c r="Q85" s="174"/>
      <c r="R85" s="174"/>
      <c r="S85" s="174"/>
      <c r="T85" s="174"/>
      <c r="U85" s="174">
        <f t="shared" si="16"/>
        <v>0</v>
      </c>
      <c r="V85" s="434"/>
      <c r="W85" s="423">
        <f t="shared" si="17"/>
        <v>0</v>
      </c>
    </row>
    <row r="86" spans="1:23" ht="24.95" hidden="1" customHeight="1" x14ac:dyDescent="0.2">
      <c r="A86" s="40"/>
      <c r="B86" s="32"/>
      <c r="C86" s="41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>
        <f t="shared" si="15"/>
        <v>0</v>
      </c>
      <c r="P86" s="174"/>
      <c r="Q86" s="174"/>
      <c r="R86" s="174"/>
      <c r="S86" s="174"/>
      <c r="T86" s="174"/>
      <c r="U86" s="174">
        <f t="shared" si="16"/>
        <v>0</v>
      </c>
      <c r="V86" s="434"/>
      <c r="W86" s="423">
        <f t="shared" si="17"/>
        <v>0</v>
      </c>
    </row>
    <row r="87" spans="1:23" ht="24.95" hidden="1" customHeight="1" x14ac:dyDescent="0.2">
      <c r="A87" s="40"/>
      <c r="B87" s="32"/>
      <c r="C87" s="41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>
        <f t="shared" si="15"/>
        <v>0</v>
      </c>
      <c r="P87" s="174"/>
      <c r="Q87" s="174"/>
      <c r="R87" s="174"/>
      <c r="S87" s="174"/>
      <c r="T87" s="174"/>
      <c r="U87" s="174">
        <f t="shared" si="16"/>
        <v>0</v>
      </c>
      <c r="V87" s="434"/>
      <c r="W87" s="423">
        <f t="shared" si="17"/>
        <v>0</v>
      </c>
    </row>
    <row r="88" spans="1:23" ht="24.95" hidden="1" customHeight="1" x14ac:dyDescent="0.2">
      <c r="A88" s="40"/>
      <c r="B88" s="32"/>
      <c r="C88" s="41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>
        <f t="shared" si="15"/>
        <v>0</v>
      </c>
      <c r="P88" s="174"/>
      <c r="Q88" s="174"/>
      <c r="R88" s="174"/>
      <c r="S88" s="174"/>
      <c r="T88" s="174"/>
      <c r="U88" s="174">
        <f t="shared" si="16"/>
        <v>0</v>
      </c>
      <c r="V88" s="434"/>
      <c r="W88" s="423">
        <f t="shared" si="17"/>
        <v>0</v>
      </c>
    </row>
    <row r="89" spans="1:23" ht="24.95" hidden="1" customHeight="1" x14ac:dyDescent="0.2">
      <c r="A89" s="40"/>
      <c r="B89" s="32"/>
      <c r="C89" s="41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>
        <f t="shared" si="15"/>
        <v>0</v>
      </c>
      <c r="P89" s="174"/>
      <c r="Q89" s="174"/>
      <c r="R89" s="174"/>
      <c r="S89" s="174"/>
      <c r="T89" s="174"/>
      <c r="U89" s="174">
        <f t="shared" si="16"/>
        <v>0</v>
      </c>
      <c r="V89" s="434"/>
      <c r="W89" s="423">
        <f t="shared" si="17"/>
        <v>0</v>
      </c>
    </row>
    <row r="90" spans="1:23" ht="24.95" hidden="1" customHeight="1" x14ac:dyDescent="0.2">
      <c r="A90" s="40"/>
      <c r="B90" s="32"/>
      <c r="C90" s="41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>
        <f t="shared" si="15"/>
        <v>0</v>
      </c>
      <c r="P90" s="174"/>
      <c r="Q90" s="174"/>
      <c r="R90" s="174"/>
      <c r="S90" s="174"/>
      <c r="T90" s="174"/>
      <c r="U90" s="174">
        <f t="shared" si="16"/>
        <v>0</v>
      </c>
      <c r="V90" s="434"/>
      <c r="W90" s="423">
        <f t="shared" si="17"/>
        <v>0</v>
      </c>
    </row>
    <row r="91" spans="1:23" ht="24.95" hidden="1" customHeight="1" x14ac:dyDescent="0.2">
      <c r="A91" s="40"/>
      <c r="B91" s="31"/>
      <c r="C91" s="41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>
        <f t="shared" si="15"/>
        <v>0</v>
      </c>
      <c r="P91" s="174"/>
      <c r="Q91" s="174"/>
      <c r="R91" s="174"/>
      <c r="S91" s="174"/>
      <c r="T91" s="174"/>
      <c r="U91" s="174">
        <f t="shared" si="16"/>
        <v>0</v>
      </c>
      <c r="V91" s="434"/>
      <c r="W91" s="423">
        <f t="shared" si="17"/>
        <v>0</v>
      </c>
    </row>
    <row r="92" spans="1:23" ht="24.95" hidden="1" customHeight="1" x14ac:dyDescent="0.2">
      <c r="A92" s="40"/>
      <c r="B92" s="31"/>
      <c r="C92" s="41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>
        <f t="shared" si="15"/>
        <v>0</v>
      </c>
      <c r="P92" s="174"/>
      <c r="Q92" s="174"/>
      <c r="R92" s="174"/>
      <c r="S92" s="174"/>
      <c r="T92" s="174"/>
      <c r="U92" s="174">
        <f t="shared" si="16"/>
        <v>0</v>
      </c>
      <c r="V92" s="434"/>
      <c r="W92" s="423">
        <f t="shared" si="17"/>
        <v>0</v>
      </c>
    </row>
    <row r="93" spans="1:23" ht="24.95" hidden="1" customHeight="1" x14ac:dyDescent="0.2">
      <c r="A93" s="40"/>
      <c r="B93" s="31"/>
      <c r="C93" s="41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>
        <f t="shared" si="15"/>
        <v>0</v>
      </c>
      <c r="P93" s="174"/>
      <c r="Q93" s="174"/>
      <c r="R93" s="174"/>
      <c r="S93" s="174"/>
      <c r="T93" s="174"/>
      <c r="U93" s="174">
        <f t="shared" si="16"/>
        <v>0</v>
      </c>
      <c r="V93" s="434"/>
      <c r="W93" s="423">
        <f t="shared" si="17"/>
        <v>0</v>
      </c>
    </row>
    <row r="94" spans="1:23" ht="24.95" hidden="1" customHeight="1" thickBot="1" x14ac:dyDescent="0.25">
      <c r="A94" s="40"/>
      <c r="B94" s="32"/>
      <c r="C94" s="3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>
        <f t="shared" si="15"/>
        <v>0</v>
      </c>
      <c r="P94" s="174"/>
      <c r="Q94" s="174"/>
      <c r="R94" s="174"/>
      <c r="S94" s="174"/>
      <c r="T94" s="174"/>
      <c r="U94" s="174">
        <f t="shared" si="16"/>
        <v>0</v>
      </c>
      <c r="V94" s="434"/>
      <c r="W94" s="423"/>
    </row>
    <row r="95" spans="1:23" ht="24.95" hidden="1" customHeight="1" thickTop="1" thickBot="1" x14ac:dyDescent="0.25">
      <c r="A95" s="42"/>
      <c r="B95" s="112" t="s">
        <v>62</v>
      </c>
      <c r="C95" s="44" t="s">
        <v>19</v>
      </c>
      <c r="D95" s="178">
        <f t="shared" ref="D95:Q95" si="18">SUM(D84:D87)</f>
        <v>0</v>
      </c>
      <c r="E95" s="178">
        <f t="shared" si="18"/>
        <v>0</v>
      </c>
      <c r="F95" s="178">
        <f t="shared" si="18"/>
        <v>0</v>
      </c>
      <c r="G95" s="178">
        <f t="shared" si="18"/>
        <v>0</v>
      </c>
      <c r="H95" s="178">
        <f t="shared" si="18"/>
        <v>0</v>
      </c>
      <c r="I95" s="178">
        <f t="shared" si="18"/>
        <v>0</v>
      </c>
      <c r="J95" s="178">
        <f t="shared" si="18"/>
        <v>0</v>
      </c>
      <c r="K95" s="178">
        <f t="shared" si="18"/>
        <v>0</v>
      </c>
      <c r="L95" s="178">
        <f t="shared" si="18"/>
        <v>0</v>
      </c>
      <c r="M95" s="178">
        <f t="shared" si="18"/>
        <v>0</v>
      </c>
      <c r="N95" s="178">
        <f>SUM(N84:N87)</f>
        <v>0</v>
      </c>
      <c r="O95" s="178">
        <f t="shared" si="18"/>
        <v>0</v>
      </c>
      <c r="P95" s="178"/>
      <c r="Q95" s="178">
        <f t="shared" si="18"/>
        <v>0</v>
      </c>
      <c r="R95" s="178">
        <f>SUM(R84:R87)</f>
        <v>0</v>
      </c>
      <c r="S95" s="178"/>
      <c r="T95" s="178">
        <f>SUM(T84:T87)</f>
        <v>0</v>
      </c>
      <c r="U95" s="178">
        <f>SUM(U84:U87)</f>
        <v>0</v>
      </c>
      <c r="V95" s="189"/>
      <c r="W95" s="425">
        <f>SUM(W84:W87)</f>
        <v>0</v>
      </c>
    </row>
    <row r="96" spans="1:23" ht="24.95" hidden="1" customHeight="1" thickTop="1" thickBot="1" x14ac:dyDescent="0.25">
      <c r="A96" s="42"/>
      <c r="B96" s="701" t="s">
        <v>501</v>
      </c>
      <c r="C96" s="44" t="s">
        <v>157</v>
      </c>
      <c r="D96" s="210">
        <f t="shared" ref="D96:O96" si="19">D47+D83+D95</f>
        <v>2209894.5919999997</v>
      </c>
      <c r="E96" s="210">
        <f t="shared" si="19"/>
        <v>0</v>
      </c>
      <c r="F96" s="210">
        <f t="shared" si="19"/>
        <v>52270</v>
      </c>
      <c r="G96" s="210">
        <f t="shared" si="19"/>
        <v>8410407</v>
      </c>
      <c r="H96" s="210">
        <f t="shared" si="19"/>
        <v>2177604.713</v>
      </c>
      <c r="I96" s="210">
        <f t="shared" si="19"/>
        <v>3370</v>
      </c>
      <c r="J96" s="210">
        <f t="shared" si="19"/>
        <v>300000</v>
      </c>
      <c r="K96" s="210">
        <f t="shared" si="19"/>
        <v>16500</v>
      </c>
      <c r="L96" s="210">
        <f t="shared" si="19"/>
        <v>1095678</v>
      </c>
      <c r="M96" s="210">
        <f t="shared" si="19"/>
        <v>21300</v>
      </c>
      <c r="N96" s="210">
        <f t="shared" si="19"/>
        <v>50000</v>
      </c>
      <c r="O96" s="210">
        <f t="shared" si="19"/>
        <v>14337024.305</v>
      </c>
      <c r="P96" s="210"/>
      <c r="Q96" s="210">
        <f>Q47+Q83+Q95</f>
        <v>3900000</v>
      </c>
      <c r="R96" s="210">
        <f>R47+R83+R95</f>
        <v>5041090.5969999991</v>
      </c>
      <c r="S96" s="210">
        <f>S47+S83+S95</f>
        <v>0</v>
      </c>
      <c r="T96" s="210">
        <f>T47+T83+T95</f>
        <v>0</v>
      </c>
      <c r="U96" s="210">
        <f>U47+U83+U95</f>
        <v>8941090.5969999991</v>
      </c>
      <c r="V96" s="278"/>
      <c r="W96" s="425">
        <f>W47+W83+W95</f>
        <v>23278114.901999999</v>
      </c>
    </row>
    <row r="97" spans="1:23" ht="24.95" hidden="1" customHeight="1" thickBot="1" x14ac:dyDescent="0.25">
      <c r="A97" s="187"/>
      <c r="B97" s="188" t="s">
        <v>187</v>
      </c>
      <c r="C97" s="222" t="s">
        <v>18</v>
      </c>
      <c r="D97" s="223">
        <f>D96</f>
        <v>2209894.5919999997</v>
      </c>
      <c r="E97" s="223">
        <f t="shared" ref="E97:L97" si="20">E96</f>
        <v>0</v>
      </c>
      <c r="F97" s="223">
        <f t="shared" si="20"/>
        <v>52270</v>
      </c>
      <c r="G97" s="223">
        <f t="shared" si="20"/>
        <v>8410407</v>
      </c>
      <c r="H97" s="223">
        <f t="shared" si="20"/>
        <v>2177604.713</v>
      </c>
      <c r="I97" s="223">
        <f t="shared" si="20"/>
        <v>3370</v>
      </c>
      <c r="J97" s="223">
        <f t="shared" si="20"/>
        <v>300000</v>
      </c>
      <c r="K97" s="223">
        <f t="shared" si="20"/>
        <v>16500</v>
      </c>
      <c r="L97" s="223">
        <f t="shared" si="20"/>
        <v>1095678</v>
      </c>
      <c r="M97" s="223">
        <f t="shared" ref="M97:U97" si="21">M96</f>
        <v>21300</v>
      </c>
      <c r="N97" s="223">
        <f t="shared" si="21"/>
        <v>50000</v>
      </c>
      <c r="O97" s="223">
        <f t="shared" si="21"/>
        <v>14337024.305</v>
      </c>
      <c r="P97" s="223"/>
      <c r="Q97" s="223">
        <f t="shared" si="21"/>
        <v>3900000</v>
      </c>
      <c r="R97" s="223">
        <f t="shared" si="21"/>
        <v>5041090.5969999991</v>
      </c>
      <c r="S97" s="223"/>
      <c r="T97" s="223">
        <f t="shared" si="21"/>
        <v>0</v>
      </c>
      <c r="U97" s="223">
        <f t="shared" si="21"/>
        <v>8941090.5969999991</v>
      </c>
      <c r="V97" s="436"/>
      <c r="W97" s="426">
        <f t="shared" ref="W97:W123" si="22">O97+U97</f>
        <v>23278114.901999999</v>
      </c>
    </row>
    <row r="98" spans="1:23" ht="24.95" hidden="1" customHeight="1" x14ac:dyDescent="0.2">
      <c r="A98" s="213"/>
      <c r="B98" s="188"/>
      <c r="C98" s="713"/>
      <c r="D98" s="593"/>
      <c r="E98" s="593"/>
      <c r="F98" s="593"/>
      <c r="G98" s="593"/>
      <c r="H98" s="593"/>
      <c r="I98" s="593"/>
      <c r="J98" s="593"/>
      <c r="K98" s="593"/>
      <c r="L98" s="593"/>
      <c r="M98" s="593"/>
      <c r="N98" s="714"/>
      <c r="O98" s="593"/>
      <c r="P98" s="593"/>
      <c r="Q98" s="593"/>
      <c r="R98" s="593"/>
      <c r="S98" s="593"/>
      <c r="T98" s="593"/>
      <c r="U98" s="593"/>
      <c r="V98" s="715"/>
      <c r="W98" s="427"/>
    </row>
    <row r="99" spans="1:23" ht="24.95" hidden="1" customHeight="1" x14ac:dyDescent="0.2">
      <c r="A99" s="40">
        <v>1</v>
      </c>
      <c r="B99" s="120" t="s">
        <v>528</v>
      </c>
      <c r="C99" s="28" t="s">
        <v>535</v>
      </c>
      <c r="D99" s="174">
        <f>2011.147</f>
        <v>2011.1469999999999</v>
      </c>
      <c r="E99" s="174"/>
      <c r="F99" s="174"/>
      <c r="G99" s="174"/>
      <c r="H99" s="174"/>
      <c r="I99" s="174"/>
      <c r="J99" s="174"/>
      <c r="K99" s="174"/>
      <c r="L99" s="174"/>
      <c r="M99" s="174"/>
      <c r="O99" s="174">
        <f t="shared" ref="O99:O123" si="23">SUM(D99:N99)</f>
        <v>2011.1469999999999</v>
      </c>
      <c r="P99" s="174"/>
      <c r="Q99" s="174"/>
      <c r="R99" s="174"/>
      <c r="S99" s="174"/>
      <c r="T99" s="174"/>
      <c r="U99" s="174">
        <f t="shared" ref="U99:U123" si="24">SUM(Q99:T99)</f>
        <v>0</v>
      </c>
      <c r="V99" s="434"/>
      <c r="W99" s="423">
        <f t="shared" si="22"/>
        <v>2011.1469999999999</v>
      </c>
    </row>
    <row r="100" spans="1:23" ht="24.95" hidden="1" customHeight="1" x14ac:dyDescent="0.2">
      <c r="A100" s="40">
        <v>2</v>
      </c>
      <c r="B100" s="120" t="s">
        <v>528</v>
      </c>
      <c r="C100" s="28" t="s">
        <v>458</v>
      </c>
      <c r="D100" s="174">
        <f>3727.958</f>
        <v>3727.9580000000001</v>
      </c>
      <c r="E100" s="174"/>
      <c r="F100" s="174"/>
      <c r="G100" s="174"/>
      <c r="H100" s="174"/>
      <c r="I100" s="174"/>
      <c r="J100" s="174"/>
      <c r="K100" s="174"/>
      <c r="L100" s="174"/>
      <c r="M100" s="174"/>
      <c r="O100" s="174">
        <f t="shared" si="23"/>
        <v>3727.9580000000001</v>
      </c>
      <c r="P100" s="174"/>
      <c r="Q100" s="174"/>
      <c r="R100" s="174"/>
      <c r="S100" s="174"/>
      <c r="T100" s="174"/>
      <c r="U100" s="174">
        <f t="shared" si="24"/>
        <v>0</v>
      </c>
      <c r="V100" s="434"/>
      <c r="W100" s="423">
        <f t="shared" si="22"/>
        <v>3727.9580000000001</v>
      </c>
    </row>
    <row r="101" spans="1:23" ht="24.95" hidden="1" customHeight="1" x14ac:dyDescent="0.2">
      <c r="A101" s="40">
        <v>3</v>
      </c>
      <c r="B101" s="120" t="s">
        <v>528</v>
      </c>
      <c r="C101" s="28" t="s">
        <v>537</v>
      </c>
      <c r="D101" s="174">
        <v>5061.0680000000002</v>
      </c>
      <c r="E101" s="174"/>
      <c r="F101" s="174"/>
      <c r="G101" s="174"/>
      <c r="H101" s="174"/>
      <c r="I101" s="174"/>
      <c r="J101" s="174"/>
      <c r="K101" s="174"/>
      <c r="L101" s="174"/>
      <c r="M101" s="174"/>
      <c r="O101" s="174">
        <f t="shared" si="23"/>
        <v>5061.0680000000002</v>
      </c>
      <c r="P101" s="174"/>
      <c r="Q101" s="174"/>
      <c r="R101" s="174"/>
      <c r="S101" s="174"/>
      <c r="T101" s="174"/>
      <c r="U101" s="174">
        <f t="shared" si="24"/>
        <v>0</v>
      </c>
      <c r="V101" s="434"/>
      <c r="W101" s="423">
        <f t="shared" si="22"/>
        <v>5061.0680000000002</v>
      </c>
    </row>
    <row r="102" spans="1:23" ht="24.95" hidden="1" customHeight="1" x14ac:dyDescent="0.2">
      <c r="A102" s="40">
        <v>4</v>
      </c>
      <c r="B102" s="120" t="s">
        <v>538</v>
      </c>
      <c r="C102" s="28" t="s">
        <v>539</v>
      </c>
      <c r="D102" s="174">
        <v>7983.7</v>
      </c>
      <c r="E102" s="174"/>
      <c r="F102" s="174"/>
      <c r="G102" s="174"/>
      <c r="H102" s="174"/>
      <c r="I102" s="174"/>
      <c r="J102" s="174"/>
      <c r="K102" s="174"/>
      <c r="L102" s="174"/>
      <c r="M102" s="174"/>
      <c r="O102" s="174">
        <f t="shared" si="23"/>
        <v>7983.7</v>
      </c>
      <c r="P102" s="174"/>
      <c r="Q102" s="174"/>
      <c r="R102" s="174"/>
      <c r="S102" s="174"/>
      <c r="T102" s="174"/>
      <c r="U102" s="174">
        <f t="shared" si="24"/>
        <v>0</v>
      </c>
      <c r="V102" s="434"/>
      <c r="W102" s="423">
        <f t="shared" si="22"/>
        <v>7983.7</v>
      </c>
    </row>
    <row r="103" spans="1:23" ht="24.95" hidden="1" customHeight="1" x14ac:dyDescent="0.2">
      <c r="A103" s="40">
        <v>5</v>
      </c>
      <c r="B103" s="120" t="s">
        <v>540</v>
      </c>
      <c r="C103" s="28" t="s">
        <v>541</v>
      </c>
      <c r="D103" s="174">
        <v>6711.9179999999997</v>
      </c>
      <c r="E103" s="174"/>
      <c r="F103" s="174"/>
      <c r="G103" s="174"/>
      <c r="H103" s="174"/>
      <c r="I103" s="174"/>
      <c r="J103" s="174"/>
      <c r="K103" s="174"/>
      <c r="L103" s="174"/>
      <c r="M103" s="174"/>
      <c r="O103" s="174">
        <f t="shared" si="23"/>
        <v>6711.9179999999997</v>
      </c>
      <c r="P103" s="174"/>
      <c r="Q103" s="174"/>
      <c r="R103" s="174"/>
      <c r="S103" s="174"/>
      <c r="T103" s="174"/>
      <c r="U103" s="174">
        <f t="shared" si="24"/>
        <v>0</v>
      </c>
      <c r="V103" s="434"/>
      <c r="W103" s="423">
        <f t="shared" si="22"/>
        <v>6711.9179999999997</v>
      </c>
    </row>
    <row r="104" spans="1:23" ht="24.95" hidden="1" customHeight="1" x14ac:dyDescent="0.2">
      <c r="A104" s="40">
        <v>6</v>
      </c>
      <c r="B104" s="721" t="s">
        <v>530</v>
      </c>
      <c r="C104" s="28" t="s">
        <v>531</v>
      </c>
      <c r="D104" s="174"/>
      <c r="E104" s="174"/>
      <c r="F104" s="174"/>
      <c r="G104" s="174"/>
      <c r="H104" s="174"/>
      <c r="I104" s="174"/>
      <c r="J104" s="174"/>
      <c r="K104" s="174">
        <f>21143.873</f>
        <v>21143.873</v>
      </c>
      <c r="L104" s="174"/>
      <c r="M104" s="174"/>
      <c r="O104" s="174">
        <f t="shared" si="23"/>
        <v>21143.873</v>
      </c>
      <c r="P104" s="174"/>
      <c r="Q104" s="174"/>
      <c r="R104" s="174"/>
      <c r="S104" s="174"/>
      <c r="T104" s="174"/>
      <c r="U104" s="174">
        <f t="shared" si="24"/>
        <v>0</v>
      </c>
      <c r="V104" s="434"/>
      <c r="W104" s="423">
        <f t="shared" si="22"/>
        <v>21143.873</v>
      </c>
    </row>
    <row r="105" spans="1:23" ht="24.95" hidden="1" customHeight="1" x14ac:dyDescent="0.2">
      <c r="A105" s="40">
        <v>7</v>
      </c>
      <c r="B105" s="725" t="s">
        <v>546</v>
      </c>
      <c r="C105" s="723" t="s">
        <v>545</v>
      </c>
      <c r="D105" s="174">
        <f>579.33</f>
        <v>579.33000000000004</v>
      </c>
      <c r="E105" s="174"/>
      <c r="F105" s="174"/>
      <c r="G105" s="174"/>
      <c r="H105" s="174"/>
      <c r="I105" s="174"/>
      <c r="J105" s="174"/>
      <c r="K105" s="174"/>
      <c r="L105" s="174"/>
      <c r="M105" s="174"/>
      <c r="O105" s="174">
        <f t="shared" si="23"/>
        <v>579.33000000000004</v>
      </c>
      <c r="P105" s="174"/>
      <c r="Q105" s="174"/>
      <c r="R105" s="174"/>
      <c r="S105" s="174"/>
      <c r="T105" s="174"/>
      <c r="U105" s="174">
        <f>SUM(Q105:T105)</f>
        <v>0</v>
      </c>
      <c r="V105" s="434"/>
      <c r="W105" s="423">
        <f t="shared" si="22"/>
        <v>579.33000000000004</v>
      </c>
    </row>
    <row r="106" spans="1:23" ht="24.95" hidden="1" customHeight="1" x14ac:dyDescent="0.2">
      <c r="A106" s="40">
        <v>8</v>
      </c>
      <c r="B106" s="729" t="s">
        <v>556</v>
      </c>
      <c r="C106" s="730" t="s">
        <v>557</v>
      </c>
      <c r="D106" s="174"/>
      <c r="E106" s="174"/>
      <c r="F106" s="174"/>
      <c r="G106" s="174"/>
      <c r="H106" s="174">
        <f>700+189</f>
        <v>889</v>
      </c>
      <c r="I106" s="174"/>
      <c r="J106" s="174"/>
      <c r="K106" s="174"/>
      <c r="L106" s="174"/>
      <c r="M106" s="174"/>
      <c r="N106" s="174"/>
      <c r="O106" s="174">
        <f t="shared" si="23"/>
        <v>889</v>
      </c>
      <c r="P106" s="174"/>
      <c r="Q106" s="174"/>
      <c r="R106" s="174"/>
      <c r="S106" s="174"/>
      <c r="T106" s="174"/>
      <c r="U106" s="174">
        <f t="shared" si="24"/>
        <v>0</v>
      </c>
      <c r="V106" s="434"/>
      <c r="W106" s="423">
        <f t="shared" si="22"/>
        <v>889</v>
      </c>
    </row>
    <row r="107" spans="1:23" ht="24.95" hidden="1" customHeight="1" x14ac:dyDescent="0.2">
      <c r="A107" s="40">
        <v>9</v>
      </c>
      <c r="B107" s="230" t="s">
        <v>581</v>
      </c>
      <c r="C107" s="28" t="s">
        <v>557</v>
      </c>
      <c r="D107" s="174"/>
      <c r="E107" s="174"/>
      <c r="F107" s="174"/>
      <c r="G107" s="174"/>
      <c r="H107" s="174">
        <f>1200+324</f>
        <v>1524</v>
      </c>
      <c r="I107" s="174"/>
      <c r="J107" s="174"/>
      <c r="L107" s="174"/>
      <c r="M107" s="174"/>
      <c r="N107" s="174"/>
      <c r="O107" s="174">
        <f t="shared" si="23"/>
        <v>1524</v>
      </c>
      <c r="P107" s="174"/>
      <c r="Q107" s="174"/>
      <c r="R107" s="174"/>
      <c r="S107" s="174"/>
      <c r="T107" s="174"/>
      <c r="U107" s="174">
        <f t="shared" si="24"/>
        <v>0</v>
      </c>
      <c r="V107" s="434"/>
      <c r="W107" s="423">
        <f t="shared" si="22"/>
        <v>1524</v>
      </c>
    </row>
    <row r="108" spans="1:23" ht="24.95" hidden="1" customHeight="1" x14ac:dyDescent="0.2">
      <c r="A108" s="40">
        <v>10</v>
      </c>
      <c r="B108" s="30" t="s">
        <v>577</v>
      </c>
      <c r="C108" s="28" t="s">
        <v>578</v>
      </c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>
        <f t="shared" si="23"/>
        <v>0</v>
      </c>
      <c r="P108" s="174"/>
      <c r="Q108" s="174">
        <v>2100000</v>
      </c>
      <c r="R108" s="174"/>
      <c r="S108" s="174"/>
      <c r="T108" s="174"/>
      <c r="U108" s="174">
        <f t="shared" si="24"/>
        <v>2100000</v>
      </c>
      <c r="V108" s="434"/>
      <c r="W108" s="423">
        <f t="shared" si="22"/>
        <v>2100000</v>
      </c>
    </row>
    <row r="109" spans="1:23" ht="24.95" hidden="1" customHeight="1" x14ac:dyDescent="0.2">
      <c r="A109" s="40">
        <v>11</v>
      </c>
      <c r="B109" s="232" t="s">
        <v>439</v>
      </c>
      <c r="C109" s="33" t="s">
        <v>587</v>
      </c>
      <c r="D109" s="174"/>
      <c r="E109" s="174"/>
      <c r="F109" s="174">
        <f>800</f>
        <v>800</v>
      </c>
      <c r="G109" s="174"/>
      <c r="H109" s="174"/>
      <c r="I109" s="174"/>
      <c r="J109" s="174"/>
      <c r="K109" s="174"/>
      <c r="L109" s="174"/>
      <c r="M109" s="174"/>
      <c r="N109" s="174"/>
      <c r="O109" s="174">
        <f t="shared" si="23"/>
        <v>800</v>
      </c>
      <c r="P109" s="174"/>
      <c r="Q109" s="174"/>
      <c r="R109" s="174"/>
      <c r="S109" s="174"/>
      <c r="T109" s="174"/>
      <c r="U109" s="174">
        <f t="shared" si="24"/>
        <v>0</v>
      </c>
      <c r="V109" s="434"/>
      <c r="W109" s="423">
        <f t="shared" si="22"/>
        <v>800</v>
      </c>
    </row>
    <row r="110" spans="1:23" ht="24.95" hidden="1" customHeight="1" x14ac:dyDescent="0.2">
      <c r="A110" s="40">
        <v>12</v>
      </c>
      <c r="B110" s="733" t="s">
        <v>619</v>
      </c>
      <c r="C110" s="34" t="s">
        <v>579</v>
      </c>
      <c r="D110" s="174"/>
      <c r="E110" s="174"/>
      <c r="F110" s="174"/>
      <c r="G110" s="174">
        <f>-8400</f>
        <v>-8400</v>
      </c>
      <c r="H110" s="174">
        <f>-1905+8114+2191</f>
        <v>8400</v>
      </c>
      <c r="I110" s="174"/>
      <c r="J110" s="174"/>
      <c r="K110" s="174"/>
      <c r="L110" s="174"/>
      <c r="M110" s="174"/>
      <c r="N110" s="174"/>
      <c r="O110" s="174">
        <f t="shared" si="23"/>
        <v>0</v>
      </c>
      <c r="P110" s="174"/>
      <c r="Q110" s="174"/>
      <c r="R110" s="174"/>
      <c r="S110" s="174"/>
      <c r="T110" s="174"/>
      <c r="U110" s="174">
        <f t="shared" si="24"/>
        <v>0</v>
      </c>
      <c r="V110" s="434"/>
      <c r="W110" s="423">
        <f t="shared" si="22"/>
        <v>0</v>
      </c>
    </row>
    <row r="111" spans="1:23" ht="24.95" hidden="1" customHeight="1" x14ac:dyDescent="0.2">
      <c r="A111" s="40"/>
      <c r="B111" s="31"/>
      <c r="C111" s="41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>
        <f t="shared" si="23"/>
        <v>0</v>
      </c>
      <c r="P111" s="174"/>
      <c r="Q111" s="174"/>
      <c r="R111" s="174"/>
      <c r="S111" s="174"/>
      <c r="T111" s="174"/>
      <c r="U111" s="174">
        <f t="shared" si="24"/>
        <v>0</v>
      </c>
      <c r="V111" s="434"/>
      <c r="W111" s="423">
        <f t="shared" si="22"/>
        <v>0</v>
      </c>
    </row>
    <row r="112" spans="1:23" ht="24.95" hidden="1" customHeight="1" x14ac:dyDescent="0.2">
      <c r="A112" s="40"/>
      <c r="B112" s="229"/>
      <c r="C112" s="41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>
        <f>SUM(D112:N112)</f>
        <v>0</v>
      </c>
      <c r="P112" s="174"/>
      <c r="Q112" s="174"/>
      <c r="R112" s="174"/>
      <c r="S112" s="174"/>
      <c r="T112" s="174"/>
      <c r="U112" s="174">
        <f>SUM(Q112:T112)</f>
        <v>0</v>
      </c>
      <c r="V112" s="434"/>
      <c r="W112" s="423">
        <f>O112+U112</f>
        <v>0</v>
      </c>
    </row>
    <row r="113" spans="1:24" ht="24.95" hidden="1" customHeight="1" x14ac:dyDescent="0.2">
      <c r="A113" s="40"/>
      <c r="B113" s="229"/>
      <c r="C113" s="41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>
        <f t="shared" si="23"/>
        <v>0</v>
      </c>
      <c r="P113" s="174"/>
      <c r="Q113" s="174"/>
      <c r="R113" s="174"/>
      <c r="S113" s="174"/>
      <c r="T113" s="174"/>
      <c r="U113" s="174">
        <f t="shared" si="24"/>
        <v>0</v>
      </c>
      <c r="V113" s="434"/>
      <c r="W113" s="423">
        <f t="shared" si="22"/>
        <v>0</v>
      </c>
    </row>
    <row r="114" spans="1:24" ht="24.95" hidden="1" customHeight="1" x14ac:dyDescent="0.2">
      <c r="A114" s="40"/>
      <c r="B114" s="229"/>
      <c r="C114" s="41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>
        <f t="shared" si="23"/>
        <v>0</v>
      </c>
      <c r="P114" s="174"/>
      <c r="Q114" s="174"/>
      <c r="R114" s="174"/>
      <c r="S114" s="174"/>
      <c r="T114" s="174"/>
      <c r="U114" s="174">
        <f t="shared" si="24"/>
        <v>0</v>
      </c>
      <c r="V114" s="434"/>
      <c r="W114" s="423">
        <f t="shared" si="22"/>
        <v>0</v>
      </c>
    </row>
    <row r="115" spans="1:24" ht="24.95" hidden="1" customHeight="1" x14ac:dyDescent="0.2">
      <c r="A115" s="40"/>
      <c r="B115" s="229"/>
      <c r="C115" s="41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>
        <f t="shared" si="23"/>
        <v>0</v>
      </c>
      <c r="P115" s="174"/>
      <c r="Q115" s="174"/>
      <c r="R115" s="174"/>
      <c r="S115" s="174"/>
      <c r="T115" s="174"/>
      <c r="U115" s="174">
        <f t="shared" si="24"/>
        <v>0</v>
      </c>
      <c r="V115" s="434"/>
      <c r="W115" s="423">
        <f t="shared" si="22"/>
        <v>0</v>
      </c>
    </row>
    <row r="116" spans="1:24" ht="24.95" hidden="1" customHeight="1" x14ac:dyDescent="0.2">
      <c r="A116" s="40"/>
      <c r="B116" s="31"/>
      <c r="C116" s="41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>
        <f t="shared" si="23"/>
        <v>0</v>
      </c>
      <c r="P116" s="174"/>
      <c r="Q116" s="174"/>
      <c r="R116" s="174"/>
      <c r="S116" s="174"/>
      <c r="T116" s="174"/>
      <c r="U116" s="174">
        <f t="shared" si="24"/>
        <v>0</v>
      </c>
      <c r="V116" s="434"/>
      <c r="W116" s="423">
        <f t="shared" si="22"/>
        <v>0</v>
      </c>
    </row>
    <row r="117" spans="1:24" ht="24.95" hidden="1" customHeight="1" x14ac:dyDescent="0.2">
      <c r="A117" s="40"/>
      <c r="B117" s="230"/>
      <c r="C117" s="41"/>
      <c r="D117" s="174"/>
      <c r="E117" s="174"/>
      <c r="G117" s="174"/>
      <c r="H117" s="174"/>
      <c r="I117" s="174"/>
      <c r="J117" s="174"/>
      <c r="K117" s="174"/>
      <c r="L117" s="174"/>
      <c r="M117" s="174"/>
      <c r="N117" s="174"/>
      <c r="O117" s="174">
        <f>SUM(D117:N117)</f>
        <v>0</v>
      </c>
      <c r="P117" s="174"/>
      <c r="Q117" s="174"/>
      <c r="R117" s="174"/>
      <c r="S117" s="174"/>
      <c r="T117" s="174"/>
      <c r="U117" s="174">
        <f t="shared" si="24"/>
        <v>0</v>
      </c>
      <c r="V117" s="434"/>
      <c r="W117" s="423">
        <f t="shared" si="22"/>
        <v>0</v>
      </c>
    </row>
    <row r="118" spans="1:24" ht="24.95" hidden="1" customHeight="1" x14ac:dyDescent="0.2">
      <c r="A118" s="40"/>
      <c r="B118" s="45"/>
      <c r="C118" s="33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>
        <f t="shared" si="23"/>
        <v>0</v>
      </c>
      <c r="P118" s="174"/>
      <c r="Q118" s="174"/>
      <c r="R118" s="174"/>
      <c r="S118" s="174"/>
      <c r="T118" s="174"/>
      <c r="U118" s="174">
        <f t="shared" si="24"/>
        <v>0</v>
      </c>
      <c r="V118" s="434"/>
      <c r="W118" s="423">
        <f t="shared" si="22"/>
        <v>0</v>
      </c>
    </row>
    <row r="119" spans="1:24" ht="24.95" hidden="1" customHeight="1" x14ac:dyDescent="0.2">
      <c r="A119" s="40"/>
      <c r="B119" s="126"/>
      <c r="C119" s="41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>
        <f t="shared" si="23"/>
        <v>0</v>
      </c>
      <c r="P119" s="174"/>
      <c r="Q119" s="174"/>
      <c r="R119" s="174"/>
      <c r="S119" s="174"/>
      <c r="T119" s="174"/>
      <c r="U119" s="174">
        <f t="shared" si="24"/>
        <v>0</v>
      </c>
      <c r="V119" s="434"/>
      <c r="W119" s="423">
        <f t="shared" si="22"/>
        <v>0</v>
      </c>
    </row>
    <row r="120" spans="1:24" ht="24.95" hidden="1" customHeight="1" x14ac:dyDescent="0.2">
      <c r="A120" s="40"/>
      <c r="B120" s="186"/>
      <c r="C120" s="41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>
        <f t="shared" si="23"/>
        <v>0</v>
      </c>
      <c r="P120" s="174"/>
      <c r="Q120" s="174"/>
      <c r="R120" s="174"/>
      <c r="S120" s="174"/>
      <c r="T120" s="174"/>
      <c r="U120" s="174">
        <f t="shared" si="24"/>
        <v>0</v>
      </c>
      <c r="V120" s="434"/>
      <c r="W120" s="423">
        <f t="shared" si="22"/>
        <v>0</v>
      </c>
    </row>
    <row r="121" spans="1:24" ht="24.95" hidden="1" customHeight="1" x14ac:dyDescent="0.2">
      <c r="A121" s="40"/>
      <c r="B121" s="186"/>
      <c r="C121" s="41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>
        <f t="shared" si="23"/>
        <v>0</v>
      </c>
      <c r="P121" s="174"/>
      <c r="Q121" s="174"/>
      <c r="R121" s="174"/>
      <c r="S121" s="174"/>
      <c r="T121" s="174"/>
      <c r="U121" s="174">
        <f t="shared" si="24"/>
        <v>0</v>
      </c>
      <c r="V121" s="434"/>
      <c r="W121" s="423">
        <f t="shared" si="22"/>
        <v>0</v>
      </c>
    </row>
    <row r="122" spans="1:24" ht="24.95" hidden="1" customHeight="1" x14ac:dyDescent="0.2">
      <c r="A122" s="40"/>
      <c r="B122" s="186"/>
      <c r="C122" s="41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>
        <f t="shared" si="23"/>
        <v>0</v>
      </c>
      <c r="P122" s="174"/>
      <c r="Q122" s="174"/>
      <c r="R122" s="174"/>
      <c r="S122" s="174"/>
      <c r="T122" s="174"/>
      <c r="U122" s="174">
        <f t="shared" si="24"/>
        <v>0</v>
      </c>
      <c r="V122" s="434"/>
      <c r="W122" s="423">
        <f t="shared" si="22"/>
        <v>0</v>
      </c>
    </row>
    <row r="123" spans="1:24" ht="24.95" hidden="1" customHeight="1" x14ac:dyDescent="0.2">
      <c r="A123" s="40"/>
      <c r="B123" s="126"/>
      <c r="C123" s="41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>
        <f t="shared" si="23"/>
        <v>0</v>
      </c>
      <c r="P123" s="174"/>
      <c r="Q123" s="174"/>
      <c r="R123" s="174"/>
      <c r="S123" s="174"/>
      <c r="T123" s="174"/>
      <c r="U123" s="174">
        <f t="shared" si="24"/>
        <v>0</v>
      </c>
      <c r="V123" s="434"/>
      <c r="W123" s="423">
        <f t="shared" si="22"/>
        <v>0</v>
      </c>
    </row>
    <row r="124" spans="1:24" ht="24.95" hidden="1" customHeight="1" x14ac:dyDescent="0.2">
      <c r="A124" s="40"/>
      <c r="B124" s="126"/>
      <c r="C124" s="41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434"/>
      <c r="W124" s="423"/>
    </row>
    <row r="125" spans="1:24" ht="13.5" hidden="1" customHeight="1" thickBot="1" x14ac:dyDescent="0.25">
      <c r="A125" s="40"/>
      <c r="B125" s="32"/>
      <c r="C125" s="3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434"/>
      <c r="W125" s="423"/>
    </row>
    <row r="126" spans="1:24" ht="24.95" hidden="1" customHeight="1" thickTop="1" thickBot="1" x14ac:dyDescent="0.25">
      <c r="A126" s="46"/>
      <c r="B126" s="42" t="s">
        <v>187</v>
      </c>
      <c r="C126" s="44" t="s">
        <v>19</v>
      </c>
      <c r="D126" s="210">
        <f t="shared" ref="D126:O126" si="25">SUM(D99:D125)</f>
        <v>26075.120999999999</v>
      </c>
      <c r="E126" s="210">
        <f t="shared" si="25"/>
        <v>0</v>
      </c>
      <c r="F126" s="210">
        <f t="shared" si="25"/>
        <v>800</v>
      </c>
      <c r="G126" s="210">
        <f t="shared" si="25"/>
        <v>-8400</v>
      </c>
      <c r="H126" s="210">
        <f t="shared" si="25"/>
        <v>10813</v>
      </c>
      <c r="I126" s="210">
        <f t="shared" si="25"/>
        <v>0</v>
      </c>
      <c r="J126" s="210">
        <f t="shared" si="25"/>
        <v>0</v>
      </c>
      <c r="K126" s="210">
        <f t="shared" si="25"/>
        <v>21143.873</v>
      </c>
      <c r="L126" s="210">
        <f t="shared" si="25"/>
        <v>0</v>
      </c>
      <c r="M126" s="210">
        <f t="shared" si="25"/>
        <v>0</v>
      </c>
      <c r="N126" s="210">
        <f t="shared" si="25"/>
        <v>0</v>
      </c>
      <c r="O126" s="210">
        <f t="shared" si="25"/>
        <v>50431.993999999999</v>
      </c>
      <c r="P126" s="330"/>
      <c r="Q126" s="210">
        <f>SUM(Q99:Q125)</f>
        <v>2100000</v>
      </c>
      <c r="R126" s="210">
        <f>SUM(R99:R125)</f>
        <v>0</v>
      </c>
      <c r="S126" s="210">
        <f>SUM(S99:S125)</f>
        <v>0</v>
      </c>
      <c r="T126" s="210">
        <f>SUM(T99:T125)</f>
        <v>0</v>
      </c>
      <c r="U126" s="210">
        <f>SUM(U99:U125)</f>
        <v>2100000</v>
      </c>
      <c r="V126" s="437"/>
      <c r="W126" s="425">
        <f>O126+U126</f>
        <v>2150431.9939999999</v>
      </c>
    </row>
    <row r="127" spans="1:24" ht="24.95" hidden="1" customHeight="1" thickTop="1" x14ac:dyDescent="0.2">
      <c r="A127" s="213"/>
      <c r="B127" s="224"/>
      <c r="C127" s="557"/>
      <c r="D127" s="558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  <c r="Q127" s="262"/>
      <c r="R127" s="262"/>
      <c r="S127" s="262"/>
      <c r="T127" s="262"/>
      <c r="U127" s="262"/>
      <c r="V127" s="438"/>
      <c r="W127" s="427"/>
      <c r="X127" s="29"/>
    </row>
    <row r="128" spans="1:24" ht="24.95" hidden="1" customHeight="1" x14ac:dyDescent="0.2">
      <c r="A128" s="40"/>
      <c r="B128" s="48"/>
      <c r="C128" s="28" t="s">
        <v>189</v>
      </c>
      <c r="D128" s="159"/>
      <c r="E128" s="159"/>
      <c r="F128" s="159"/>
      <c r="G128" s="159"/>
      <c r="H128" s="174"/>
      <c r="I128" s="159"/>
      <c r="J128" s="159"/>
      <c r="K128" s="159"/>
      <c r="L128" s="159"/>
      <c r="M128" s="159"/>
      <c r="N128" s="159"/>
      <c r="O128" s="159">
        <f t="shared" ref="O128:O142" si="26">SUM(D128:N128)</f>
        <v>0</v>
      </c>
      <c r="P128" s="159"/>
      <c r="Q128" s="159"/>
      <c r="R128" s="159"/>
      <c r="S128" s="159"/>
      <c r="T128" s="159"/>
      <c r="U128" s="159">
        <f t="shared" ref="U128:U142" si="27">SUM(Q128:T128)</f>
        <v>0</v>
      </c>
      <c r="V128" s="439"/>
      <c r="W128" s="423">
        <f t="shared" ref="W128:W143" si="28">O128+U128</f>
        <v>0</v>
      </c>
    </row>
    <row r="129" spans="1:23" ht="24.95" hidden="1" customHeight="1" x14ac:dyDescent="0.2">
      <c r="A129" s="40"/>
      <c r="B129" s="48"/>
      <c r="C129" s="28"/>
      <c r="D129" s="159"/>
      <c r="E129" s="159"/>
      <c r="F129" s="159"/>
      <c r="G129" s="159"/>
      <c r="H129" s="174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/>
      <c r="S129" s="159"/>
      <c r="T129" s="159"/>
      <c r="U129" s="159"/>
      <c r="V129" s="439"/>
      <c r="W129" s="423"/>
    </row>
    <row r="130" spans="1:23" ht="24.95" hidden="1" customHeight="1" x14ac:dyDescent="0.2">
      <c r="A130" s="40"/>
      <c r="B130" s="48" t="s">
        <v>21</v>
      </c>
      <c r="C130" s="49" t="s">
        <v>22</v>
      </c>
      <c r="D130" s="355"/>
      <c r="E130" s="159"/>
      <c r="F130" s="159"/>
      <c r="G130" s="159"/>
      <c r="H130" s="159"/>
      <c r="I130" s="159"/>
      <c r="J130" s="159"/>
      <c r="K130" s="159"/>
      <c r="L130" s="159"/>
      <c r="M130" s="159"/>
      <c r="N130" s="159"/>
      <c r="O130" s="159">
        <f t="shared" si="26"/>
        <v>0</v>
      </c>
      <c r="P130" s="159"/>
      <c r="Q130" s="159"/>
      <c r="R130" s="159"/>
      <c r="S130" s="159"/>
      <c r="T130" s="159"/>
      <c r="U130" s="159">
        <f t="shared" si="27"/>
        <v>0</v>
      </c>
      <c r="V130" s="439"/>
      <c r="W130" s="423">
        <f t="shared" si="28"/>
        <v>0</v>
      </c>
    </row>
    <row r="131" spans="1:23" ht="24.95" hidden="1" customHeight="1" x14ac:dyDescent="0.2">
      <c r="A131" s="40"/>
      <c r="B131" s="48" t="s">
        <v>23</v>
      </c>
      <c r="C131" s="49" t="s">
        <v>22</v>
      </c>
      <c r="E131" s="159"/>
      <c r="F131" s="159"/>
      <c r="G131" s="159"/>
      <c r="H131" s="159"/>
      <c r="I131" s="159"/>
      <c r="J131" s="159"/>
      <c r="K131" s="159"/>
      <c r="L131" s="159"/>
      <c r="M131" s="159"/>
      <c r="N131" s="159"/>
      <c r="O131" s="159">
        <f t="shared" si="26"/>
        <v>0</v>
      </c>
      <c r="P131" s="159"/>
      <c r="Q131" s="159"/>
      <c r="R131" s="159"/>
      <c r="S131" s="159"/>
      <c r="T131" s="159"/>
      <c r="U131" s="159">
        <f t="shared" si="27"/>
        <v>0</v>
      </c>
      <c r="V131" s="439"/>
      <c r="W131" s="423">
        <f t="shared" si="28"/>
        <v>0</v>
      </c>
    </row>
    <row r="132" spans="1:23" ht="24.95" hidden="1" customHeight="1" x14ac:dyDescent="0.2">
      <c r="A132" s="40"/>
      <c r="B132" s="48" t="s">
        <v>25</v>
      </c>
      <c r="C132" s="49" t="s">
        <v>22</v>
      </c>
      <c r="D132" s="159"/>
      <c r="E132" s="159"/>
      <c r="F132" s="159"/>
      <c r="G132" s="159"/>
      <c r="H132" s="159"/>
      <c r="I132" s="159"/>
      <c r="J132" s="159"/>
      <c r="K132" s="159"/>
      <c r="L132" s="159"/>
      <c r="M132" s="159"/>
      <c r="N132" s="159"/>
      <c r="O132" s="159">
        <f t="shared" si="26"/>
        <v>0</v>
      </c>
      <c r="P132" s="159"/>
      <c r="Q132" s="159"/>
      <c r="R132" s="159"/>
      <c r="S132" s="159"/>
      <c r="T132" s="159"/>
      <c r="U132" s="159">
        <f t="shared" si="27"/>
        <v>0</v>
      </c>
      <c r="V132" s="439"/>
      <c r="W132" s="423">
        <f t="shared" si="28"/>
        <v>0</v>
      </c>
    </row>
    <row r="133" spans="1:23" ht="24.95" hidden="1" customHeight="1" x14ac:dyDescent="0.2">
      <c r="A133" s="40"/>
      <c r="B133" s="48" t="s">
        <v>71</v>
      </c>
      <c r="C133" s="49" t="s">
        <v>22</v>
      </c>
      <c r="D133" s="159"/>
      <c r="E133" s="159"/>
      <c r="F133" s="159"/>
      <c r="G133" s="159"/>
      <c r="H133" s="159"/>
      <c r="I133" s="159"/>
      <c r="J133" s="159"/>
      <c r="K133" s="159"/>
      <c r="L133" s="159"/>
      <c r="M133" s="159"/>
      <c r="N133" s="159"/>
      <c r="O133" s="159">
        <f t="shared" si="26"/>
        <v>0</v>
      </c>
      <c r="P133" s="159"/>
      <c r="Q133" s="159"/>
      <c r="R133" s="159"/>
      <c r="S133" s="159"/>
      <c r="T133" s="159"/>
      <c r="U133" s="159">
        <f t="shared" si="27"/>
        <v>0</v>
      </c>
      <c r="V133" s="439"/>
      <c r="W133" s="423">
        <f t="shared" si="28"/>
        <v>0</v>
      </c>
    </row>
    <row r="134" spans="1:23" ht="24.95" hidden="1" customHeight="1" x14ac:dyDescent="0.2">
      <c r="A134" s="40"/>
      <c r="B134" s="48" t="s">
        <v>26</v>
      </c>
      <c r="C134" s="49" t="s">
        <v>22</v>
      </c>
      <c r="D134" s="159"/>
      <c r="E134" s="159"/>
      <c r="F134" s="159"/>
      <c r="G134" s="159"/>
      <c r="H134" s="159"/>
      <c r="I134" s="159"/>
      <c r="J134" s="159"/>
      <c r="K134" s="159"/>
      <c r="L134" s="159"/>
      <c r="M134" s="159"/>
      <c r="N134" s="159"/>
      <c r="O134" s="159">
        <f t="shared" si="26"/>
        <v>0</v>
      </c>
      <c r="P134" s="159"/>
      <c r="Q134" s="159"/>
      <c r="R134" s="159"/>
      <c r="S134" s="159"/>
      <c r="T134" s="159"/>
      <c r="U134" s="159">
        <f t="shared" si="27"/>
        <v>0</v>
      </c>
      <c r="V134" s="439"/>
      <c r="W134" s="423">
        <f t="shared" si="28"/>
        <v>0</v>
      </c>
    </row>
    <row r="135" spans="1:23" ht="24.95" hidden="1" customHeight="1" x14ac:dyDescent="0.2">
      <c r="A135" s="40"/>
      <c r="B135" s="48" t="s">
        <v>118</v>
      </c>
      <c r="C135" s="49" t="s">
        <v>22</v>
      </c>
      <c r="D135" s="159"/>
      <c r="E135" s="159"/>
      <c r="F135" s="159"/>
      <c r="G135" s="159"/>
      <c r="H135" s="159"/>
      <c r="I135" s="159"/>
      <c r="J135" s="159"/>
      <c r="K135" s="159"/>
      <c r="L135" s="159"/>
      <c r="M135" s="159"/>
      <c r="N135" s="159"/>
      <c r="O135" s="159">
        <f t="shared" si="26"/>
        <v>0</v>
      </c>
      <c r="Q135" s="159"/>
      <c r="R135" s="159"/>
      <c r="S135" s="159"/>
      <c r="T135" s="159"/>
      <c r="U135" s="159">
        <f t="shared" si="27"/>
        <v>0</v>
      </c>
      <c r="V135" s="439"/>
      <c r="W135" s="423">
        <f t="shared" si="28"/>
        <v>0</v>
      </c>
    </row>
    <row r="136" spans="1:23" ht="24.95" hidden="1" customHeight="1" x14ac:dyDescent="0.2">
      <c r="A136" s="40"/>
      <c r="B136" s="48" t="s">
        <v>74</v>
      </c>
      <c r="C136" s="49" t="s">
        <v>22</v>
      </c>
      <c r="D136" s="159"/>
      <c r="E136" s="159"/>
      <c r="F136" s="159"/>
      <c r="G136" s="159"/>
      <c r="H136" s="159"/>
      <c r="I136" s="159"/>
      <c r="J136" s="159"/>
      <c r="K136" s="159"/>
      <c r="L136" s="159"/>
      <c r="M136" s="159"/>
      <c r="N136" s="159"/>
      <c r="O136" s="159">
        <f t="shared" si="26"/>
        <v>0</v>
      </c>
      <c r="Q136" s="159"/>
      <c r="R136" s="159"/>
      <c r="S136" s="159"/>
      <c r="T136" s="159"/>
      <c r="U136" s="159">
        <f t="shared" si="27"/>
        <v>0</v>
      </c>
      <c r="V136" s="439"/>
      <c r="W136" s="423">
        <f t="shared" si="28"/>
        <v>0</v>
      </c>
    </row>
    <row r="137" spans="1:23" ht="24.95" hidden="1" customHeight="1" x14ac:dyDescent="0.2">
      <c r="A137" s="40"/>
      <c r="B137" s="48" t="s">
        <v>75</v>
      </c>
      <c r="C137" s="49" t="s">
        <v>22</v>
      </c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>
        <f t="shared" si="26"/>
        <v>0</v>
      </c>
      <c r="P137" s="159"/>
      <c r="Q137" s="159"/>
      <c r="R137" s="159"/>
      <c r="S137" s="159"/>
      <c r="T137" s="159"/>
      <c r="U137" s="159">
        <f t="shared" si="27"/>
        <v>0</v>
      </c>
      <c r="V137" s="439"/>
      <c r="W137" s="423">
        <f t="shared" si="28"/>
        <v>0</v>
      </c>
    </row>
    <row r="138" spans="1:23" ht="24.95" hidden="1" customHeight="1" x14ac:dyDescent="0.2">
      <c r="A138" s="40"/>
      <c r="B138" s="48" t="s">
        <v>29</v>
      </c>
      <c r="C138" s="49" t="s">
        <v>22</v>
      </c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>
        <f t="shared" si="26"/>
        <v>0</v>
      </c>
      <c r="P138" s="444"/>
      <c r="Q138" s="159"/>
      <c r="R138" s="159"/>
      <c r="S138" s="159"/>
      <c r="T138" s="159"/>
      <c r="U138" s="159">
        <f t="shared" si="27"/>
        <v>0</v>
      </c>
      <c r="V138" s="439"/>
      <c r="W138" s="423">
        <f t="shared" si="28"/>
        <v>0</v>
      </c>
    </row>
    <row r="139" spans="1:23" ht="24.95" hidden="1" customHeight="1" x14ac:dyDescent="0.2">
      <c r="A139" s="40"/>
      <c r="B139" s="48" t="s">
        <v>76</v>
      </c>
      <c r="C139" s="49" t="s">
        <v>22</v>
      </c>
      <c r="D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>
        <f t="shared" si="26"/>
        <v>0</v>
      </c>
      <c r="P139" s="159"/>
      <c r="Q139" s="159"/>
      <c r="R139" s="159"/>
      <c r="S139" s="159"/>
      <c r="T139" s="159"/>
      <c r="U139" s="159">
        <f t="shared" si="27"/>
        <v>0</v>
      </c>
      <c r="V139" s="439"/>
      <c r="W139" s="423">
        <f t="shared" si="28"/>
        <v>0</v>
      </c>
    </row>
    <row r="140" spans="1:23" ht="24.95" hidden="1" customHeight="1" x14ac:dyDescent="0.2">
      <c r="A140" s="40"/>
      <c r="B140" s="48" t="s">
        <v>119</v>
      </c>
      <c r="C140" s="49" t="s">
        <v>22</v>
      </c>
      <c r="D140" s="159"/>
      <c r="E140" s="159"/>
      <c r="F140" s="159"/>
      <c r="G140" s="159"/>
      <c r="H140" s="159"/>
      <c r="I140" s="159"/>
      <c r="J140" s="159"/>
      <c r="K140" s="159"/>
      <c r="L140" s="159"/>
      <c r="M140" s="159"/>
      <c r="N140" s="159"/>
      <c r="O140" s="159">
        <f t="shared" si="26"/>
        <v>0</v>
      </c>
      <c r="P140" s="159"/>
      <c r="Q140" s="159"/>
      <c r="R140" s="159"/>
      <c r="S140" s="159"/>
      <c r="T140" s="159"/>
      <c r="U140" s="159">
        <f t="shared" si="27"/>
        <v>0</v>
      </c>
      <c r="V140" s="439"/>
      <c r="W140" s="423">
        <f t="shared" si="28"/>
        <v>0</v>
      </c>
    </row>
    <row r="141" spans="1:23" ht="24.95" hidden="1" customHeight="1" x14ac:dyDescent="0.2">
      <c r="A141" s="40"/>
      <c r="B141" s="48" t="s">
        <v>120</v>
      </c>
      <c r="C141" s="49" t="s">
        <v>22</v>
      </c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>
        <f t="shared" si="26"/>
        <v>0</v>
      </c>
      <c r="P141" s="159"/>
      <c r="Q141" s="159"/>
      <c r="R141" s="159"/>
      <c r="S141" s="159"/>
      <c r="T141" s="159"/>
      <c r="U141" s="159">
        <f t="shared" si="27"/>
        <v>0</v>
      </c>
      <c r="V141" s="439"/>
      <c r="W141" s="423">
        <f t="shared" si="28"/>
        <v>0</v>
      </c>
    </row>
    <row r="142" spans="1:23" ht="24.95" hidden="1" customHeight="1" x14ac:dyDescent="0.2">
      <c r="A142" s="40"/>
      <c r="B142" s="48"/>
      <c r="C142" s="41" t="s">
        <v>68</v>
      </c>
      <c r="D142" s="159"/>
      <c r="E142" s="159"/>
      <c r="F142" s="159"/>
      <c r="G142" s="159"/>
      <c r="H142" s="159"/>
      <c r="I142" s="159"/>
      <c r="J142" s="159"/>
      <c r="K142" s="159"/>
      <c r="L142" s="159"/>
      <c r="M142" s="159"/>
      <c r="N142" s="159"/>
      <c r="O142" s="159">
        <f t="shared" si="26"/>
        <v>0</v>
      </c>
      <c r="P142" s="159"/>
      <c r="Q142" s="159"/>
      <c r="R142" s="159"/>
      <c r="S142" s="159"/>
      <c r="T142" s="159"/>
      <c r="U142" s="159">
        <f t="shared" si="27"/>
        <v>0</v>
      </c>
      <c r="V142" s="439"/>
      <c r="W142" s="423">
        <f t="shared" si="28"/>
        <v>0</v>
      </c>
    </row>
    <row r="143" spans="1:23" ht="24.95" hidden="1" customHeight="1" thickBot="1" x14ac:dyDescent="0.25">
      <c r="A143" s="40"/>
      <c r="B143" s="48"/>
      <c r="C143" s="49"/>
      <c r="D143" s="159"/>
      <c r="E143" s="159"/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439"/>
      <c r="W143" s="423">
        <f t="shared" si="28"/>
        <v>0</v>
      </c>
    </row>
    <row r="144" spans="1:23" ht="24.95" hidden="1" customHeight="1" thickTop="1" thickBot="1" x14ac:dyDescent="0.25">
      <c r="A144" s="47"/>
      <c r="B144" s="43"/>
      <c r="C144" s="44" t="s">
        <v>30</v>
      </c>
      <c r="D144" s="167">
        <f t="shared" ref="D144:O144" si="29">SUM(D128:D143)</f>
        <v>0</v>
      </c>
      <c r="E144" s="167">
        <f t="shared" si="29"/>
        <v>0</v>
      </c>
      <c r="F144" s="167">
        <f t="shared" si="29"/>
        <v>0</v>
      </c>
      <c r="G144" s="167">
        <f t="shared" si="29"/>
        <v>0</v>
      </c>
      <c r="H144" s="167">
        <f t="shared" si="29"/>
        <v>0</v>
      </c>
      <c r="I144" s="167">
        <f t="shared" si="29"/>
        <v>0</v>
      </c>
      <c r="J144" s="167">
        <f t="shared" si="29"/>
        <v>0</v>
      </c>
      <c r="K144" s="167">
        <f t="shared" si="29"/>
        <v>0</v>
      </c>
      <c r="L144" s="167">
        <f t="shared" si="29"/>
        <v>0</v>
      </c>
      <c r="M144" s="167">
        <f t="shared" si="29"/>
        <v>0</v>
      </c>
      <c r="N144" s="167">
        <f t="shared" si="29"/>
        <v>0</v>
      </c>
      <c r="O144" s="167">
        <f t="shared" si="29"/>
        <v>0</v>
      </c>
      <c r="P144" s="167"/>
      <c r="Q144" s="167">
        <f>SUM(Q128:Q143)</f>
        <v>0</v>
      </c>
      <c r="R144" s="167">
        <f>SUM(R128:R143)</f>
        <v>0</v>
      </c>
      <c r="S144" s="167">
        <f>SUM(S128:S143)</f>
        <v>0</v>
      </c>
      <c r="T144" s="167">
        <f>SUM(T128:T143)</f>
        <v>0</v>
      </c>
      <c r="U144" s="167">
        <f>SUM(U128:U143)</f>
        <v>0</v>
      </c>
      <c r="V144" s="277"/>
      <c r="W144" s="428">
        <f>O144+U144</f>
        <v>0</v>
      </c>
    </row>
    <row r="145" spans="1:24" ht="9.9499999999999993" hidden="1" customHeight="1" thickTop="1" x14ac:dyDescent="0.2">
      <c r="A145" s="192"/>
      <c r="B145" s="193"/>
      <c r="C145" s="194"/>
      <c r="D145" s="195"/>
      <c r="E145" s="195"/>
      <c r="F145" s="195"/>
      <c r="G145" s="195"/>
      <c r="H145" s="195"/>
      <c r="I145" s="195"/>
      <c r="J145" s="195"/>
      <c r="K145" s="195"/>
      <c r="L145" s="195"/>
      <c r="M145" s="195"/>
      <c r="N145" s="195"/>
      <c r="O145" s="195"/>
      <c r="P145" s="195"/>
      <c r="Q145" s="195"/>
      <c r="R145" s="195"/>
      <c r="S145" s="195"/>
      <c r="T145" s="195"/>
      <c r="U145" s="440"/>
      <c r="V145" s="196"/>
      <c r="W145" s="429"/>
    </row>
    <row r="146" spans="1:24" ht="24.95" hidden="1" customHeight="1" x14ac:dyDescent="0.2">
      <c r="A146" s="197"/>
      <c r="B146" s="198"/>
      <c r="C146" s="206" t="s">
        <v>68</v>
      </c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>
        <f>SUM(D146:N146)</f>
        <v>0</v>
      </c>
      <c r="P146" s="199"/>
      <c r="Q146" s="199"/>
      <c r="R146" s="199"/>
      <c r="S146" s="199"/>
      <c r="T146" s="199"/>
      <c r="U146" s="441">
        <f>SUM(Q146:T146)</f>
        <v>0</v>
      </c>
      <c r="V146" s="442"/>
      <c r="W146" s="423">
        <f>O146+U146</f>
        <v>0</v>
      </c>
    </row>
    <row r="147" spans="1:24" ht="9.9499999999999993" hidden="1" customHeight="1" thickBot="1" x14ac:dyDescent="0.25">
      <c r="A147" s="201"/>
      <c r="B147" s="202"/>
      <c r="C147" s="203"/>
      <c r="D147" s="204"/>
      <c r="E147" s="204"/>
      <c r="F147" s="204"/>
      <c r="G147" s="204"/>
      <c r="H147" s="204"/>
      <c r="I147" s="204"/>
      <c r="J147" s="204"/>
      <c r="K147" s="204"/>
      <c r="L147" s="204"/>
      <c r="M147" s="204"/>
      <c r="N147" s="204"/>
      <c r="O147" s="204"/>
      <c r="P147" s="204"/>
      <c r="Q147" s="204"/>
      <c r="R147" s="204"/>
      <c r="S147" s="204"/>
      <c r="T147" s="204"/>
      <c r="U147" s="443"/>
      <c r="V147" s="205"/>
      <c r="W147" s="430"/>
    </row>
    <row r="148" spans="1:24" ht="24.95" hidden="1" customHeight="1" thickTop="1" thickBot="1" x14ac:dyDescent="0.25">
      <c r="A148" s="92"/>
      <c r="B148" s="92" t="s">
        <v>98</v>
      </c>
      <c r="C148" s="44" t="s">
        <v>157</v>
      </c>
      <c r="D148" s="210">
        <f t="shared" ref="D148:O148" si="30">D97+D126+D144</f>
        <v>2235969.7129999995</v>
      </c>
      <c r="E148" s="210">
        <f t="shared" si="30"/>
        <v>0</v>
      </c>
      <c r="F148" s="210">
        <f t="shared" si="30"/>
        <v>53070</v>
      </c>
      <c r="G148" s="210">
        <f t="shared" si="30"/>
        <v>8402007</v>
      </c>
      <c r="H148" s="210">
        <f t="shared" si="30"/>
        <v>2188417.713</v>
      </c>
      <c r="I148" s="210">
        <f t="shared" si="30"/>
        <v>3370</v>
      </c>
      <c r="J148" s="210">
        <f t="shared" si="30"/>
        <v>300000</v>
      </c>
      <c r="K148" s="210">
        <f t="shared" si="30"/>
        <v>37643.873</v>
      </c>
      <c r="L148" s="210">
        <f t="shared" si="30"/>
        <v>1095678</v>
      </c>
      <c r="M148" s="210">
        <f t="shared" si="30"/>
        <v>21300</v>
      </c>
      <c r="N148" s="210">
        <f t="shared" si="30"/>
        <v>50000</v>
      </c>
      <c r="O148" s="210">
        <f t="shared" si="30"/>
        <v>14387456.299000001</v>
      </c>
      <c r="P148" s="210"/>
      <c r="Q148" s="210">
        <f>Q97+Q126+Q144</f>
        <v>6000000</v>
      </c>
      <c r="R148" s="210">
        <f>R97+R126+R144</f>
        <v>5041090.5969999991</v>
      </c>
      <c r="S148" s="210">
        <f>S97+S126+S144</f>
        <v>0</v>
      </c>
      <c r="T148" s="210">
        <f>T97+T126+T144</f>
        <v>0</v>
      </c>
      <c r="U148" s="210">
        <f>U97+U126+U144</f>
        <v>11041090.596999999</v>
      </c>
      <c r="V148" s="278"/>
      <c r="W148" s="425">
        <f>W97+W126+W144</f>
        <v>25428546.895999998</v>
      </c>
      <c r="X148" s="29"/>
    </row>
    <row r="149" spans="1:24" ht="24.95" customHeight="1" thickTop="1" x14ac:dyDescent="0.2">
      <c r="A149" s="586"/>
      <c r="B149" s="736" t="s">
        <v>192</v>
      </c>
      <c r="C149" s="572" t="s">
        <v>18</v>
      </c>
      <c r="D149" s="560">
        <f t="shared" ref="D149:U149" si="31">D148</f>
        <v>2235969.7129999995</v>
      </c>
      <c r="E149" s="560">
        <f t="shared" si="31"/>
        <v>0</v>
      </c>
      <c r="F149" s="560">
        <f t="shared" si="31"/>
        <v>53070</v>
      </c>
      <c r="G149" s="560">
        <f t="shared" si="31"/>
        <v>8402007</v>
      </c>
      <c r="H149" s="560">
        <f t="shared" si="31"/>
        <v>2188417.713</v>
      </c>
      <c r="I149" s="560">
        <f t="shared" si="31"/>
        <v>3370</v>
      </c>
      <c r="J149" s="560">
        <f t="shared" si="31"/>
        <v>300000</v>
      </c>
      <c r="K149" s="560">
        <f t="shared" si="31"/>
        <v>37643.873</v>
      </c>
      <c r="L149" s="560">
        <f t="shared" si="31"/>
        <v>1095678</v>
      </c>
      <c r="M149" s="560">
        <f t="shared" si="31"/>
        <v>21300</v>
      </c>
      <c r="N149" s="560">
        <f t="shared" si="31"/>
        <v>50000</v>
      </c>
      <c r="O149" s="560">
        <f t="shared" si="31"/>
        <v>14387456.299000001</v>
      </c>
      <c r="P149" s="560"/>
      <c r="Q149" s="560">
        <f t="shared" si="31"/>
        <v>6000000</v>
      </c>
      <c r="R149" s="560">
        <f t="shared" si="31"/>
        <v>5041090.5969999991</v>
      </c>
      <c r="S149" s="560">
        <f t="shared" si="31"/>
        <v>0</v>
      </c>
      <c r="T149" s="560">
        <f t="shared" si="31"/>
        <v>0</v>
      </c>
      <c r="U149" s="560">
        <f t="shared" si="31"/>
        <v>11041090.596999999</v>
      </c>
      <c r="V149" s="561"/>
      <c r="W149" s="562">
        <f>O149+U149+W146</f>
        <v>25428546.895999998</v>
      </c>
    </row>
    <row r="150" spans="1:24" ht="20.100000000000001" customHeight="1" x14ac:dyDescent="0.2">
      <c r="A150" s="40"/>
      <c r="B150" s="570"/>
      <c r="C150" s="33"/>
      <c r="D150" s="174"/>
      <c r="E150" s="174"/>
      <c r="G150" s="174"/>
      <c r="H150" s="182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4"/>
      <c r="U150" s="174"/>
      <c r="V150" s="434"/>
      <c r="W150" s="423"/>
    </row>
    <row r="151" spans="1:24" ht="20.100000000000001" customHeight="1" x14ac:dyDescent="0.2">
      <c r="A151" s="40">
        <v>1</v>
      </c>
      <c r="B151" s="50" t="s">
        <v>627</v>
      </c>
      <c r="C151" s="33" t="s">
        <v>678</v>
      </c>
      <c r="D151" s="174">
        <v>12245.191000000001</v>
      </c>
      <c r="E151" s="174"/>
      <c r="G151" s="174"/>
      <c r="H151" s="182"/>
      <c r="I151" s="174"/>
      <c r="J151" s="174"/>
      <c r="K151" s="174"/>
      <c r="L151" s="174"/>
      <c r="M151" s="174"/>
      <c r="N151" s="174"/>
      <c r="O151" s="174">
        <f>SUM(D151:N151)</f>
        <v>12245.191000000001</v>
      </c>
      <c r="P151" s="174"/>
      <c r="Q151" s="174"/>
      <c r="R151" s="174"/>
      <c r="S151" s="174"/>
      <c r="T151" s="174"/>
      <c r="U151" s="174">
        <f t="shared" ref="U151:U177" si="32">SUM(Q151:T151)</f>
        <v>0</v>
      </c>
      <c r="V151" s="434"/>
      <c r="W151" s="423">
        <f t="shared" ref="W151:W177" si="33">O151+U151</f>
        <v>12245.191000000001</v>
      </c>
    </row>
    <row r="152" spans="1:24" ht="20.100000000000001" customHeight="1" x14ac:dyDescent="0.2">
      <c r="A152" s="185">
        <v>2</v>
      </c>
      <c r="B152" s="292" t="s">
        <v>628</v>
      </c>
      <c r="C152" s="33" t="s">
        <v>679</v>
      </c>
      <c r="D152" s="174">
        <v>5775.4930000000004</v>
      </c>
      <c r="E152" s="174"/>
      <c r="G152" s="174"/>
      <c r="H152" s="182"/>
      <c r="I152" s="174"/>
      <c r="J152" s="174"/>
      <c r="K152" s="174"/>
      <c r="L152" s="174"/>
      <c r="M152" s="174"/>
      <c r="N152" s="174"/>
      <c r="O152" s="174">
        <f>SUM(D152:N152)</f>
        <v>5775.4930000000004</v>
      </c>
      <c r="P152" s="174"/>
      <c r="Q152" s="174"/>
      <c r="R152" s="174"/>
      <c r="S152" s="174"/>
      <c r="T152" s="174"/>
      <c r="U152" s="174">
        <f>SUM(Q152:T152)</f>
        <v>0</v>
      </c>
      <c r="V152" s="434"/>
      <c r="W152" s="423">
        <f>O152+U152</f>
        <v>5775.4930000000004</v>
      </c>
    </row>
    <row r="153" spans="1:24" ht="20.100000000000001" customHeight="1" x14ac:dyDescent="0.2">
      <c r="A153" s="40">
        <v>3</v>
      </c>
      <c r="B153" s="50" t="s">
        <v>628</v>
      </c>
      <c r="C153" s="33" t="s">
        <v>629</v>
      </c>
      <c r="D153" s="182">
        <v>4275.6899999999996</v>
      </c>
      <c r="E153" s="174"/>
      <c r="F153" s="174"/>
      <c r="G153" s="174"/>
      <c r="H153" s="182"/>
      <c r="I153" s="174"/>
      <c r="J153" s="174"/>
      <c r="K153" s="174"/>
      <c r="L153" s="174"/>
      <c r="M153" s="174"/>
      <c r="N153" s="174"/>
      <c r="O153" s="174">
        <f t="shared" ref="O153:O177" si="34">SUM(D153:N153)</f>
        <v>4275.6899999999996</v>
      </c>
      <c r="P153" s="174"/>
      <c r="Q153" s="174"/>
      <c r="R153" s="174"/>
      <c r="S153" s="174"/>
      <c r="T153" s="174"/>
      <c r="U153" s="174">
        <f t="shared" si="32"/>
        <v>0</v>
      </c>
      <c r="V153" s="434"/>
      <c r="W153" s="423">
        <f t="shared" si="33"/>
        <v>4275.6899999999996</v>
      </c>
    </row>
    <row r="154" spans="1:24" ht="20.100000000000001" customHeight="1" x14ac:dyDescent="0.2">
      <c r="A154" s="185">
        <v>4</v>
      </c>
      <c r="B154" s="50" t="s">
        <v>628</v>
      </c>
      <c r="C154" s="33" t="s">
        <v>632</v>
      </c>
      <c r="D154" s="182">
        <f>2253.362</f>
        <v>2253.3620000000001</v>
      </c>
      <c r="E154" s="174"/>
      <c r="F154" s="174"/>
      <c r="G154" s="174"/>
      <c r="H154" s="182"/>
      <c r="I154" s="174"/>
      <c r="J154" s="174"/>
      <c r="K154" s="174"/>
      <c r="L154" s="174"/>
      <c r="M154" s="174"/>
      <c r="N154" s="335"/>
      <c r="O154" s="174">
        <f t="shared" si="34"/>
        <v>2253.3620000000001</v>
      </c>
      <c r="P154" s="174"/>
      <c r="Q154" s="174"/>
      <c r="R154" s="174"/>
      <c r="S154" s="174"/>
      <c r="T154" s="174"/>
      <c r="U154" s="174">
        <f t="shared" si="32"/>
        <v>0</v>
      </c>
      <c r="V154" s="434"/>
      <c r="W154" s="423">
        <f t="shared" si="33"/>
        <v>2253.3620000000001</v>
      </c>
    </row>
    <row r="155" spans="1:24" ht="20.100000000000001" customHeight="1" x14ac:dyDescent="0.2">
      <c r="A155" s="40">
        <v>5</v>
      </c>
      <c r="B155" s="292" t="s">
        <v>648</v>
      </c>
      <c r="C155" s="33" t="s">
        <v>649</v>
      </c>
      <c r="D155" s="182"/>
      <c r="E155" s="174"/>
      <c r="F155" s="174"/>
      <c r="G155" s="174"/>
      <c r="H155" s="182">
        <f>44</f>
        <v>44</v>
      </c>
      <c r="I155" s="174"/>
      <c r="J155" s="174"/>
      <c r="K155" s="174"/>
      <c r="L155" s="174">
        <f>162</f>
        <v>162</v>
      </c>
      <c r="M155" s="174"/>
      <c r="O155" s="174">
        <f t="shared" si="34"/>
        <v>206</v>
      </c>
      <c r="P155" s="174"/>
      <c r="Q155" s="174"/>
      <c r="R155" s="174"/>
      <c r="S155" s="174"/>
      <c r="T155" s="174"/>
      <c r="U155" s="174">
        <f t="shared" si="32"/>
        <v>0</v>
      </c>
      <c r="V155" s="434"/>
      <c r="W155" s="423">
        <f t="shared" si="33"/>
        <v>206</v>
      </c>
    </row>
    <row r="156" spans="1:24" ht="20.100000000000001" customHeight="1" x14ac:dyDescent="0.2">
      <c r="A156" s="185">
        <v>6</v>
      </c>
      <c r="B156" s="292" t="s">
        <v>662</v>
      </c>
      <c r="C156" s="33" t="s">
        <v>663</v>
      </c>
      <c r="D156" s="182"/>
      <c r="E156" s="174"/>
      <c r="F156" s="174"/>
      <c r="G156" s="174"/>
      <c r="H156" s="182">
        <f>299+15</f>
        <v>314</v>
      </c>
      <c r="I156" s="174"/>
      <c r="J156" s="174"/>
      <c r="K156" s="174"/>
      <c r="L156" s="174"/>
      <c r="M156" s="174"/>
      <c r="N156" s="174"/>
      <c r="O156" s="174">
        <f t="shared" si="34"/>
        <v>314</v>
      </c>
      <c r="P156" s="174"/>
      <c r="Q156" s="174"/>
      <c r="R156" s="174"/>
      <c r="S156" s="174"/>
      <c r="T156" s="174"/>
      <c r="U156" s="174">
        <f t="shared" si="32"/>
        <v>0</v>
      </c>
      <c r="V156" s="434"/>
      <c r="W156" s="423">
        <f t="shared" si="33"/>
        <v>314</v>
      </c>
    </row>
    <row r="157" spans="1:24" ht="20.100000000000001" customHeight="1" x14ac:dyDescent="0.2">
      <c r="A157" s="40">
        <v>7</v>
      </c>
      <c r="B157" s="292" t="s">
        <v>670</v>
      </c>
      <c r="C157" s="33" t="s">
        <v>680</v>
      </c>
      <c r="D157" s="182">
        <f>7193.517</f>
        <v>7193.5169999999998</v>
      </c>
      <c r="E157" s="174"/>
      <c r="F157" s="174"/>
      <c r="G157" s="174"/>
      <c r="H157" s="182"/>
      <c r="I157" s="174"/>
      <c r="J157" s="174"/>
      <c r="K157" s="174"/>
      <c r="L157" s="174"/>
      <c r="M157" s="174"/>
      <c r="N157" s="174"/>
      <c r="O157" s="174">
        <f t="shared" si="34"/>
        <v>7193.5169999999998</v>
      </c>
      <c r="P157" s="174"/>
      <c r="Q157" s="174"/>
      <c r="R157" s="174"/>
      <c r="S157" s="174"/>
      <c r="T157" s="174"/>
      <c r="U157" s="174">
        <f t="shared" si="32"/>
        <v>0</v>
      </c>
      <c r="V157" s="434"/>
      <c r="W157" s="423">
        <f t="shared" si="33"/>
        <v>7193.5169999999998</v>
      </c>
    </row>
    <row r="158" spans="1:24" ht="20.100000000000001" customHeight="1" x14ac:dyDescent="0.2">
      <c r="A158" s="185">
        <v>8</v>
      </c>
      <c r="B158" s="50" t="s">
        <v>681</v>
      </c>
      <c r="C158" s="33" t="s">
        <v>682</v>
      </c>
      <c r="D158" s="182"/>
      <c r="E158" s="174"/>
      <c r="F158" s="174"/>
      <c r="G158" s="174"/>
      <c r="H158" s="182">
        <f>-800-216</f>
        <v>-1016</v>
      </c>
      <c r="I158" s="174"/>
      <c r="J158" s="174"/>
      <c r="K158" s="174"/>
      <c r="L158" s="174"/>
      <c r="M158" s="174"/>
      <c r="N158" s="174"/>
      <c r="O158" s="174">
        <f t="shared" si="34"/>
        <v>-1016</v>
      </c>
      <c r="P158" s="174"/>
      <c r="Q158" s="174"/>
      <c r="R158" s="174"/>
      <c r="S158" s="174"/>
      <c r="T158" s="174"/>
      <c r="U158" s="174">
        <f t="shared" si="32"/>
        <v>0</v>
      </c>
      <c r="V158" s="434"/>
      <c r="W158" s="423">
        <f t="shared" si="33"/>
        <v>-1016</v>
      </c>
    </row>
    <row r="159" spans="1:24" ht="20.100000000000001" customHeight="1" x14ac:dyDescent="0.2">
      <c r="A159" s="40">
        <v>9</v>
      </c>
      <c r="B159" s="292" t="s">
        <v>683</v>
      </c>
      <c r="C159" s="33" t="s">
        <v>498</v>
      </c>
      <c r="D159" s="182">
        <f>-838.378-9768.47-22359.067-1056.132+1056.132</f>
        <v>-32965.915000000001</v>
      </c>
      <c r="E159" s="174"/>
      <c r="F159" s="174"/>
      <c r="G159" s="174"/>
      <c r="H159" s="182"/>
      <c r="I159" s="174"/>
      <c r="J159" s="174"/>
      <c r="K159" s="174"/>
      <c r="M159" s="174"/>
      <c r="N159" s="174"/>
      <c r="O159" s="174">
        <f t="shared" si="34"/>
        <v>-32965.915000000001</v>
      </c>
      <c r="P159" s="174"/>
      <c r="Q159" s="174"/>
      <c r="R159" s="174"/>
      <c r="S159" s="174"/>
      <c r="T159" s="174"/>
      <c r="U159" s="174">
        <f t="shared" si="32"/>
        <v>0</v>
      </c>
      <c r="V159" s="434"/>
      <c r="W159" s="423">
        <f t="shared" si="33"/>
        <v>-32965.915000000001</v>
      </c>
    </row>
    <row r="160" spans="1:24" ht="20.100000000000001" customHeight="1" x14ac:dyDescent="0.2">
      <c r="A160" s="185">
        <v>10</v>
      </c>
      <c r="B160" s="50" t="s">
        <v>686</v>
      </c>
      <c r="C160" s="33" t="s">
        <v>687</v>
      </c>
      <c r="D160" s="182">
        <f>-500</f>
        <v>-500</v>
      </c>
      <c r="E160" s="174"/>
      <c r="F160" s="174">
        <f>-143.12</f>
        <v>-143.12</v>
      </c>
      <c r="G160" s="174"/>
      <c r="H160" s="182"/>
      <c r="I160" s="174"/>
      <c r="J160" s="174"/>
      <c r="K160" s="174"/>
      <c r="M160" s="174"/>
      <c r="N160" s="174"/>
      <c r="O160" s="174">
        <f t="shared" si="34"/>
        <v>-643.12</v>
      </c>
      <c r="P160" s="174"/>
      <c r="Q160" s="174"/>
      <c r="R160" s="174"/>
      <c r="S160" s="174"/>
      <c r="T160" s="174"/>
      <c r="U160" s="174">
        <f t="shared" si="32"/>
        <v>0</v>
      </c>
      <c r="V160" s="434"/>
      <c r="W160" s="423">
        <f t="shared" si="33"/>
        <v>-643.12</v>
      </c>
    </row>
    <row r="161" spans="1:23" ht="20.100000000000001" customHeight="1" x14ac:dyDescent="0.2">
      <c r="A161" s="40">
        <v>11</v>
      </c>
      <c r="B161" s="50" t="s">
        <v>688</v>
      </c>
      <c r="C161" s="33" t="s">
        <v>689</v>
      </c>
      <c r="D161" s="182"/>
      <c r="E161" s="174"/>
      <c r="F161" s="174">
        <v>939</v>
      </c>
      <c r="G161" s="174"/>
      <c r="H161" s="182"/>
      <c r="I161" s="174"/>
      <c r="J161" s="174"/>
      <c r="K161" s="174"/>
      <c r="M161" s="174"/>
      <c r="N161" s="174"/>
      <c r="O161" s="174">
        <f t="shared" si="34"/>
        <v>939</v>
      </c>
      <c r="P161" s="174"/>
      <c r="Q161" s="174"/>
      <c r="R161" s="174"/>
      <c r="S161" s="174"/>
      <c r="T161" s="174"/>
      <c r="U161" s="174">
        <f t="shared" si="32"/>
        <v>0</v>
      </c>
      <c r="V161" s="434"/>
      <c r="W161" s="423">
        <f t="shared" si="33"/>
        <v>939</v>
      </c>
    </row>
    <row r="162" spans="1:23" ht="20.100000000000001" customHeight="1" x14ac:dyDescent="0.2">
      <c r="A162" s="185">
        <v>12</v>
      </c>
      <c r="B162" s="292" t="s">
        <v>691</v>
      </c>
      <c r="C162" s="33" t="s">
        <v>692</v>
      </c>
      <c r="D162" s="182"/>
      <c r="E162" s="174"/>
      <c r="F162" s="174"/>
      <c r="G162" s="174"/>
      <c r="H162" s="182"/>
      <c r="I162" s="174"/>
      <c r="J162" s="174"/>
      <c r="K162" s="174">
        <f>8125</f>
        <v>8125</v>
      </c>
      <c r="L162" s="174"/>
      <c r="M162" s="174"/>
      <c r="N162" s="174"/>
      <c r="O162" s="174">
        <f t="shared" si="34"/>
        <v>8125</v>
      </c>
      <c r="P162" s="174"/>
      <c r="Q162" s="174"/>
      <c r="R162" s="174"/>
      <c r="S162" s="174"/>
      <c r="T162" s="174"/>
      <c r="U162" s="174">
        <f t="shared" si="32"/>
        <v>0</v>
      </c>
      <c r="V162" s="445"/>
      <c r="W162" s="423">
        <f t="shared" si="33"/>
        <v>8125</v>
      </c>
    </row>
    <row r="163" spans="1:23" ht="20.100000000000001" customHeight="1" x14ac:dyDescent="0.2">
      <c r="A163" s="40">
        <v>13</v>
      </c>
      <c r="B163" s="50" t="s">
        <v>695</v>
      </c>
      <c r="C163" s="33" t="s">
        <v>696</v>
      </c>
      <c r="D163" s="182"/>
      <c r="E163" s="174"/>
      <c r="F163" s="174">
        <f>1</f>
        <v>1</v>
      </c>
      <c r="G163" s="174"/>
      <c r="H163" s="182"/>
      <c r="I163" s="174"/>
      <c r="J163" s="174"/>
      <c r="K163" s="174"/>
      <c r="L163" s="174"/>
      <c r="M163" s="174"/>
      <c r="N163" s="174"/>
      <c r="O163" s="174">
        <f t="shared" si="34"/>
        <v>1</v>
      </c>
      <c r="P163" s="174"/>
      <c r="Q163" s="174"/>
      <c r="R163" s="174"/>
      <c r="S163" s="174"/>
      <c r="T163" s="174"/>
      <c r="U163" s="174">
        <f t="shared" si="32"/>
        <v>0</v>
      </c>
      <c r="V163" s="434"/>
      <c r="W163" s="423">
        <f t="shared" si="33"/>
        <v>1</v>
      </c>
    </row>
    <row r="164" spans="1:23" ht="20.100000000000001" customHeight="1" x14ac:dyDescent="0.2">
      <c r="A164" s="185">
        <v>14</v>
      </c>
      <c r="B164" s="292" t="s">
        <v>697</v>
      </c>
      <c r="C164" s="33" t="s">
        <v>698</v>
      </c>
      <c r="D164" s="182"/>
      <c r="E164" s="174"/>
      <c r="F164" s="174"/>
      <c r="G164" s="174"/>
      <c r="H164" s="182">
        <f>5180+1399</f>
        <v>6579</v>
      </c>
      <c r="I164" s="174"/>
      <c r="J164" s="174"/>
      <c r="K164" s="174"/>
      <c r="L164" s="174"/>
      <c r="M164" s="174"/>
      <c r="N164" s="174"/>
      <c r="O164" s="174">
        <f t="shared" si="34"/>
        <v>6579</v>
      </c>
      <c r="P164" s="174"/>
      <c r="Q164" s="174"/>
      <c r="R164" s="174"/>
      <c r="S164" s="174"/>
      <c r="T164" s="174"/>
      <c r="U164" s="174">
        <f t="shared" si="32"/>
        <v>0</v>
      </c>
      <c r="V164" s="434"/>
      <c r="W164" s="423">
        <f t="shared" si="33"/>
        <v>6579</v>
      </c>
    </row>
    <row r="165" spans="1:23" ht="20.100000000000001" customHeight="1" x14ac:dyDescent="0.2">
      <c r="A165" s="40">
        <v>15</v>
      </c>
      <c r="B165" s="292" t="s">
        <v>705</v>
      </c>
      <c r="C165" s="33" t="s">
        <v>706</v>
      </c>
      <c r="D165" s="182"/>
      <c r="E165" s="174"/>
      <c r="F165" s="174"/>
      <c r="G165" s="174"/>
      <c r="H165" s="182">
        <f>4318.793+5787.148+1166.27+1562.501</f>
        <v>12834.712</v>
      </c>
      <c r="I165" s="174"/>
      <c r="J165" s="174"/>
      <c r="K165" s="174"/>
      <c r="L165" s="174"/>
      <c r="M165" s="174"/>
      <c r="N165" s="174"/>
      <c r="O165" s="174">
        <f t="shared" si="34"/>
        <v>12834.712</v>
      </c>
      <c r="P165" s="174"/>
      <c r="Q165" s="174"/>
      <c r="R165" s="174"/>
      <c r="S165" s="174"/>
      <c r="T165" s="174"/>
      <c r="U165" s="174">
        <f t="shared" si="32"/>
        <v>0</v>
      </c>
      <c r="V165" s="434"/>
      <c r="W165" s="423">
        <f t="shared" si="33"/>
        <v>12834.712</v>
      </c>
    </row>
    <row r="166" spans="1:23" ht="20.100000000000001" customHeight="1" x14ac:dyDescent="0.2">
      <c r="A166" s="185">
        <v>16</v>
      </c>
      <c r="B166" s="739" t="s">
        <v>716</v>
      </c>
      <c r="C166" s="33" t="s">
        <v>715</v>
      </c>
      <c r="D166" s="182"/>
      <c r="E166" s="174">
        <v>3750</v>
      </c>
      <c r="F166" s="174"/>
      <c r="G166" s="174"/>
      <c r="H166" s="182"/>
      <c r="I166" s="174"/>
      <c r="J166" s="174"/>
      <c r="K166" s="174"/>
      <c r="L166" s="174"/>
      <c r="M166" s="174"/>
      <c r="N166" s="174"/>
      <c r="O166" s="174">
        <f t="shared" si="34"/>
        <v>3750</v>
      </c>
      <c r="P166" s="174"/>
      <c r="Q166" s="174"/>
      <c r="R166" s="174"/>
      <c r="S166" s="174"/>
      <c r="T166" s="174"/>
      <c r="U166" s="174">
        <f t="shared" si="32"/>
        <v>0</v>
      </c>
      <c r="V166" s="434"/>
      <c r="W166" s="423">
        <f t="shared" si="33"/>
        <v>3750</v>
      </c>
    </row>
    <row r="167" spans="1:23" ht="20.100000000000001" hidden="1" customHeight="1" x14ac:dyDescent="0.2">
      <c r="A167" s="40"/>
      <c r="B167" s="50"/>
      <c r="C167" s="33"/>
      <c r="D167" s="182"/>
      <c r="E167" s="174"/>
      <c r="F167" s="174"/>
      <c r="G167" s="174"/>
      <c r="H167" s="182"/>
      <c r="I167" s="174"/>
      <c r="J167" s="174"/>
      <c r="K167" s="174"/>
      <c r="L167" s="174"/>
      <c r="M167" s="174"/>
      <c r="N167" s="174"/>
      <c r="O167" s="174">
        <f t="shared" si="34"/>
        <v>0</v>
      </c>
      <c r="P167" s="174"/>
      <c r="Q167" s="174"/>
      <c r="R167" s="174"/>
      <c r="S167" s="174"/>
      <c r="T167" s="174"/>
      <c r="U167" s="174">
        <f t="shared" si="32"/>
        <v>0</v>
      </c>
      <c r="V167" s="434"/>
      <c r="W167" s="423">
        <f t="shared" si="33"/>
        <v>0</v>
      </c>
    </row>
    <row r="168" spans="1:23" ht="20.100000000000001" hidden="1" customHeight="1" x14ac:dyDescent="0.2">
      <c r="A168" s="40"/>
      <c r="B168" s="50"/>
      <c r="C168" s="33"/>
      <c r="D168" s="182"/>
      <c r="E168" s="174"/>
      <c r="F168" s="174"/>
      <c r="G168" s="174"/>
      <c r="H168" s="182"/>
      <c r="I168" s="174"/>
      <c r="J168" s="174"/>
      <c r="K168" s="174"/>
      <c r="L168" s="174"/>
      <c r="M168" s="174"/>
      <c r="N168" s="174"/>
      <c r="O168" s="174">
        <f t="shared" si="34"/>
        <v>0</v>
      </c>
      <c r="P168" s="174"/>
      <c r="Q168" s="174"/>
      <c r="R168" s="174"/>
      <c r="S168" s="174"/>
      <c r="T168" s="174"/>
      <c r="U168" s="174">
        <f t="shared" si="32"/>
        <v>0</v>
      </c>
      <c r="V168" s="434"/>
      <c r="W168" s="423">
        <f t="shared" si="33"/>
        <v>0</v>
      </c>
    </row>
    <row r="169" spans="1:23" ht="20.100000000000001" hidden="1" customHeight="1" x14ac:dyDescent="0.2">
      <c r="A169" s="40"/>
      <c r="B169" s="50"/>
      <c r="C169" s="33"/>
      <c r="D169" s="182"/>
      <c r="E169" s="174"/>
      <c r="F169" s="174"/>
      <c r="G169" s="174"/>
      <c r="H169" s="182"/>
      <c r="I169" s="174"/>
      <c r="J169" s="174"/>
      <c r="K169" s="174"/>
      <c r="L169" s="174"/>
      <c r="M169" s="174"/>
      <c r="N169" s="174"/>
      <c r="O169" s="174">
        <f t="shared" si="34"/>
        <v>0</v>
      </c>
      <c r="P169" s="174"/>
      <c r="Q169" s="174"/>
      <c r="R169" s="174"/>
      <c r="S169" s="174"/>
      <c r="T169" s="174"/>
      <c r="U169" s="174">
        <f t="shared" si="32"/>
        <v>0</v>
      </c>
      <c r="V169" s="434"/>
      <c r="W169" s="423">
        <f t="shared" si="33"/>
        <v>0</v>
      </c>
    </row>
    <row r="170" spans="1:23" ht="20.100000000000001" hidden="1" customHeight="1" x14ac:dyDescent="0.2">
      <c r="A170" s="40"/>
      <c r="B170" s="50"/>
      <c r="C170" s="33"/>
      <c r="D170" s="182"/>
      <c r="E170" s="174"/>
      <c r="F170" s="174"/>
      <c r="G170" s="174"/>
      <c r="H170" s="182"/>
      <c r="I170" s="174"/>
      <c r="J170" s="174"/>
      <c r="K170" s="174"/>
      <c r="L170" s="174"/>
      <c r="M170" s="174"/>
      <c r="N170" s="174"/>
      <c r="O170" s="174">
        <f t="shared" si="34"/>
        <v>0</v>
      </c>
      <c r="P170" s="174"/>
      <c r="Q170" s="174"/>
      <c r="R170" s="174"/>
      <c r="S170" s="174"/>
      <c r="T170" s="174"/>
      <c r="U170" s="174">
        <f t="shared" si="32"/>
        <v>0</v>
      </c>
      <c r="V170" s="434"/>
      <c r="W170" s="423">
        <f t="shared" si="33"/>
        <v>0</v>
      </c>
    </row>
    <row r="171" spans="1:23" ht="20.100000000000001" hidden="1" customHeight="1" x14ac:dyDescent="0.2">
      <c r="A171" s="40"/>
      <c r="B171" s="50"/>
      <c r="C171" s="33"/>
      <c r="D171" s="182"/>
      <c r="E171" s="174"/>
      <c r="F171" s="174"/>
      <c r="G171" s="174"/>
      <c r="H171" s="182"/>
      <c r="I171" s="174"/>
      <c r="J171" s="174"/>
      <c r="K171" s="174"/>
      <c r="L171" s="174"/>
      <c r="M171" s="174"/>
      <c r="N171" s="174"/>
      <c r="O171" s="174">
        <f t="shared" si="34"/>
        <v>0</v>
      </c>
      <c r="P171" s="174"/>
      <c r="Q171" s="174"/>
      <c r="R171" s="174"/>
      <c r="S171" s="174"/>
      <c r="T171" s="174"/>
      <c r="U171" s="174">
        <f t="shared" si="32"/>
        <v>0</v>
      </c>
      <c r="V171" s="434"/>
      <c r="W171" s="423">
        <f t="shared" si="33"/>
        <v>0</v>
      </c>
    </row>
    <row r="172" spans="1:23" ht="20.100000000000001" hidden="1" customHeight="1" x14ac:dyDescent="0.2">
      <c r="A172" s="40"/>
      <c r="B172" s="50"/>
      <c r="C172" s="33"/>
      <c r="D172" s="182"/>
      <c r="E172" s="174"/>
      <c r="F172" s="174"/>
      <c r="G172" s="174"/>
      <c r="H172" s="182"/>
      <c r="I172" s="174"/>
      <c r="J172" s="174"/>
      <c r="K172" s="174"/>
      <c r="L172" s="174"/>
      <c r="M172" s="174"/>
      <c r="N172" s="174"/>
      <c r="O172" s="174">
        <f t="shared" si="34"/>
        <v>0</v>
      </c>
      <c r="P172" s="174"/>
      <c r="Q172" s="174"/>
      <c r="R172" s="174"/>
      <c r="S172" s="174"/>
      <c r="T172" s="174"/>
      <c r="U172" s="174">
        <f t="shared" si="32"/>
        <v>0</v>
      </c>
      <c r="V172" s="434"/>
      <c r="W172" s="423">
        <f t="shared" si="33"/>
        <v>0</v>
      </c>
    </row>
    <row r="173" spans="1:23" ht="20.100000000000001" hidden="1" customHeight="1" x14ac:dyDescent="0.2">
      <c r="A173" s="40"/>
      <c r="B173" s="50"/>
      <c r="C173" s="33"/>
      <c r="D173" s="182"/>
      <c r="E173" s="174"/>
      <c r="F173" s="174"/>
      <c r="G173" s="174"/>
      <c r="H173" s="182"/>
      <c r="I173" s="174"/>
      <c r="J173" s="174"/>
      <c r="K173" s="174"/>
      <c r="L173" s="174"/>
      <c r="M173" s="174"/>
      <c r="N173" s="174"/>
      <c r="O173" s="174">
        <f t="shared" si="34"/>
        <v>0</v>
      </c>
      <c r="P173" s="174"/>
      <c r="Q173" s="174"/>
      <c r="R173" s="174"/>
      <c r="S173" s="174"/>
      <c r="T173" s="174"/>
      <c r="U173" s="174">
        <f t="shared" si="32"/>
        <v>0</v>
      </c>
      <c r="V173" s="434"/>
      <c r="W173" s="423">
        <f t="shared" si="33"/>
        <v>0</v>
      </c>
    </row>
    <row r="174" spans="1:23" ht="20.100000000000001" hidden="1" customHeight="1" x14ac:dyDescent="0.2">
      <c r="A174" s="40"/>
      <c r="B174" s="50"/>
      <c r="C174" s="39"/>
      <c r="D174" s="182"/>
      <c r="E174" s="174"/>
      <c r="F174" s="174"/>
      <c r="G174" s="174"/>
      <c r="H174" s="182"/>
      <c r="I174" s="174"/>
      <c r="J174" s="174"/>
      <c r="K174" s="174"/>
      <c r="L174" s="174"/>
      <c r="M174" s="174"/>
      <c r="N174" s="174"/>
      <c r="O174" s="174">
        <f t="shared" si="34"/>
        <v>0</v>
      </c>
      <c r="P174" s="174"/>
      <c r="Q174" s="174"/>
      <c r="R174" s="174"/>
      <c r="S174" s="174"/>
      <c r="T174" s="174"/>
      <c r="U174" s="174">
        <f t="shared" si="32"/>
        <v>0</v>
      </c>
      <c r="V174" s="434"/>
      <c r="W174" s="423">
        <f t="shared" si="33"/>
        <v>0</v>
      </c>
    </row>
    <row r="175" spans="1:23" ht="20.100000000000001" hidden="1" customHeight="1" x14ac:dyDescent="0.2">
      <c r="A175" s="40"/>
      <c r="B175" s="50"/>
      <c r="C175" s="33"/>
      <c r="D175" s="182"/>
      <c r="E175" s="174"/>
      <c r="F175" s="174"/>
      <c r="G175" s="174"/>
      <c r="H175" s="182"/>
      <c r="I175" s="174"/>
      <c r="J175" s="174"/>
      <c r="K175" s="174"/>
      <c r="L175" s="174"/>
      <c r="M175" s="174"/>
      <c r="N175" s="174"/>
      <c r="O175" s="174">
        <f t="shared" si="34"/>
        <v>0</v>
      </c>
      <c r="P175" s="174"/>
      <c r="Q175" s="174"/>
      <c r="R175" s="174"/>
      <c r="S175" s="174"/>
      <c r="T175" s="174"/>
      <c r="U175" s="174">
        <f t="shared" si="32"/>
        <v>0</v>
      </c>
      <c r="V175" s="434"/>
      <c r="W175" s="423">
        <f t="shared" si="33"/>
        <v>0</v>
      </c>
    </row>
    <row r="176" spans="1:23" ht="9.9499999999999993" customHeight="1" x14ac:dyDescent="0.2">
      <c r="A176" s="40"/>
      <c r="B176" s="50"/>
      <c r="C176" s="33"/>
      <c r="D176" s="182"/>
      <c r="E176" s="174"/>
      <c r="F176" s="174"/>
      <c r="G176" s="174"/>
      <c r="H176" s="182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4"/>
      <c r="U176" s="174"/>
      <c r="V176" s="434"/>
      <c r="W176" s="423"/>
    </row>
    <row r="177" spans="1:23" ht="20.100000000000001" customHeight="1" x14ac:dyDescent="0.2">
      <c r="A177" s="40"/>
      <c r="B177" s="50"/>
      <c r="C177" s="33" t="s">
        <v>68</v>
      </c>
      <c r="D177" s="182"/>
      <c r="E177" s="174"/>
      <c r="F177" s="174"/>
      <c r="G177" s="174"/>
      <c r="H177" s="182"/>
      <c r="I177" s="174"/>
      <c r="J177" s="174"/>
      <c r="K177" s="174"/>
      <c r="L177" s="174"/>
      <c r="M177" s="174"/>
      <c r="N177" s="174"/>
      <c r="O177" s="174">
        <v>-0.5</v>
      </c>
      <c r="P177" s="174"/>
      <c r="Q177" s="174"/>
      <c r="R177" s="174"/>
      <c r="S177" s="174"/>
      <c r="T177" s="174"/>
      <c r="U177" s="174">
        <f t="shared" si="32"/>
        <v>0</v>
      </c>
      <c r="V177" s="434"/>
      <c r="W177" s="423">
        <f t="shared" si="33"/>
        <v>-0.5</v>
      </c>
    </row>
    <row r="178" spans="1:23" ht="9.9499999999999993" customHeight="1" thickBot="1" x14ac:dyDescent="0.25">
      <c r="A178" s="40"/>
      <c r="B178" s="50"/>
      <c r="C178" s="312"/>
      <c r="D178" s="182"/>
      <c r="E178" s="174"/>
      <c r="F178" s="174"/>
      <c r="G178" s="174"/>
      <c r="H178" s="182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4"/>
      <c r="U178" s="174"/>
      <c r="V178" s="434"/>
      <c r="W178" s="423"/>
    </row>
    <row r="179" spans="1:23" ht="24.95" customHeight="1" thickTop="1" thickBot="1" x14ac:dyDescent="0.25">
      <c r="A179" s="47"/>
      <c r="B179" s="264" t="s">
        <v>193</v>
      </c>
      <c r="C179" s="44" t="s">
        <v>31</v>
      </c>
      <c r="D179" s="183">
        <f>SUM(D150:D178)</f>
        <v>-1722.6620000000003</v>
      </c>
      <c r="E179" s="183">
        <f t="shared" ref="E179:U179" si="35">SUM(E150:E178)</f>
        <v>3750</v>
      </c>
      <c r="F179" s="183">
        <f t="shared" si="35"/>
        <v>796.88</v>
      </c>
      <c r="G179" s="183">
        <f t="shared" si="35"/>
        <v>0</v>
      </c>
      <c r="H179" s="183">
        <f t="shared" si="35"/>
        <v>18755.712</v>
      </c>
      <c r="I179" s="183">
        <f t="shared" si="35"/>
        <v>0</v>
      </c>
      <c r="J179" s="183">
        <f t="shared" si="35"/>
        <v>0</v>
      </c>
      <c r="K179" s="183">
        <f t="shared" si="35"/>
        <v>8125</v>
      </c>
      <c r="L179" s="183">
        <f t="shared" si="35"/>
        <v>162</v>
      </c>
      <c r="M179" s="402">
        <f t="shared" si="35"/>
        <v>0</v>
      </c>
      <c r="N179" s="183">
        <f t="shared" si="35"/>
        <v>0</v>
      </c>
      <c r="O179" s="183">
        <f t="shared" si="35"/>
        <v>29866.43</v>
      </c>
      <c r="P179" s="183"/>
      <c r="Q179" s="183">
        <f t="shared" si="35"/>
        <v>0</v>
      </c>
      <c r="R179" s="211">
        <f t="shared" si="35"/>
        <v>0</v>
      </c>
      <c r="S179" s="211">
        <f t="shared" si="35"/>
        <v>0</v>
      </c>
      <c r="T179" s="183">
        <f t="shared" si="35"/>
        <v>0</v>
      </c>
      <c r="U179" s="183">
        <f t="shared" si="35"/>
        <v>0</v>
      </c>
      <c r="V179" s="172"/>
      <c r="W179" s="431">
        <f>O179+U179</f>
        <v>29866.43</v>
      </c>
    </row>
    <row r="180" spans="1:23" ht="24.95" customHeight="1" thickTop="1" thickBot="1" x14ac:dyDescent="0.25">
      <c r="A180" s="47"/>
      <c r="B180" s="43" t="s">
        <v>192</v>
      </c>
      <c r="C180" s="44" t="s">
        <v>158</v>
      </c>
      <c r="D180" s="210">
        <f t="shared" ref="D180:W180" si="36">D149+D179</f>
        <v>2234247.0509999995</v>
      </c>
      <c r="E180" s="210">
        <f t="shared" si="36"/>
        <v>3750</v>
      </c>
      <c r="F180" s="210">
        <f t="shared" si="36"/>
        <v>53866.879999999997</v>
      </c>
      <c r="G180" s="210">
        <f t="shared" si="36"/>
        <v>8402007</v>
      </c>
      <c r="H180" s="210">
        <f t="shared" si="36"/>
        <v>2207173.4249999998</v>
      </c>
      <c r="I180" s="210">
        <f t="shared" si="36"/>
        <v>3370</v>
      </c>
      <c r="J180" s="210">
        <f t="shared" si="36"/>
        <v>300000</v>
      </c>
      <c r="K180" s="210">
        <f t="shared" si="36"/>
        <v>45768.873</v>
      </c>
      <c r="L180" s="210">
        <f t="shared" si="36"/>
        <v>1095840</v>
      </c>
      <c r="M180" s="210">
        <f t="shared" si="36"/>
        <v>21300</v>
      </c>
      <c r="N180" s="210">
        <f t="shared" si="36"/>
        <v>50000</v>
      </c>
      <c r="O180" s="210">
        <f t="shared" si="36"/>
        <v>14417322.729</v>
      </c>
      <c r="P180" s="210"/>
      <c r="Q180" s="210">
        <f t="shared" si="36"/>
        <v>6000000</v>
      </c>
      <c r="R180" s="210">
        <f t="shared" si="36"/>
        <v>5041090.5969999991</v>
      </c>
      <c r="S180" s="210">
        <f t="shared" si="36"/>
        <v>0</v>
      </c>
      <c r="T180" s="210">
        <f t="shared" si="36"/>
        <v>0</v>
      </c>
      <c r="U180" s="391">
        <f t="shared" si="36"/>
        <v>11041090.596999999</v>
      </c>
      <c r="V180" s="446"/>
      <c r="W180" s="431">
        <f t="shared" si="36"/>
        <v>25458413.325999998</v>
      </c>
    </row>
    <row r="181" spans="1:23" ht="24.95" hidden="1" customHeight="1" thickTop="1" x14ac:dyDescent="0.2">
      <c r="A181" s="586"/>
      <c r="B181" s="188" t="s">
        <v>194</v>
      </c>
      <c r="C181" s="571" t="s">
        <v>18</v>
      </c>
      <c r="D181" s="560">
        <f t="shared" ref="D181:U181" si="37">D180</f>
        <v>2234247.0509999995</v>
      </c>
      <c r="E181" s="560">
        <f t="shared" si="37"/>
        <v>3750</v>
      </c>
      <c r="F181" s="560">
        <f t="shared" si="37"/>
        <v>53866.879999999997</v>
      </c>
      <c r="G181" s="560">
        <f t="shared" si="37"/>
        <v>8402007</v>
      </c>
      <c r="H181" s="560">
        <f t="shared" si="37"/>
        <v>2207173.4249999998</v>
      </c>
      <c r="I181" s="560">
        <f t="shared" si="37"/>
        <v>3370</v>
      </c>
      <c r="J181" s="560">
        <f t="shared" si="37"/>
        <v>300000</v>
      </c>
      <c r="K181" s="560">
        <f t="shared" si="37"/>
        <v>45768.873</v>
      </c>
      <c r="L181" s="560">
        <f t="shared" si="37"/>
        <v>1095840</v>
      </c>
      <c r="M181" s="560">
        <f t="shared" si="37"/>
        <v>21300</v>
      </c>
      <c r="N181" s="560">
        <f t="shared" si="37"/>
        <v>50000</v>
      </c>
      <c r="O181" s="560">
        <f t="shared" si="37"/>
        <v>14417322.729</v>
      </c>
      <c r="P181" s="560"/>
      <c r="Q181" s="560">
        <f t="shared" si="37"/>
        <v>6000000</v>
      </c>
      <c r="R181" s="560">
        <f t="shared" si="37"/>
        <v>5041090.5969999991</v>
      </c>
      <c r="S181" s="560">
        <f t="shared" si="37"/>
        <v>0</v>
      </c>
      <c r="T181" s="560">
        <f t="shared" si="37"/>
        <v>0</v>
      </c>
      <c r="U181" s="560">
        <f t="shared" si="37"/>
        <v>11041090.596999999</v>
      </c>
      <c r="V181" s="561"/>
      <c r="W181" s="562">
        <f>O181+U181+W178</f>
        <v>25458413.325999998</v>
      </c>
    </row>
    <row r="182" spans="1:23" ht="24.95" hidden="1" customHeight="1" x14ac:dyDescent="0.2">
      <c r="A182" s="40">
        <v>1</v>
      </c>
      <c r="B182" s="50"/>
      <c r="C182" s="51"/>
      <c r="D182" s="174"/>
      <c r="E182" s="174"/>
      <c r="F182" s="174"/>
      <c r="G182" s="174"/>
      <c r="H182" s="174"/>
      <c r="I182" s="174"/>
      <c r="J182" s="174"/>
      <c r="K182" s="174"/>
      <c r="L182" s="174"/>
      <c r="M182" s="174"/>
      <c r="N182" s="174"/>
      <c r="O182" s="174">
        <f t="shared" ref="O182:O208" si="38">SUM(D182:N182)</f>
        <v>0</v>
      </c>
      <c r="P182" s="174"/>
      <c r="Q182" s="174"/>
      <c r="R182" s="174"/>
      <c r="S182" s="174"/>
      <c r="T182" s="174"/>
      <c r="U182" s="291">
        <f>SUM(Q182:T182)</f>
        <v>0</v>
      </c>
      <c r="V182" s="573"/>
      <c r="W182" s="176">
        <f>O182+U182</f>
        <v>0</v>
      </c>
    </row>
    <row r="183" spans="1:23" ht="24.95" hidden="1" customHeight="1" x14ac:dyDescent="0.2">
      <c r="A183" s="40"/>
      <c r="B183" s="292"/>
      <c r="C183" s="51"/>
      <c r="D183" s="174"/>
      <c r="E183" s="174"/>
      <c r="F183" s="174"/>
      <c r="G183" s="174"/>
      <c r="H183" s="174"/>
      <c r="I183" s="174"/>
      <c r="J183" s="174"/>
      <c r="K183" s="174"/>
      <c r="L183" s="174"/>
      <c r="M183" s="174"/>
      <c r="N183" s="174"/>
      <c r="O183" s="174">
        <f t="shared" si="38"/>
        <v>0</v>
      </c>
      <c r="P183" s="174"/>
      <c r="Q183" s="174"/>
      <c r="R183" s="174"/>
      <c r="S183" s="174"/>
      <c r="T183" s="174"/>
      <c r="U183" s="174">
        <f>SUM(Q183:T183)</f>
        <v>0</v>
      </c>
      <c r="V183" s="434"/>
      <c r="W183" s="176">
        <f t="shared" ref="W183:W206" si="39">O183+U183</f>
        <v>0</v>
      </c>
    </row>
    <row r="184" spans="1:23" ht="24.95" hidden="1" customHeight="1" x14ac:dyDescent="0.2">
      <c r="A184" s="40">
        <v>2</v>
      </c>
      <c r="B184" s="292"/>
      <c r="C184" s="51"/>
      <c r="D184" s="174"/>
      <c r="E184" s="174"/>
      <c r="F184" s="174"/>
      <c r="G184" s="174"/>
      <c r="H184" s="174"/>
      <c r="I184" s="174"/>
      <c r="J184" s="174"/>
      <c r="K184" s="174"/>
      <c r="L184" s="174"/>
      <c r="M184" s="174"/>
      <c r="N184" s="174"/>
      <c r="O184" s="174">
        <f t="shared" si="38"/>
        <v>0</v>
      </c>
      <c r="P184" s="174"/>
      <c r="Q184" s="174"/>
      <c r="R184" s="174"/>
      <c r="S184" s="174"/>
      <c r="T184" s="174"/>
      <c r="U184" s="174">
        <f t="shared" ref="U184:U206" si="40">SUM(Q184:T184)</f>
        <v>0</v>
      </c>
      <c r="V184" s="434"/>
      <c r="W184" s="176">
        <f t="shared" si="39"/>
        <v>0</v>
      </c>
    </row>
    <row r="185" spans="1:23" ht="24.95" hidden="1" customHeight="1" x14ac:dyDescent="0.2">
      <c r="A185" s="40">
        <v>3</v>
      </c>
      <c r="B185" s="292"/>
      <c r="C185" s="51"/>
      <c r="D185" s="174"/>
      <c r="E185" s="174"/>
      <c r="F185" s="174"/>
      <c r="G185" s="174"/>
      <c r="H185" s="174"/>
      <c r="I185" s="174"/>
      <c r="J185" s="174"/>
      <c r="K185" s="174"/>
      <c r="L185" s="174"/>
      <c r="M185" s="174"/>
      <c r="N185" s="174"/>
      <c r="O185" s="174">
        <f t="shared" si="38"/>
        <v>0</v>
      </c>
      <c r="P185" s="174"/>
      <c r="Q185" s="174"/>
      <c r="R185" s="174"/>
      <c r="S185" s="174"/>
      <c r="T185" s="174"/>
      <c r="U185" s="174">
        <f t="shared" si="40"/>
        <v>0</v>
      </c>
      <c r="V185" s="434"/>
      <c r="W185" s="176">
        <f t="shared" si="39"/>
        <v>0</v>
      </c>
    </row>
    <row r="186" spans="1:23" ht="24.95" hidden="1" customHeight="1" x14ac:dyDescent="0.2">
      <c r="A186" s="40">
        <v>4</v>
      </c>
      <c r="B186" s="50"/>
      <c r="C186" s="51"/>
      <c r="D186" s="174"/>
      <c r="E186" s="174"/>
      <c r="F186" s="174"/>
      <c r="G186" s="174"/>
      <c r="H186" s="174"/>
      <c r="I186" s="174"/>
      <c r="J186" s="174"/>
      <c r="K186" s="174"/>
      <c r="L186" s="174"/>
      <c r="M186" s="174"/>
      <c r="N186" s="174"/>
      <c r="O186" s="174">
        <f t="shared" si="38"/>
        <v>0</v>
      </c>
      <c r="P186" s="174"/>
      <c r="Q186" s="174"/>
      <c r="R186" s="174"/>
      <c r="S186" s="174"/>
      <c r="T186" s="174"/>
      <c r="U186" s="174">
        <f t="shared" si="40"/>
        <v>0</v>
      </c>
      <c r="V186" s="434"/>
      <c r="W186" s="176">
        <f t="shared" si="39"/>
        <v>0</v>
      </c>
    </row>
    <row r="187" spans="1:23" ht="24.95" hidden="1" customHeight="1" x14ac:dyDescent="0.2">
      <c r="A187" s="40">
        <v>5</v>
      </c>
      <c r="B187" s="50"/>
      <c r="C187" s="51"/>
      <c r="D187" s="174"/>
      <c r="E187" s="174"/>
      <c r="F187" s="174"/>
      <c r="G187" s="174"/>
      <c r="H187" s="174"/>
      <c r="I187" s="174"/>
      <c r="J187" s="174"/>
      <c r="K187" s="174"/>
      <c r="L187" s="174"/>
      <c r="M187" s="174"/>
      <c r="N187" s="174"/>
      <c r="O187" s="174">
        <f t="shared" si="38"/>
        <v>0</v>
      </c>
      <c r="P187" s="174"/>
      <c r="Q187" s="174"/>
      <c r="R187" s="174"/>
      <c r="S187" s="174"/>
      <c r="T187" s="174"/>
      <c r="U187" s="174">
        <f t="shared" si="40"/>
        <v>0</v>
      </c>
      <c r="V187" s="434"/>
      <c r="W187" s="176">
        <f t="shared" si="39"/>
        <v>0</v>
      </c>
    </row>
    <row r="188" spans="1:23" ht="24.95" hidden="1" customHeight="1" x14ac:dyDescent="0.2">
      <c r="A188" s="40">
        <v>6</v>
      </c>
      <c r="B188" s="292"/>
      <c r="C188" s="51"/>
      <c r="D188" s="174"/>
      <c r="E188" s="174"/>
      <c r="F188" s="174"/>
      <c r="G188" s="174"/>
      <c r="H188" s="174"/>
      <c r="I188" s="174"/>
      <c r="J188" s="174"/>
      <c r="K188" s="174"/>
      <c r="L188" s="174"/>
      <c r="M188" s="174"/>
      <c r="N188" s="174"/>
      <c r="O188" s="174">
        <f t="shared" si="38"/>
        <v>0</v>
      </c>
      <c r="P188" s="174"/>
      <c r="Q188" s="174"/>
      <c r="R188" s="174"/>
      <c r="S188" s="174"/>
      <c r="T188" s="174"/>
      <c r="U188" s="174">
        <f t="shared" si="40"/>
        <v>0</v>
      </c>
      <c r="V188" s="434"/>
      <c r="W188" s="176">
        <f t="shared" si="39"/>
        <v>0</v>
      </c>
    </row>
    <row r="189" spans="1:23" ht="24.95" hidden="1" customHeight="1" x14ac:dyDescent="0.2">
      <c r="A189" s="40">
        <v>7</v>
      </c>
      <c r="B189" s="50"/>
      <c r="C189" s="51"/>
      <c r="D189" s="174"/>
      <c r="E189" s="174"/>
      <c r="F189" s="174"/>
      <c r="G189" s="174"/>
      <c r="H189" s="174"/>
      <c r="I189" s="174"/>
      <c r="J189" s="174"/>
      <c r="K189" s="174"/>
      <c r="L189" s="174"/>
      <c r="M189" s="174"/>
      <c r="N189" s="174"/>
      <c r="O189" s="174">
        <f t="shared" si="38"/>
        <v>0</v>
      </c>
      <c r="P189" s="174"/>
      <c r="Q189" s="174"/>
      <c r="R189" s="174"/>
      <c r="S189" s="174"/>
      <c r="T189" s="174"/>
      <c r="U189" s="174">
        <f t="shared" si="40"/>
        <v>0</v>
      </c>
      <c r="V189" s="434"/>
      <c r="W189" s="176">
        <f t="shared" si="39"/>
        <v>0</v>
      </c>
    </row>
    <row r="190" spans="1:23" ht="24.95" hidden="1" customHeight="1" x14ac:dyDescent="0.2">
      <c r="A190" s="40">
        <v>8</v>
      </c>
      <c r="B190" s="292"/>
      <c r="C190" s="51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>
        <f t="shared" si="38"/>
        <v>0</v>
      </c>
      <c r="P190" s="174"/>
      <c r="Q190" s="174"/>
      <c r="R190" s="174"/>
      <c r="S190" s="174"/>
      <c r="T190" s="174"/>
      <c r="U190" s="174">
        <f t="shared" si="40"/>
        <v>0</v>
      </c>
      <c r="V190" s="434"/>
      <c r="W190" s="176">
        <f t="shared" si="39"/>
        <v>0</v>
      </c>
    </row>
    <row r="191" spans="1:23" ht="24.95" hidden="1" customHeight="1" x14ac:dyDescent="0.2">
      <c r="A191" s="40">
        <v>9</v>
      </c>
      <c r="B191" s="292"/>
      <c r="C191" s="51"/>
      <c r="D191" s="174"/>
      <c r="E191" s="174"/>
      <c r="F191" s="174"/>
      <c r="G191" s="174"/>
      <c r="H191" s="174"/>
      <c r="I191" s="174"/>
      <c r="J191" s="174"/>
      <c r="K191" s="174"/>
      <c r="L191" s="174"/>
      <c r="M191" s="174"/>
      <c r="N191" s="174"/>
      <c r="O191" s="174">
        <f t="shared" si="38"/>
        <v>0</v>
      </c>
      <c r="P191" s="174"/>
      <c r="Q191" s="174"/>
      <c r="R191" s="174"/>
      <c r="S191" s="174"/>
      <c r="T191" s="174"/>
      <c r="U191" s="174">
        <f t="shared" si="40"/>
        <v>0</v>
      </c>
      <c r="V191" s="434"/>
      <c r="W191" s="176">
        <f t="shared" si="39"/>
        <v>0</v>
      </c>
    </row>
    <row r="192" spans="1:23" ht="24.95" hidden="1" customHeight="1" x14ac:dyDescent="0.2">
      <c r="A192" s="40">
        <v>10</v>
      </c>
      <c r="B192" s="292"/>
      <c r="C192" s="51"/>
      <c r="D192" s="174"/>
      <c r="E192" s="174"/>
      <c r="F192" s="174"/>
      <c r="G192" s="174"/>
      <c r="H192" s="174"/>
      <c r="I192" s="174"/>
      <c r="J192" s="174"/>
      <c r="K192" s="174"/>
      <c r="L192" s="174"/>
      <c r="M192" s="174"/>
      <c r="N192" s="174"/>
      <c r="O192" s="174">
        <f t="shared" si="38"/>
        <v>0</v>
      </c>
      <c r="P192" s="174"/>
      <c r="Q192" s="174"/>
      <c r="R192" s="174"/>
      <c r="S192" s="174"/>
      <c r="T192" s="174"/>
      <c r="U192" s="174">
        <f t="shared" si="40"/>
        <v>0</v>
      </c>
      <c r="V192" s="434"/>
      <c r="W192" s="176">
        <f t="shared" si="39"/>
        <v>0</v>
      </c>
    </row>
    <row r="193" spans="1:23" ht="24.95" hidden="1" customHeight="1" x14ac:dyDescent="0.2">
      <c r="A193" s="40">
        <v>11</v>
      </c>
      <c r="B193" s="50"/>
      <c r="C193" s="51"/>
      <c r="D193" s="174"/>
      <c r="E193" s="174"/>
      <c r="F193" s="174"/>
      <c r="G193" s="174"/>
      <c r="H193" s="174"/>
      <c r="I193" s="174"/>
      <c r="J193" s="174"/>
      <c r="K193" s="174"/>
      <c r="L193" s="174"/>
      <c r="M193" s="174"/>
      <c r="N193" s="174"/>
      <c r="O193" s="174">
        <f t="shared" si="38"/>
        <v>0</v>
      </c>
      <c r="P193" s="174"/>
      <c r="Q193" s="174"/>
      <c r="R193" s="174"/>
      <c r="S193" s="174"/>
      <c r="T193" s="174"/>
      <c r="U193" s="174">
        <f t="shared" si="40"/>
        <v>0</v>
      </c>
      <c r="V193" s="434"/>
      <c r="W193" s="176">
        <f t="shared" si="39"/>
        <v>0</v>
      </c>
    </row>
    <row r="194" spans="1:23" ht="24.95" hidden="1" customHeight="1" x14ac:dyDescent="0.2">
      <c r="A194" s="40">
        <v>12</v>
      </c>
      <c r="B194" s="292"/>
      <c r="C194" s="51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>
        <f t="shared" si="38"/>
        <v>0</v>
      </c>
      <c r="P194" s="174"/>
      <c r="Q194" s="174"/>
      <c r="R194" s="174"/>
      <c r="S194" s="174"/>
      <c r="T194" s="174"/>
      <c r="U194" s="174">
        <f t="shared" si="40"/>
        <v>0</v>
      </c>
      <c r="V194" s="434"/>
      <c r="W194" s="176">
        <f t="shared" si="39"/>
        <v>0</v>
      </c>
    </row>
    <row r="195" spans="1:23" ht="24.95" hidden="1" customHeight="1" x14ac:dyDescent="0.2">
      <c r="A195" s="40">
        <v>13</v>
      </c>
      <c r="B195" s="50"/>
      <c r="C195" s="51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>
        <f t="shared" si="38"/>
        <v>0</v>
      </c>
      <c r="P195" s="174"/>
      <c r="Q195" s="174"/>
      <c r="R195" s="174"/>
      <c r="S195" s="174"/>
      <c r="T195" s="174"/>
      <c r="U195" s="174">
        <f t="shared" si="40"/>
        <v>0</v>
      </c>
      <c r="V195" s="434"/>
      <c r="W195" s="176">
        <f t="shared" si="39"/>
        <v>0</v>
      </c>
    </row>
    <row r="196" spans="1:23" ht="24.95" hidden="1" customHeight="1" x14ac:dyDescent="0.2">
      <c r="A196" s="40">
        <v>14</v>
      </c>
      <c r="B196" s="50"/>
      <c r="C196" s="51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>
        <f t="shared" si="38"/>
        <v>0</v>
      </c>
      <c r="P196" s="174"/>
      <c r="Q196" s="174"/>
      <c r="R196" s="174"/>
      <c r="S196" s="174"/>
      <c r="T196" s="174"/>
      <c r="U196" s="174">
        <f t="shared" si="40"/>
        <v>0</v>
      </c>
      <c r="V196" s="434"/>
      <c r="W196" s="176">
        <f t="shared" si="39"/>
        <v>0</v>
      </c>
    </row>
    <row r="197" spans="1:23" ht="24.95" hidden="1" customHeight="1" x14ac:dyDescent="0.2">
      <c r="A197" s="40"/>
      <c r="B197" s="50"/>
      <c r="C197" s="51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>
        <f t="shared" si="38"/>
        <v>0</v>
      </c>
      <c r="P197" s="174"/>
      <c r="Q197" s="174"/>
      <c r="R197" s="174"/>
      <c r="S197" s="174"/>
      <c r="T197" s="174"/>
      <c r="U197" s="174">
        <f t="shared" si="40"/>
        <v>0</v>
      </c>
      <c r="V197" s="434"/>
      <c r="W197" s="176">
        <f t="shared" si="39"/>
        <v>0</v>
      </c>
    </row>
    <row r="198" spans="1:23" ht="24.95" hidden="1" customHeight="1" x14ac:dyDescent="0.2">
      <c r="A198" s="40"/>
      <c r="B198" s="50"/>
      <c r="C198" s="51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74"/>
      <c r="O198" s="174">
        <f t="shared" si="38"/>
        <v>0</v>
      </c>
      <c r="P198" s="174"/>
      <c r="Q198" s="174"/>
      <c r="R198" s="174"/>
      <c r="S198" s="174"/>
      <c r="T198" s="174"/>
      <c r="U198" s="174">
        <f t="shared" si="40"/>
        <v>0</v>
      </c>
      <c r="V198" s="434"/>
      <c r="W198" s="176">
        <f t="shared" si="39"/>
        <v>0</v>
      </c>
    </row>
    <row r="199" spans="1:23" ht="24.95" hidden="1" customHeight="1" x14ac:dyDescent="0.2">
      <c r="A199" s="40"/>
      <c r="B199" s="50"/>
      <c r="C199" s="51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>
        <f t="shared" si="38"/>
        <v>0</v>
      </c>
      <c r="P199" s="174"/>
      <c r="Q199" s="174"/>
      <c r="R199" s="174"/>
      <c r="S199" s="174"/>
      <c r="T199" s="174"/>
      <c r="U199" s="174">
        <f t="shared" si="40"/>
        <v>0</v>
      </c>
      <c r="V199" s="434"/>
      <c r="W199" s="176">
        <f t="shared" si="39"/>
        <v>0</v>
      </c>
    </row>
    <row r="200" spans="1:23" ht="24.95" hidden="1" customHeight="1" x14ac:dyDescent="0.2">
      <c r="A200" s="40"/>
      <c r="B200" s="50"/>
      <c r="C200" s="51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>
        <f t="shared" si="38"/>
        <v>0</v>
      </c>
      <c r="P200" s="174"/>
      <c r="Q200" s="174"/>
      <c r="R200" s="174"/>
      <c r="S200" s="174"/>
      <c r="T200" s="174"/>
      <c r="U200" s="174">
        <f t="shared" si="40"/>
        <v>0</v>
      </c>
      <c r="V200" s="434"/>
      <c r="W200" s="176">
        <f t="shared" si="39"/>
        <v>0</v>
      </c>
    </row>
    <row r="201" spans="1:23" ht="24.95" hidden="1" customHeight="1" x14ac:dyDescent="0.2">
      <c r="A201" s="40"/>
      <c r="B201" s="50"/>
      <c r="C201" s="51"/>
      <c r="D201" s="174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>
        <f t="shared" si="38"/>
        <v>0</v>
      </c>
      <c r="P201" s="174"/>
      <c r="Q201" s="174"/>
      <c r="R201" s="174"/>
      <c r="S201" s="174"/>
      <c r="T201" s="174"/>
      <c r="U201" s="174">
        <f t="shared" si="40"/>
        <v>0</v>
      </c>
      <c r="V201" s="434"/>
      <c r="W201" s="176">
        <f t="shared" si="39"/>
        <v>0</v>
      </c>
    </row>
    <row r="202" spans="1:23" ht="24.95" hidden="1" customHeight="1" x14ac:dyDescent="0.2">
      <c r="A202" s="40"/>
      <c r="B202" s="50"/>
      <c r="C202" s="51"/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>
        <f t="shared" si="38"/>
        <v>0</v>
      </c>
      <c r="P202" s="174"/>
      <c r="Q202" s="174"/>
      <c r="R202" s="174"/>
      <c r="S202" s="174"/>
      <c r="T202" s="174"/>
      <c r="U202" s="174">
        <f t="shared" si="40"/>
        <v>0</v>
      </c>
      <c r="V202" s="434"/>
      <c r="W202" s="176">
        <f t="shared" si="39"/>
        <v>0</v>
      </c>
    </row>
    <row r="203" spans="1:23" ht="24.95" hidden="1" customHeight="1" x14ac:dyDescent="0.2">
      <c r="A203" s="40"/>
      <c r="B203" s="50"/>
      <c r="C203" s="51"/>
      <c r="D203" s="174"/>
      <c r="E203" s="174"/>
      <c r="F203" s="174"/>
      <c r="G203" s="174"/>
      <c r="H203" s="174"/>
      <c r="I203" s="174"/>
      <c r="J203" s="174"/>
      <c r="K203" s="174"/>
      <c r="L203" s="174"/>
      <c r="M203" s="174"/>
      <c r="N203" s="174"/>
      <c r="O203" s="174">
        <f t="shared" si="38"/>
        <v>0</v>
      </c>
      <c r="P203" s="174"/>
      <c r="Q203" s="174"/>
      <c r="R203" s="174"/>
      <c r="S203" s="174"/>
      <c r="T203" s="174"/>
      <c r="U203" s="174">
        <f t="shared" si="40"/>
        <v>0</v>
      </c>
      <c r="V203" s="434"/>
      <c r="W203" s="176">
        <f t="shared" si="39"/>
        <v>0</v>
      </c>
    </row>
    <row r="204" spans="1:23" ht="24.95" hidden="1" customHeight="1" x14ac:dyDescent="0.2">
      <c r="A204" s="40"/>
      <c r="B204" s="50"/>
      <c r="C204" s="51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>
        <f t="shared" si="38"/>
        <v>0</v>
      </c>
      <c r="P204" s="174"/>
      <c r="Q204" s="174"/>
      <c r="R204" s="174"/>
      <c r="S204" s="174"/>
      <c r="T204" s="174"/>
      <c r="U204" s="174">
        <f t="shared" si="40"/>
        <v>0</v>
      </c>
      <c r="V204" s="434"/>
      <c r="W204" s="176">
        <f t="shared" si="39"/>
        <v>0</v>
      </c>
    </row>
    <row r="205" spans="1:23" ht="24.95" hidden="1" customHeight="1" x14ac:dyDescent="0.2">
      <c r="A205" s="40"/>
      <c r="B205" s="50"/>
      <c r="C205" s="51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>
        <f t="shared" si="38"/>
        <v>0</v>
      </c>
      <c r="P205" s="174"/>
      <c r="Q205" s="174"/>
      <c r="R205" s="174"/>
      <c r="S205" s="174"/>
      <c r="T205" s="174"/>
      <c r="U205" s="174">
        <f t="shared" si="40"/>
        <v>0</v>
      </c>
      <c r="V205" s="434"/>
      <c r="W205" s="176">
        <f t="shared" si="39"/>
        <v>0</v>
      </c>
    </row>
    <row r="206" spans="1:23" ht="24.95" hidden="1" customHeight="1" x14ac:dyDescent="0.2">
      <c r="A206" s="40"/>
      <c r="B206" s="50"/>
      <c r="C206" s="51"/>
      <c r="D206" s="174"/>
      <c r="E206" s="174"/>
      <c r="F206" s="174"/>
      <c r="G206" s="174"/>
      <c r="H206" s="174"/>
      <c r="I206" s="174"/>
      <c r="J206" s="174"/>
      <c r="K206" s="174"/>
      <c r="L206" s="174"/>
      <c r="M206" s="174"/>
      <c r="N206" s="174"/>
      <c r="O206" s="174">
        <f t="shared" si="38"/>
        <v>0</v>
      </c>
      <c r="P206" s="174"/>
      <c r="Q206" s="174"/>
      <c r="R206" s="174"/>
      <c r="S206" s="174"/>
      <c r="T206" s="174"/>
      <c r="U206" s="174">
        <f t="shared" si="40"/>
        <v>0</v>
      </c>
      <c r="V206" s="434"/>
      <c r="W206" s="176">
        <f t="shared" si="39"/>
        <v>0</v>
      </c>
    </row>
    <row r="207" spans="1:23" ht="24.95" hidden="1" customHeight="1" x14ac:dyDescent="0.2">
      <c r="A207" s="40"/>
      <c r="B207" s="50"/>
      <c r="C207" s="51"/>
      <c r="D207" s="174"/>
      <c r="E207" s="174"/>
      <c r="F207" s="174"/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4"/>
      <c r="U207" s="174"/>
      <c r="V207" s="434"/>
      <c r="W207" s="176"/>
    </row>
    <row r="208" spans="1:23" ht="24.95" hidden="1" customHeight="1" x14ac:dyDescent="0.2">
      <c r="A208" s="40"/>
      <c r="B208" s="50"/>
      <c r="C208" s="33" t="s">
        <v>68</v>
      </c>
      <c r="D208" s="182"/>
      <c r="E208" s="174"/>
      <c r="F208" s="174"/>
      <c r="G208" s="174"/>
      <c r="H208" s="182"/>
      <c r="I208" s="174"/>
      <c r="J208" s="174"/>
      <c r="K208" s="174"/>
      <c r="L208" s="174"/>
      <c r="M208" s="174"/>
      <c r="N208" s="174"/>
      <c r="O208" s="174">
        <f t="shared" si="38"/>
        <v>0</v>
      </c>
      <c r="P208" s="174"/>
      <c r="Q208" s="174"/>
      <c r="R208" s="174"/>
      <c r="S208" s="174"/>
      <c r="T208" s="174"/>
      <c r="U208" s="174">
        <f>SUM(Q208:T208)</f>
        <v>0</v>
      </c>
      <c r="V208" s="434"/>
      <c r="W208" s="576">
        <f>O208+U208</f>
        <v>0</v>
      </c>
    </row>
    <row r="209" spans="1:24" ht="24.95" hidden="1" customHeight="1" thickBot="1" x14ac:dyDescent="0.25">
      <c r="A209" s="40"/>
      <c r="B209" s="50"/>
      <c r="C209" s="51"/>
      <c r="D209" s="174"/>
      <c r="E209" s="174"/>
      <c r="F209" s="174"/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4"/>
      <c r="U209" s="574"/>
      <c r="V209" s="575"/>
      <c r="W209" s="176"/>
    </row>
    <row r="210" spans="1:24" ht="24.95" hidden="1" customHeight="1" thickTop="1" thickBot="1" x14ac:dyDescent="0.25">
      <c r="A210" s="47"/>
      <c r="B210" s="264" t="s">
        <v>193</v>
      </c>
      <c r="C210" s="44" t="s">
        <v>31</v>
      </c>
      <c r="D210" s="183">
        <f>SUM(D182:D209)</f>
        <v>0</v>
      </c>
      <c r="E210" s="183">
        <f t="shared" ref="E210:N210" si="41">SUM(E182:E209)</f>
        <v>0</v>
      </c>
      <c r="F210" s="183">
        <f t="shared" si="41"/>
        <v>0</v>
      </c>
      <c r="G210" s="183">
        <f t="shared" si="41"/>
        <v>0</v>
      </c>
      <c r="H210" s="183">
        <f t="shared" si="41"/>
        <v>0</v>
      </c>
      <c r="I210" s="183">
        <f t="shared" si="41"/>
        <v>0</v>
      </c>
      <c r="J210" s="183">
        <f t="shared" si="41"/>
        <v>0</v>
      </c>
      <c r="K210" s="183">
        <f t="shared" si="41"/>
        <v>0</v>
      </c>
      <c r="L210" s="183">
        <f t="shared" si="41"/>
        <v>0</v>
      </c>
      <c r="M210" s="402">
        <f t="shared" si="41"/>
        <v>0</v>
      </c>
      <c r="N210" s="183">
        <f t="shared" si="41"/>
        <v>0</v>
      </c>
      <c r="O210" s="183">
        <f>SUM(O182:O209)</f>
        <v>0</v>
      </c>
      <c r="P210" s="183"/>
      <c r="Q210" s="183">
        <f>SUM(Q182:Q209)</f>
        <v>0</v>
      </c>
      <c r="R210" s="211">
        <f>SUM(R182:R209)</f>
        <v>0</v>
      </c>
      <c r="S210" s="211">
        <f>SUM(S182:S209)</f>
        <v>0</v>
      </c>
      <c r="T210" s="183">
        <f>SUM(T182:T209)</f>
        <v>0</v>
      </c>
      <c r="U210" s="183">
        <f>SUM(U182:U209)</f>
        <v>0</v>
      </c>
      <c r="V210" s="172"/>
      <c r="W210" s="431">
        <f>SUM(W182:W209)</f>
        <v>0</v>
      </c>
    </row>
    <row r="211" spans="1:24" ht="24.95" hidden="1" customHeight="1" thickTop="1" thickBot="1" x14ac:dyDescent="0.25">
      <c r="A211" s="47"/>
      <c r="B211" s="43" t="s">
        <v>194</v>
      </c>
      <c r="C211" s="44" t="s">
        <v>158</v>
      </c>
      <c r="D211" s="210">
        <f>D181+D210</f>
        <v>2234247.0509999995</v>
      </c>
      <c r="E211" s="210">
        <f t="shared" ref="E211:N211" si="42">E181+E210</f>
        <v>3750</v>
      </c>
      <c r="F211" s="210">
        <f t="shared" si="42"/>
        <v>53866.879999999997</v>
      </c>
      <c r="G211" s="210">
        <f t="shared" si="42"/>
        <v>8402007</v>
      </c>
      <c r="H211" s="210">
        <f t="shared" si="42"/>
        <v>2207173.4249999998</v>
      </c>
      <c r="I211" s="210">
        <f t="shared" si="42"/>
        <v>3370</v>
      </c>
      <c r="J211" s="210">
        <f t="shared" si="42"/>
        <v>300000</v>
      </c>
      <c r="K211" s="210">
        <f t="shared" si="42"/>
        <v>45768.873</v>
      </c>
      <c r="L211" s="210">
        <f t="shared" si="42"/>
        <v>1095840</v>
      </c>
      <c r="M211" s="210">
        <f t="shared" si="42"/>
        <v>21300</v>
      </c>
      <c r="N211" s="210">
        <f t="shared" si="42"/>
        <v>50000</v>
      </c>
      <c r="O211" s="210">
        <f>O181+O210</f>
        <v>14417322.729</v>
      </c>
      <c r="P211" s="210"/>
      <c r="Q211" s="210">
        <f>Q181+Q210</f>
        <v>6000000</v>
      </c>
      <c r="R211" s="210">
        <f>R181+R210</f>
        <v>5041090.5969999991</v>
      </c>
      <c r="S211" s="210">
        <f>S181+S210</f>
        <v>0</v>
      </c>
      <c r="T211" s="210">
        <f>T181+T210</f>
        <v>0</v>
      </c>
      <c r="U211" s="391">
        <f>U181+U210</f>
        <v>11041090.596999999</v>
      </c>
      <c r="V211" s="446"/>
      <c r="W211" s="431">
        <f>W181+W210</f>
        <v>25458413.325999998</v>
      </c>
    </row>
    <row r="212" spans="1:24" ht="24.95" hidden="1" customHeight="1" thickTop="1" thickBot="1" x14ac:dyDescent="0.25">
      <c r="A212" s="343"/>
      <c r="B212" s="669"/>
      <c r="C212" s="670"/>
      <c r="D212" s="335"/>
      <c r="E212" s="335"/>
      <c r="F212" s="335"/>
      <c r="G212" s="335"/>
      <c r="H212" s="335"/>
      <c r="I212" s="335"/>
      <c r="J212" s="335"/>
      <c r="K212" s="335"/>
      <c r="L212" s="335"/>
      <c r="M212" s="335"/>
      <c r="N212" s="335"/>
      <c r="O212" s="335"/>
      <c r="P212" s="335"/>
      <c r="Q212" s="335"/>
      <c r="R212" s="335"/>
      <c r="S212" s="335"/>
      <c r="T212" s="335"/>
      <c r="U212" s="335"/>
      <c r="V212" s="335"/>
      <c r="W212" s="671"/>
      <c r="X212" s="53"/>
    </row>
    <row r="213" spans="1:24" ht="24.95" hidden="1" customHeight="1" thickTop="1" thickBot="1" x14ac:dyDescent="0.3">
      <c r="C213" s="2" t="s">
        <v>101</v>
      </c>
      <c r="D213" s="682">
        <v>2234247</v>
      </c>
      <c r="E213" s="683">
        <v>3750</v>
      </c>
      <c r="F213" s="683">
        <v>53867</v>
      </c>
      <c r="G213" s="683">
        <v>8402007</v>
      </c>
      <c r="H213" s="683">
        <v>2207173</v>
      </c>
      <c r="I213" s="683">
        <v>3370</v>
      </c>
      <c r="J213" s="683">
        <v>300000</v>
      </c>
      <c r="K213" s="683">
        <v>45769</v>
      </c>
      <c r="L213" s="683">
        <v>1095840</v>
      </c>
      <c r="M213" s="683">
        <v>21300</v>
      </c>
      <c r="N213" s="683">
        <v>50000</v>
      </c>
      <c r="O213" s="683">
        <v>14417323</v>
      </c>
      <c r="P213" s="683"/>
      <c r="Q213" s="683">
        <v>6000000</v>
      </c>
      <c r="R213" s="683">
        <v>5041090.5970000001</v>
      </c>
      <c r="S213" s="683">
        <v>0</v>
      </c>
      <c r="T213" s="683">
        <v>0</v>
      </c>
      <c r="U213" s="682">
        <v>11041090</v>
      </c>
      <c r="V213" s="682"/>
      <c r="W213" s="684">
        <v>25458414</v>
      </c>
    </row>
    <row r="214" spans="1:24" ht="24.95" hidden="1" customHeight="1" thickTop="1" x14ac:dyDescent="0.25">
      <c r="D214" s="173"/>
      <c r="E214" s="173"/>
      <c r="F214" s="173"/>
      <c r="G214" s="173"/>
      <c r="H214" s="173"/>
      <c r="I214" s="173"/>
      <c r="J214" s="173"/>
      <c r="K214" s="173"/>
      <c r="L214" s="173"/>
      <c r="M214" s="173"/>
      <c r="N214" s="173"/>
      <c r="O214" s="173">
        <f>SUM(D213:N213)</f>
        <v>14417323</v>
      </c>
      <c r="P214" s="173"/>
      <c r="Q214" s="173"/>
      <c r="R214" s="173"/>
      <c r="S214" s="173"/>
      <c r="T214" s="173"/>
      <c r="U214" s="173"/>
      <c r="V214" s="173"/>
      <c r="W214" s="173">
        <f>O214+U213</f>
        <v>25458413</v>
      </c>
    </row>
    <row r="215" spans="1:24" ht="24.95" hidden="1" customHeight="1" x14ac:dyDescent="0.25">
      <c r="C215" s="2" t="s">
        <v>97</v>
      </c>
      <c r="D215" s="685">
        <f>D213-D211</f>
        <v>-5.0999999511986971E-2</v>
      </c>
      <c r="E215" s="685">
        <f t="shared" ref="E215:W215" si="43">E213-E211</f>
        <v>0</v>
      </c>
      <c r="F215" s="685">
        <f t="shared" si="43"/>
        <v>0.12000000000261934</v>
      </c>
      <c r="G215" s="685">
        <f t="shared" si="43"/>
        <v>0</v>
      </c>
      <c r="H215" s="685">
        <f t="shared" si="43"/>
        <v>-0.42499999981373549</v>
      </c>
      <c r="I215" s="685">
        <f t="shared" si="43"/>
        <v>0</v>
      </c>
      <c r="J215" s="685">
        <f t="shared" si="43"/>
        <v>0</v>
      </c>
      <c r="K215" s="685">
        <f t="shared" si="43"/>
        <v>0.12700000000040745</v>
      </c>
      <c r="L215" s="685">
        <f t="shared" si="43"/>
        <v>0</v>
      </c>
      <c r="M215" s="685">
        <f t="shared" si="43"/>
        <v>0</v>
      </c>
      <c r="N215" s="685">
        <f t="shared" si="43"/>
        <v>0</v>
      </c>
      <c r="O215" s="685">
        <f t="shared" si="43"/>
        <v>0.27099999971687794</v>
      </c>
      <c r="P215" s="685"/>
      <c r="Q215" s="685">
        <f t="shared" si="43"/>
        <v>0</v>
      </c>
      <c r="R215" s="685">
        <f t="shared" si="43"/>
        <v>0</v>
      </c>
      <c r="S215" s="685">
        <f t="shared" si="43"/>
        <v>0</v>
      </c>
      <c r="T215" s="685">
        <f t="shared" si="43"/>
        <v>0</v>
      </c>
      <c r="U215" s="685">
        <f t="shared" si="43"/>
        <v>-0.59699999913573265</v>
      </c>
      <c r="V215" s="685"/>
      <c r="W215" s="685">
        <f t="shared" si="43"/>
        <v>0.67400000244379044</v>
      </c>
    </row>
    <row r="216" spans="1:24" ht="24.95" hidden="1" customHeight="1" x14ac:dyDescent="0.25"/>
    <row r="217" spans="1:24" ht="24.95" customHeight="1" thickTop="1" x14ac:dyDescent="0.25"/>
    <row r="218" spans="1:24" ht="24.95" customHeight="1" x14ac:dyDescent="0.25">
      <c r="R218" s="29"/>
    </row>
    <row r="219" spans="1:24" ht="24.95" customHeight="1" x14ac:dyDescent="0.25"/>
    <row r="220" spans="1:24" ht="24.95" customHeight="1" x14ac:dyDescent="0.25"/>
    <row r="221" spans="1:24" ht="24.95" customHeight="1" x14ac:dyDescent="0.25"/>
    <row r="222" spans="1:24" ht="24.95" customHeight="1" x14ac:dyDescent="0.25"/>
    <row r="223" spans="1:24" ht="24.95" customHeight="1" x14ac:dyDescent="0.25"/>
    <row r="224" spans="1: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0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511" spans="9:9" x14ac:dyDescent="0.25">
      <c r="I511" s="52">
        <f>-10437-1367-86-236+13-6357-200+31+71-310-1500-799-55-443-3970</f>
        <v>-25645</v>
      </c>
    </row>
  </sheetData>
  <mergeCells count="5">
    <mergeCell ref="D7:F7"/>
    <mergeCell ref="J7:K7"/>
    <mergeCell ref="Q7:T7"/>
    <mergeCell ref="A2:W2"/>
    <mergeCell ref="A4:W4"/>
  </mergeCells>
  <phoneticPr fontId="3" type="noConversion"/>
  <printOptions horizontalCentered="1" verticalCentered="1"/>
  <pageMargins left="0" right="0" top="0.51181102362204722" bottom="0.55118110236220474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20"/>
  <sheetViews>
    <sheetView topLeftCell="O1" zoomScale="71" zoomScaleNormal="71" workbookViewId="0">
      <selection activeCell="Z1" sqref="Z1"/>
    </sheetView>
  </sheetViews>
  <sheetFormatPr defaultRowHeight="16.5" x14ac:dyDescent="0.25"/>
  <cols>
    <col min="1" max="1" width="4.7109375" style="93" customWidth="1"/>
    <col min="2" max="2" width="10.140625" style="1" hidden="1" customWidth="1"/>
    <col min="3" max="3" width="53.7109375" style="2" customWidth="1"/>
    <col min="4" max="6" width="12.7109375" style="2" customWidth="1"/>
    <col min="7" max="7" width="13" style="2" customWidth="1"/>
    <col min="8" max="9" width="12.7109375" style="2" customWidth="1"/>
    <col min="10" max="10" width="13.7109375" style="2" customWidth="1"/>
    <col min="11" max="11" width="14.85546875" style="2" customWidth="1"/>
    <col min="12" max="12" width="14.140625" style="2" customWidth="1"/>
    <col min="13" max="15" width="12.7109375" style="2" customWidth="1"/>
    <col min="16" max="16" width="11.85546875" style="2" customWidth="1"/>
    <col min="17" max="17" width="14.5703125" style="2" customWidth="1"/>
    <col min="18" max="18" width="14.7109375" style="2" customWidth="1"/>
    <col min="19" max="19" width="1.7109375" style="2" customWidth="1"/>
    <col min="20" max="20" width="13.5703125" style="2" customWidth="1"/>
    <col min="21" max="21" width="14.140625" style="2" customWidth="1"/>
    <col min="22" max="22" width="12.7109375" style="2" customWidth="1"/>
    <col min="23" max="23" width="11.85546875" style="2" customWidth="1"/>
    <col min="24" max="24" width="13.5703125" style="2" customWidth="1"/>
    <col min="25" max="25" width="16.7109375" style="2" customWidth="1"/>
    <col min="26" max="26" width="14.85546875" style="53" customWidth="1"/>
    <col min="27" max="27" width="18.28515625" style="53" customWidth="1"/>
    <col min="28" max="28" width="16.28515625" style="53" customWidth="1"/>
    <col min="29" max="31" width="10.42578125" style="53" customWidth="1"/>
    <col min="32" max="32" width="12.28515625" style="53" customWidth="1"/>
    <col min="33" max="33" width="14" style="53" customWidth="1"/>
    <col min="34" max="34" width="12.28515625" style="53" customWidth="1"/>
    <col min="35" max="36" width="10.42578125" style="53" customWidth="1"/>
    <col min="37" max="37" width="12.28515625" style="53" customWidth="1"/>
    <col min="38" max="38" width="9.140625" style="53"/>
    <col min="39" max="40" width="10.42578125" style="53" customWidth="1"/>
    <col min="41" max="41" width="12.28515625" style="53" customWidth="1"/>
    <col min="42" max="42" width="12.7109375" style="53" customWidth="1"/>
    <col min="43" max="16384" width="9.140625" style="2"/>
  </cols>
  <sheetData>
    <row r="1" spans="1:42" ht="16.5" customHeight="1" x14ac:dyDescent="0.25">
      <c r="Z1" s="191" t="s">
        <v>93</v>
      </c>
      <c r="AA1" s="191"/>
    </row>
    <row r="2" spans="1:42" ht="30" customHeight="1" x14ac:dyDescent="0.3">
      <c r="A2" s="751" t="s">
        <v>0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751"/>
      <c r="O2" s="751"/>
      <c r="P2" s="751"/>
      <c r="Q2" s="751"/>
      <c r="R2" s="751"/>
      <c r="S2" s="751"/>
      <c r="T2" s="751"/>
      <c r="U2" s="751"/>
      <c r="V2" s="751"/>
      <c r="W2" s="751"/>
      <c r="X2" s="751"/>
      <c r="Y2" s="751"/>
      <c r="Z2" s="751"/>
      <c r="AA2" s="340"/>
    </row>
    <row r="3" spans="1:42" ht="30" customHeight="1" x14ac:dyDescent="0.2">
      <c r="A3" s="458"/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340"/>
    </row>
    <row r="4" spans="1:42" ht="50.1" customHeight="1" x14ac:dyDescent="0.2">
      <c r="A4" s="755" t="s">
        <v>623</v>
      </c>
      <c r="B4" s="756"/>
      <c r="C4" s="756"/>
      <c r="D4" s="756"/>
      <c r="E4" s="756"/>
      <c r="F4" s="756"/>
      <c r="G4" s="756"/>
      <c r="H4" s="756"/>
      <c r="I4" s="756"/>
      <c r="J4" s="756"/>
      <c r="K4" s="756"/>
      <c r="L4" s="756"/>
      <c r="M4" s="756"/>
      <c r="N4" s="756"/>
      <c r="O4" s="756"/>
      <c r="P4" s="756"/>
      <c r="Q4" s="756"/>
      <c r="R4" s="756"/>
      <c r="S4" s="756"/>
      <c r="T4" s="756"/>
      <c r="U4" s="756"/>
      <c r="V4" s="756"/>
      <c r="W4" s="756"/>
      <c r="X4" s="756"/>
      <c r="Y4" s="756"/>
      <c r="Z4" s="756"/>
      <c r="AA4" s="340"/>
    </row>
    <row r="5" spans="1:42" ht="24.95" customHeight="1" x14ac:dyDescent="0.2">
      <c r="A5" s="459"/>
      <c r="B5" s="458"/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  <c r="X5" s="458"/>
      <c r="Y5" s="458"/>
      <c r="Z5" s="458"/>
      <c r="AA5" s="340"/>
    </row>
    <row r="6" spans="1:42" ht="17.25" customHeight="1" thickBo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6" t="s">
        <v>1</v>
      </c>
      <c r="AA6" s="341"/>
    </row>
    <row r="7" spans="1:42" ht="17.25" thickBot="1" x14ac:dyDescent="0.3">
      <c r="A7" s="55"/>
      <c r="B7" s="8"/>
      <c r="C7" s="9"/>
      <c r="D7" s="757" t="s">
        <v>32</v>
      </c>
      <c r="E7" s="757"/>
      <c r="F7" s="757"/>
      <c r="G7" s="757"/>
      <c r="H7" s="757"/>
      <c r="I7" s="757"/>
      <c r="J7" s="757"/>
      <c r="K7" s="757"/>
      <c r="L7" s="757"/>
      <c r="M7" s="757"/>
      <c r="N7" s="757"/>
      <c r="O7" s="757"/>
      <c r="P7" s="757"/>
      <c r="Q7" s="757"/>
      <c r="R7" s="757"/>
      <c r="S7" s="757"/>
      <c r="T7" s="757"/>
      <c r="U7" s="757"/>
      <c r="V7" s="757"/>
      <c r="W7" s="757"/>
      <c r="X7" s="757"/>
      <c r="Y7" s="757"/>
      <c r="Z7" s="757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</row>
    <row r="8" spans="1:42" ht="17.25" customHeight="1" thickTop="1" x14ac:dyDescent="0.25">
      <c r="A8" s="57"/>
      <c r="B8" s="12"/>
      <c r="C8" s="13"/>
      <c r="D8" s="758" t="s">
        <v>176</v>
      </c>
      <c r="E8" s="759"/>
      <c r="F8" s="759"/>
      <c r="G8" s="759"/>
      <c r="H8" s="759"/>
      <c r="I8" s="759"/>
      <c r="J8" s="759"/>
      <c r="K8" s="760"/>
      <c r="L8" s="761" t="s">
        <v>177</v>
      </c>
      <c r="M8" s="762"/>
      <c r="N8" s="762"/>
      <c r="O8" s="762"/>
      <c r="P8" s="762"/>
      <c r="Q8" s="760"/>
      <c r="R8" s="474" t="s">
        <v>139</v>
      </c>
      <c r="S8" s="474"/>
      <c r="T8" s="761" t="s">
        <v>178</v>
      </c>
      <c r="U8" s="762"/>
      <c r="V8" s="762"/>
      <c r="W8" s="763"/>
      <c r="X8" s="478" t="s">
        <v>153</v>
      </c>
      <c r="Y8" s="358" t="s">
        <v>2</v>
      </c>
      <c r="Z8" s="374"/>
      <c r="AA8" s="56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6"/>
    </row>
    <row r="9" spans="1:42" x14ac:dyDescent="0.25">
      <c r="A9" s="18" t="s">
        <v>8</v>
      </c>
      <c r="B9" s="12"/>
      <c r="C9" s="13" t="s">
        <v>3</v>
      </c>
      <c r="D9" s="58"/>
      <c r="E9" s="208" t="s">
        <v>37</v>
      </c>
      <c r="F9" s="59"/>
      <c r="G9" s="59" t="s">
        <v>33</v>
      </c>
      <c r="H9" s="59" t="s">
        <v>125</v>
      </c>
      <c r="I9" s="59" t="s">
        <v>126</v>
      </c>
      <c r="J9" s="59" t="s">
        <v>126</v>
      </c>
      <c r="K9" s="208"/>
      <c r="L9" s="59"/>
      <c r="M9" s="59"/>
      <c r="N9" s="59" t="s">
        <v>4</v>
      </c>
      <c r="O9" s="59" t="s">
        <v>159</v>
      </c>
      <c r="P9" s="60" t="s">
        <v>160</v>
      </c>
      <c r="Q9" s="208" t="s">
        <v>4</v>
      </c>
      <c r="R9" s="475" t="s">
        <v>140</v>
      </c>
      <c r="S9" s="475"/>
      <c r="T9" s="17" t="s">
        <v>161</v>
      </c>
      <c r="U9" s="17" t="s">
        <v>162</v>
      </c>
      <c r="V9" s="17" t="s">
        <v>144</v>
      </c>
      <c r="W9" s="17" t="s">
        <v>4</v>
      </c>
      <c r="X9" s="479" t="s">
        <v>154</v>
      </c>
      <c r="Y9" s="359" t="s">
        <v>35</v>
      </c>
      <c r="Z9" s="244" t="s">
        <v>34</v>
      </c>
      <c r="AA9" s="56"/>
      <c r="AB9" s="4"/>
      <c r="AC9" s="4"/>
      <c r="AD9" s="4"/>
      <c r="AE9" s="4"/>
      <c r="AF9" s="4"/>
      <c r="AG9" s="4"/>
      <c r="AH9" s="4"/>
      <c r="AI9" s="4"/>
      <c r="AJ9" s="754"/>
      <c r="AK9" s="754"/>
      <c r="AL9" s="4"/>
      <c r="AM9" s="4"/>
      <c r="AN9" s="4"/>
      <c r="AO9" s="4"/>
      <c r="AP9" s="56"/>
    </row>
    <row r="10" spans="1:42" ht="16.5" customHeight="1" x14ac:dyDescent="0.25">
      <c r="A10" s="11"/>
      <c r="B10" s="12"/>
      <c r="C10" s="13" t="s">
        <v>9</v>
      </c>
      <c r="D10" s="59" t="s">
        <v>36</v>
      </c>
      <c r="E10" s="59" t="s">
        <v>77</v>
      </c>
      <c r="F10" s="59" t="s">
        <v>38</v>
      </c>
      <c r="G10" s="59" t="s">
        <v>39</v>
      </c>
      <c r="H10" s="59" t="s">
        <v>127</v>
      </c>
      <c r="I10" s="59" t="s">
        <v>79</v>
      </c>
      <c r="J10" s="59" t="s">
        <v>79</v>
      </c>
      <c r="K10" s="59" t="s">
        <v>42</v>
      </c>
      <c r="L10" s="59" t="s">
        <v>163</v>
      </c>
      <c r="M10" s="59" t="s">
        <v>164</v>
      </c>
      <c r="N10" s="59" t="s">
        <v>165</v>
      </c>
      <c r="O10" s="59" t="s">
        <v>166</v>
      </c>
      <c r="P10" s="59" t="s">
        <v>50</v>
      </c>
      <c r="Q10" s="59" t="s">
        <v>165</v>
      </c>
      <c r="R10" s="476" t="s">
        <v>40</v>
      </c>
      <c r="S10" s="476"/>
      <c r="T10" s="13" t="s">
        <v>167</v>
      </c>
      <c r="U10" s="13" t="s">
        <v>145</v>
      </c>
      <c r="V10" s="13" t="s">
        <v>147</v>
      </c>
      <c r="W10" s="17" t="s">
        <v>195</v>
      </c>
      <c r="X10" s="408" t="s">
        <v>40</v>
      </c>
      <c r="Y10" s="359" t="s">
        <v>12</v>
      </c>
      <c r="Z10" s="244" t="s">
        <v>43</v>
      </c>
      <c r="AA10" s="56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6"/>
    </row>
    <row r="11" spans="1:42" x14ac:dyDescent="0.25">
      <c r="A11" s="57"/>
      <c r="B11" s="12"/>
      <c r="C11" s="13" t="s">
        <v>13</v>
      </c>
      <c r="D11" s="59" t="s">
        <v>44</v>
      </c>
      <c r="E11" s="59" t="s">
        <v>49</v>
      </c>
      <c r="F11" s="59" t="s">
        <v>40</v>
      </c>
      <c r="G11" s="59" t="s">
        <v>45</v>
      </c>
      <c r="H11" s="59" t="s">
        <v>129</v>
      </c>
      <c r="I11" s="59" t="s">
        <v>130</v>
      </c>
      <c r="J11" s="59" t="s">
        <v>130</v>
      </c>
      <c r="K11" s="59"/>
      <c r="L11" s="59"/>
      <c r="M11" s="59"/>
      <c r="N11" s="59" t="s">
        <v>79</v>
      </c>
      <c r="O11" s="59" t="s">
        <v>46</v>
      </c>
      <c r="P11" s="59"/>
      <c r="Q11" s="59" t="s">
        <v>79</v>
      </c>
      <c r="R11" s="476" t="s">
        <v>12</v>
      </c>
      <c r="S11" s="476"/>
      <c r="T11" s="13" t="s">
        <v>168</v>
      </c>
      <c r="U11" s="13" t="s">
        <v>148</v>
      </c>
      <c r="V11" s="13" t="s">
        <v>169</v>
      </c>
      <c r="W11" s="17" t="s">
        <v>196</v>
      </c>
      <c r="X11" s="408" t="s">
        <v>12</v>
      </c>
      <c r="Y11" s="103" t="s">
        <v>183</v>
      </c>
      <c r="Z11" s="244" t="s">
        <v>48</v>
      </c>
      <c r="AA11" s="34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56"/>
    </row>
    <row r="12" spans="1:42" x14ac:dyDescent="0.25">
      <c r="A12" s="57"/>
      <c r="B12" s="12"/>
      <c r="C12" s="13"/>
      <c r="D12" s="61"/>
      <c r="E12" s="59" t="s">
        <v>184</v>
      </c>
      <c r="F12" s="59"/>
      <c r="G12" s="132"/>
      <c r="H12" s="62"/>
      <c r="I12" s="132" t="s">
        <v>170</v>
      </c>
      <c r="J12" s="132" t="s">
        <v>171</v>
      </c>
      <c r="K12" s="59"/>
      <c r="L12" s="62"/>
      <c r="M12" s="59"/>
      <c r="N12" s="59" t="s">
        <v>172</v>
      </c>
      <c r="O12" s="59" t="s">
        <v>173</v>
      </c>
      <c r="P12" s="59"/>
      <c r="Q12" s="59" t="s">
        <v>173</v>
      </c>
      <c r="R12" s="477" t="s">
        <v>181</v>
      </c>
      <c r="S12" s="477"/>
      <c r="T12" s="13" t="s">
        <v>174</v>
      </c>
      <c r="U12" s="13" t="s">
        <v>47</v>
      </c>
      <c r="V12" s="13" t="s">
        <v>175</v>
      </c>
      <c r="W12" s="13" t="s">
        <v>40</v>
      </c>
      <c r="X12" s="342" t="s">
        <v>182</v>
      </c>
      <c r="Y12" s="359"/>
      <c r="Z12" s="244"/>
      <c r="AA12" s="56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56"/>
    </row>
    <row r="13" spans="1:42" hidden="1" x14ac:dyDescent="0.25">
      <c r="A13" s="121"/>
      <c r="B13" s="114"/>
      <c r="C13" s="115"/>
      <c r="D13" s="116" t="s">
        <v>277</v>
      </c>
      <c r="E13" s="16" t="s">
        <v>278</v>
      </c>
      <c r="F13" s="16" t="s">
        <v>279</v>
      </c>
      <c r="G13" s="17" t="s">
        <v>280</v>
      </c>
      <c r="H13" s="122" t="s">
        <v>281</v>
      </c>
      <c r="I13" s="13" t="s">
        <v>282</v>
      </c>
      <c r="J13" s="17" t="s">
        <v>283</v>
      </c>
      <c r="K13" s="115" t="s">
        <v>284</v>
      </c>
      <c r="L13" s="122" t="s">
        <v>285</v>
      </c>
      <c r="M13" s="122" t="s">
        <v>286</v>
      </c>
      <c r="N13" s="122" t="s">
        <v>287</v>
      </c>
      <c r="O13" s="123" t="s">
        <v>288</v>
      </c>
      <c r="P13" s="115" t="s">
        <v>289</v>
      </c>
      <c r="Q13" s="115" t="s">
        <v>290</v>
      </c>
      <c r="R13" s="115"/>
      <c r="S13" s="115"/>
      <c r="T13" s="115" t="s">
        <v>291</v>
      </c>
      <c r="U13" s="115" t="s">
        <v>292</v>
      </c>
      <c r="V13" s="115" t="s">
        <v>293</v>
      </c>
      <c r="W13" s="124" t="s">
        <v>294</v>
      </c>
      <c r="X13" s="466"/>
      <c r="Y13" s="360"/>
      <c r="Z13" s="245"/>
      <c r="AA13" s="56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56"/>
    </row>
    <row r="14" spans="1:42" ht="18" customHeight="1" thickBot="1" x14ac:dyDescent="0.3">
      <c r="A14" s="197">
        <v>1</v>
      </c>
      <c r="B14" s="221"/>
      <c r="C14" s="218">
        <v>2</v>
      </c>
      <c r="D14" s="218">
        <v>3</v>
      </c>
      <c r="E14" s="218">
        <v>4</v>
      </c>
      <c r="F14" s="218">
        <v>5</v>
      </c>
      <c r="G14" s="218">
        <v>6</v>
      </c>
      <c r="H14" s="218">
        <v>7</v>
      </c>
      <c r="I14" s="218">
        <v>8</v>
      </c>
      <c r="J14" s="218">
        <v>9</v>
      </c>
      <c r="K14" s="218">
        <v>10</v>
      </c>
      <c r="L14" s="218">
        <v>11</v>
      </c>
      <c r="M14" s="218">
        <v>12</v>
      </c>
      <c r="N14" s="218">
        <v>13</v>
      </c>
      <c r="O14" s="218">
        <v>14</v>
      </c>
      <c r="P14" s="218">
        <v>15</v>
      </c>
      <c r="Q14" s="218">
        <v>16</v>
      </c>
      <c r="R14" s="218">
        <v>17</v>
      </c>
      <c r="S14" s="218"/>
      <c r="T14" s="218">
        <v>18</v>
      </c>
      <c r="U14" s="218">
        <v>19</v>
      </c>
      <c r="V14" s="218">
        <v>20</v>
      </c>
      <c r="W14" s="218">
        <v>21</v>
      </c>
      <c r="X14" s="480">
        <v>22</v>
      </c>
      <c r="Y14" s="361">
        <v>21</v>
      </c>
      <c r="Z14" s="246">
        <v>22</v>
      </c>
      <c r="AA14" s="343"/>
      <c r="AB14" s="4"/>
      <c r="AC14" s="4"/>
      <c r="AD14" s="4"/>
      <c r="AE14" s="4"/>
      <c r="AF14" s="4"/>
      <c r="AG14" s="4"/>
      <c r="AH14" s="4"/>
      <c r="AI14" s="4"/>
      <c r="AJ14" s="754"/>
      <c r="AK14" s="754"/>
      <c r="AL14" s="4"/>
      <c r="AM14" s="4"/>
      <c r="AN14" s="4"/>
      <c r="AO14" s="4"/>
      <c r="AP14" s="4"/>
    </row>
    <row r="15" spans="1:42" s="67" customFormat="1" ht="19.5" hidden="1" customHeight="1" x14ac:dyDescent="0.3">
      <c r="A15" s="63"/>
      <c r="B15" s="154"/>
      <c r="C15" s="64" t="s">
        <v>67</v>
      </c>
      <c r="D15" s="155">
        <v>131412</v>
      </c>
      <c r="E15" s="155">
        <v>35786</v>
      </c>
      <c r="F15" s="155">
        <v>4479139</v>
      </c>
      <c r="G15" s="155">
        <v>237267</v>
      </c>
      <c r="H15" s="155">
        <v>8000</v>
      </c>
      <c r="I15" s="155">
        <v>46680</v>
      </c>
      <c r="J15" s="155">
        <v>606483</v>
      </c>
      <c r="K15" s="155">
        <v>1498525</v>
      </c>
      <c r="L15" s="155">
        <v>1783107</v>
      </c>
      <c r="M15" s="155">
        <v>13427</v>
      </c>
      <c r="N15" s="155">
        <v>68837</v>
      </c>
      <c r="O15" s="155">
        <v>10000</v>
      </c>
      <c r="P15" s="155">
        <v>0</v>
      </c>
      <c r="Q15" s="155">
        <v>161587</v>
      </c>
      <c r="R15" s="447">
        <f>SUM(D15:Q15)</f>
        <v>9080250</v>
      </c>
      <c r="S15" s="447"/>
      <c r="T15" s="155">
        <v>0</v>
      </c>
      <c r="U15" s="155">
        <v>0</v>
      </c>
      <c r="V15" s="155">
        <v>0</v>
      </c>
      <c r="W15" s="155">
        <v>0</v>
      </c>
      <c r="X15" s="481">
        <f>SUM(T15:W15)</f>
        <v>0</v>
      </c>
      <c r="Y15" s="362">
        <f>R15+X15</f>
        <v>9080250</v>
      </c>
      <c r="Z15" s="249">
        <v>6062889</v>
      </c>
      <c r="AA15" s="344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6"/>
    </row>
    <row r="16" spans="1:42" ht="20.100000000000001" hidden="1" customHeight="1" x14ac:dyDescent="0.25">
      <c r="A16" s="68"/>
      <c r="B16" s="140" t="s">
        <v>64</v>
      </c>
      <c r="C16" s="41" t="s">
        <v>109</v>
      </c>
      <c r="D16" s="71"/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3"/>
      <c r="Y16" s="209">
        <f>SUM(D16:W16)</f>
        <v>0</v>
      </c>
      <c r="Z16" s="248"/>
      <c r="AA16" s="345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70"/>
    </row>
    <row r="17" spans="1:42" ht="20.100000000000001" hidden="1" customHeight="1" x14ac:dyDescent="0.25">
      <c r="A17" s="160"/>
      <c r="B17" s="27"/>
      <c r="C17" s="24" t="s">
        <v>18</v>
      </c>
      <c r="D17" s="155">
        <f>SUM(D15:D16)</f>
        <v>131412</v>
      </c>
      <c r="E17" s="155">
        <f t="shared" ref="E17:W17" si="0">SUM(E15:E16)</f>
        <v>35786</v>
      </c>
      <c r="F17" s="155">
        <f t="shared" si="0"/>
        <v>4479139</v>
      </c>
      <c r="G17" s="155">
        <f t="shared" si="0"/>
        <v>237267</v>
      </c>
      <c r="H17" s="155">
        <f t="shared" si="0"/>
        <v>8000</v>
      </c>
      <c r="I17" s="155">
        <f t="shared" si="0"/>
        <v>46680</v>
      </c>
      <c r="J17" s="155">
        <f t="shared" si="0"/>
        <v>606483</v>
      </c>
      <c r="K17" s="155">
        <f t="shared" si="0"/>
        <v>1498525</v>
      </c>
      <c r="L17" s="155">
        <f t="shared" si="0"/>
        <v>1783107</v>
      </c>
      <c r="M17" s="155">
        <f t="shared" si="0"/>
        <v>13427</v>
      </c>
      <c r="N17" s="155">
        <f t="shared" si="0"/>
        <v>68837</v>
      </c>
      <c r="O17" s="155">
        <f t="shared" si="0"/>
        <v>10000</v>
      </c>
      <c r="P17" s="155">
        <f t="shared" si="0"/>
        <v>0</v>
      </c>
      <c r="Q17" s="155">
        <f t="shared" si="0"/>
        <v>161587</v>
      </c>
      <c r="R17" s="155"/>
      <c r="S17" s="155"/>
      <c r="T17" s="155">
        <f t="shared" si="0"/>
        <v>0</v>
      </c>
      <c r="U17" s="155">
        <f t="shared" si="0"/>
        <v>0</v>
      </c>
      <c r="V17" s="155">
        <f t="shared" si="0"/>
        <v>0</v>
      </c>
      <c r="W17" s="155">
        <f t="shared" si="0"/>
        <v>0</v>
      </c>
      <c r="X17" s="156"/>
      <c r="Y17" s="363">
        <f>SUM(Y15:Y16)</f>
        <v>9080250</v>
      </c>
      <c r="Z17" s="249">
        <f>SUM(Z15:Z16)</f>
        <v>6062889</v>
      </c>
      <c r="AA17" s="344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70"/>
    </row>
    <row r="18" spans="1:42" ht="30" hidden="1" customHeight="1" x14ac:dyDescent="0.25">
      <c r="A18" s="82">
        <v>1</v>
      </c>
      <c r="B18" s="140" t="s">
        <v>199</v>
      </c>
      <c r="C18" s="28" t="s">
        <v>202</v>
      </c>
      <c r="D18" s="608">
        <f>3645</f>
        <v>3645</v>
      </c>
      <c r="E18" s="608">
        <f>1068</f>
        <v>1068</v>
      </c>
      <c r="F18" s="608">
        <f>60+70+214+93</f>
        <v>437</v>
      </c>
      <c r="G18" s="608"/>
      <c r="H18" s="608"/>
      <c r="I18" s="608"/>
      <c r="J18" s="608">
        <f>350</f>
        <v>350</v>
      </c>
      <c r="K18" s="608">
        <f>-5500</f>
        <v>-5500</v>
      </c>
      <c r="L18" s="608"/>
      <c r="M18" s="609"/>
      <c r="N18" s="608"/>
      <c r="O18" s="608"/>
      <c r="P18" s="608"/>
      <c r="Q18" s="608"/>
      <c r="R18" s="608">
        <f t="shared" ref="R18:R89" si="1">SUM(D18:Q18)</f>
        <v>0</v>
      </c>
      <c r="S18" s="608"/>
      <c r="T18" s="608"/>
      <c r="U18" s="608"/>
      <c r="V18" s="608"/>
      <c r="W18" s="608"/>
      <c r="X18" s="610">
        <f t="shared" ref="X18:X131" si="2">SUM(T18:W18)</f>
        <v>0</v>
      </c>
      <c r="Y18" s="611">
        <f t="shared" ref="Y18:Y131" si="3">R18+X18</f>
        <v>0</v>
      </c>
      <c r="Z18" s="612"/>
      <c r="AA18" s="345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</row>
    <row r="19" spans="1:42" ht="30" hidden="1" customHeight="1" x14ac:dyDescent="0.25">
      <c r="A19" s="82">
        <v>2</v>
      </c>
      <c r="B19" s="140" t="s">
        <v>203</v>
      </c>
      <c r="C19" s="28" t="s">
        <v>204</v>
      </c>
      <c r="D19" s="608"/>
      <c r="E19" s="608"/>
      <c r="F19" s="608">
        <f>1+235+554+210</f>
        <v>1000</v>
      </c>
      <c r="G19" s="608"/>
      <c r="H19" s="608"/>
      <c r="I19" s="608"/>
      <c r="J19" s="608"/>
      <c r="K19" s="608">
        <f>-2000</f>
        <v>-2000</v>
      </c>
      <c r="L19" s="608">
        <f>787+213</f>
        <v>1000</v>
      </c>
      <c r="M19" s="608"/>
      <c r="N19" s="608"/>
      <c r="O19" s="608"/>
      <c r="P19" s="608"/>
      <c r="Q19" s="608"/>
      <c r="R19" s="608">
        <f t="shared" si="1"/>
        <v>0</v>
      </c>
      <c r="S19" s="608"/>
      <c r="T19" s="608"/>
      <c r="U19" s="608"/>
      <c r="V19" s="608"/>
      <c r="W19" s="608"/>
      <c r="X19" s="610">
        <f t="shared" si="2"/>
        <v>0</v>
      </c>
      <c r="Y19" s="611">
        <f t="shared" si="3"/>
        <v>0</v>
      </c>
      <c r="Z19" s="612"/>
      <c r="AA19" s="345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70"/>
    </row>
    <row r="20" spans="1:42" ht="30" hidden="1" customHeight="1" x14ac:dyDescent="0.25">
      <c r="A20" s="82">
        <v>3</v>
      </c>
      <c r="B20" s="140" t="s">
        <v>205</v>
      </c>
      <c r="C20" s="28" t="s">
        <v>206</v>
      </c>
      <c r="D20" s="608"/>
      <c r="E20" s="608"/>
      <c r="F20" s="608">
        <f>111+30</f>
        <v>141</v>
      </c>
      <c r="G20" s="608"/>
      <c r="H20" s="608"/>
      <c r="I20" s="608"/>
      <c r="J20" s="608"/>
      <c r="K20" s="608"/>
      <c r="L20" s="608"/>
      <c r="M20" s="608"/>
      <c r="N20" s="608"/>
      <c r="O20" s="608"/>
      <c r="P20" s="608"/>
      <c r="Q20" s="608"/>
      <c r="R20" s="608">
        <f t="shared" si="1"/>
        <v>141</v>
      </c>
      <c r="S20" s="608"/>
      <c r="T20" s="608"/>
      <c r="U20" s="608"/>
      <c r="V20" s="608"/>
      <c r="W20" s="608"/>
      <c r="X20" s="610">
        <f t="shared" si="2"/>
        <v>0</v>
      </c>
      <c r="Y20" s="611">
        <f t="shared" si="3"/>
        <v>141</v>
      </c>
      <c r="Z20" s="612"/>
      <c r="AA20" s="345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70"/>
    </row>
    <row r="21" spans="1:42" ht="30" hidden="1" customHeight="1" x14ac:dyDescent="0.25">
      <c r="A21" s="82">
        <v>4</v>
      </c>
      <c r="B21" s="140" t="s">
        <v>233</v>
      </c>
      <c r="C21" s="28" t="s">
        <v>234</v>
      </c>
      <c r="D21" s="608"/>
      <c r="E21" s="608"/>
      <c r="F21" s="608"/>
      <c r="G21" s="608"/>
      <c r="H21" s="608"/>
      <c r="I21" s="608"/>
      <c r="J21" s="608">
        <f>18667</f>
        <v>18667</v>
      </c>
      <c r="K21" s="608">
        <f>-157351</f>
        <v>-157351</v>
      </c>
      <c r="L21" s="608"/>
      <c r="M21" s="608"/>
      <c r="N21" s="608"/>
      <c r="O21" s="608"/>
      <c r="P21" s="608"/>
      <c r="Q21" s="608">
        <f>138684</f>
        <v>138684</v>
      </c>
      <c r="R21" s="608">
        <f t="shared" si="1"/>
        <v>0</v>
      </c>
      <c r="S21" s="608"/>
      <c r="T21" s="608"/>
      <c r="U21" s="608"/>
      <c r="V21" s="608"/>
      <c r="W21" s="608"/>
      <c r="X21" s="610">
        <f t="shared" si="2"/>
        <v>0</v>
      </c>
      <c r="Y21" s="611">
        <f t="shared" si="3"/>
        <v>0</v>
      </c>
      <c r="Z21" s="612"/>
      <c r="AA21" s="345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70"/>
    </row>
    <row r="22" spans="1:42" ht="30" hidden="1" customHeight="1" x14ac:dyDescent="0.25">
      <c r="A22" s="82">
        <v>5</v>
      </c>
      <c r="B22" s="140" t="s">
        <v>237</v>
      </c>
      <c r="C22" s="28" t="s">
        <v>238</v>
      </c>
      <c r="D22" s="608"/>
      <c r="E22" s="608"/>
      <c r="F22" s="608">
        <f>378</f>
        <v>378</v>
      </c>
      <c r="G22" s="608"/>
      <c r="H22" s="608"/>
      <c r="I22" s="608"/>
      <c r="J22" s="608"/>
      <c r="K22" s="608">
        <f>1400</f>
        <v>1400</v>
      </c>
      <c r="L22" s="608"/>
      <c r="M22" s="608"/>
      <c r="N22" s="608"/>
      <c r="O22" s="608"/>
      <c r="P22" s="608"/>
      <c r="Q22" s="608"/>
      <c r="R22" s="608">
        <f t="shared" si="1"/>
        <v>1778</v>
      </c>
      <c r="S22" s="608"/>
      <c r="T22" s="608"/>
      <c r="U22" s="608"/>
      <c r="V22" s="608"/>
      <c r="W22" s="608"/>
      <c r="X22" s="610">
        <f t="shared" si="2"/>
        <v>0</v>
      </c>
      <c r="Y22" s="611">
        <f t="shared" si="3"/>
        <v>1778</v>
      </c>
      <c r="Z22" s="612"/>
      <c r="AA22" s="345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70"/>
    </row>
    <row r="23" spans="1:42" ht="30" hidden="1" customHeight="1" x14ac:dyDescent="0.25">
      <c r="A23" s="82">
        <v>6</v>
      </c>
      <c r="B23" s="140" t="s">
        <v>239</v>
      </c>
      <c r="C23" s="28" t="s">
        <v>240</v>
      </c>
      <c r="D23" s="608"/>
      <c r="E23" s="608"/>
      <c r="F23" s="608">
        <f>14</f>
        <v>14</v>
      </c>
      <c r="G23" s="608"/>
      <c r="H23" s="608"/>
      <c r="I23" s="608"/>
      <c r="J23" s="608"/>
      <c r="K23" s="608"/>
      <c r="L23" s="608"/>
      <c r="M23" s="608"/>
      <c r="N23" s="608"/>
      <c r="O23" s="608"/>
      <c r="P23" s="608"/>
      <c r="Q23" s="608"/>
      <c r="R23" s="608">
        <f t="shared" si="1"/>
        <v>14</v>
      </c>
      <c r="S23" s="608"/>
      <c r="T23" s="608"/>
      <c r="U23" s="608"/>
      <c r="V23" s="608"/>
      <c r="W23" s="608"/>
      <c r="X23" s="610">
        <f t="shared" si="2"/>
        <v>0</v>
      </c>
      <c r="Y23" s="611">
        <f t="shared" si="3"/>
        <v>14</v>
      </c>
      <c r="Z23" s="612">
        <f>-14</f>
        <v>-14</v>
      </c>
      <c r="AA23" s="345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70"/>
    </row>
    <row r="24" spans="1:42" ht="30" hidden="1" customHeight="1" x14ac:dyDescent="0.25">
      <c r="A24" s="82">
        <v>7</v>
      </c>
      <c r="B24" s="603" t="s">
        <v>242</v>
      </c>
      <c r="C24" s="28" t="s">
        <v>243</v>
      </c>
      <c r="D24" s="608"/>
      <c r="E24" s="608"/>
      <c r="F24" s="608"/>
      <c r="G24" s="608">
        <f>775</f>
        <v>775</v>
      </c>
      <c r="H24" s="608"/>
      <c r="I24" s="608"/>
      <c r="J24" s="608"/>
      <c r="K24" s="608"/>
      <c r="L24" s="608"/>
      <c r="M24" s="608"/>
      <c r="N24" s="608"/>
      <c r="O24" s="608"/>
      <c r="P24" s="608"/>
      <c r="Q24" s="608"/>
      <c r="R24" s="608">
        <f t="shared" si="1"/>
        <v>775</v>
      </c>
      <c r="S24" s="608"/>
      <c r="T24" s="608"/>
      <c r="U24" s="608"/>
      <c r="V24" s="608"/>
      <c r="W24" s="608"/>
      <c r="X24" s="610">
        <f t="shared" si="2"/>
        <v>0</v>
      </c>
      <c r="Y24" s="611">
        <f t="shared" si="3"/>
        <v>775</v>
      </c>
      <c r="Z24" s="612"/>
      <c r="AA24" s="345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70"/>
    </row>
    <row r="25" spans="1:42" ht="30" hidden="1" customHeight="1" x14ac:dyDescent="0.25">
      <c r="A25" s="82">
        <v>8</v>
      </c>
      <c r="B25" s="603" t="s">
        <v>244</v>
      </c>
      <c r="C25" s="28" t="s">
        <v>267</v>
      </c>
      <c r="D25" s="608"/>
      <c r="E25" s="608"/>
      <c r="F25" s="608">
        <f>100</f>
        <v>100</v>
      </c>
      <c r="G25" s="608"/>
      <c r="H25" s="608"/>
      <c r="I25" s="608"/>
      <c r="J25" s="608"/>
      <c r="K25" s="608"/>
      <c r="L25" s="608">
        <f>-79-21</f>
        <v>-100</v>
      </c>
      <c r="M25" s="608"/>
      <c r="N25" s="608"/>
      <c r="O25" s="608"/>
      <c r="P25" s="608"/>
      <c r="Q25" s="608"/>
      <c r="R25" s="608">
        <f t="shared" si="1"/>
        <v>0</v>
      </c>
      <c r="S25" s="608"/>
      <c r="T25" s="608"/>
      <c r="U25" s="608"/>
      <c r="V25" s="608"/>
      <c r="W25" s="608"/>
      <c r="X25" s="610">
        <f t="shared" si="2"/>
        <v>0</v>
      </c>
      <c r="Y25" s="611">
        <f t="shared" si="3"/>
        <v>0</v>
      </c>
      <c r="Z25" s="612"/>
      <c r="AA25" s="345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70"/>
    </row>
    <row r="26" spans="1:42" ht="30" hidden="1" customHeight="1" x14ac:dyDescent="0.25">
      <c r="A26" s="82">
        <v>9</v>
      </c>
      <c r="B26" s="603" t="s">
        <v>245</v>
      </c>
      <c r="C26" s="28" t="s">
        <v>246</v>
      </c>
      <c r="D26" s="608">
        <f>311</f>
        <v>311</v>
      </c>
      <c r="E26" s="608">
        <f>89</f>
        <v>89</v>
      </c>
      <c r="F26" s="608">
        <f>315+85</f>
        <v>400</v>
      </c>
      <c r="G26" s="608"/>
      <c r="H26" s="608"/>
      <c r="I26" s="608"/>
      <c r="J26" s="608">
        <f>200</f>
        <v>200</v>
      </c>
      <c r="K26" s="608">
        <f>-1000</f>
        <v>-1000</v>
      </c>
      <c r="L26" s="608"/>
      <c r="M26" s="608"/>
      <c r="N26" s="608"/>
      <c r="O26" s="608"/>
      <c r="P26" s="608"/>
      <c r="Q26" s="608"/>
      <c r="R26" s="608">
        <f t="shared" si="1"/>
        <v>0</v>
      </c>
      <c r="S26" s="608"/>
      <c r="T26" s="608"/>
      <c r="U26" s="608"/>
      <c r="V26" s="608"/>
      <c r="W26" s="608"/>
      <c r="X26" s="610">
        <f t="shared" ref="X26:X31" si="4">SUM(T26:W26)</f>
        <v>0</v>
      </c>
      <c r="Y26" s="611">
        <f t="shared" ref="Y26:Y31" si="5">R26+X26</f>
        <v>0</v>
      </c>
      <c r="Z26" s="612"/>
      <c r="AA26" s="345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70"/>
    </row>
    <row r="27" spans="1:42" ht="30" hidden="1" customHeight="1" x14ac:dyDescent="0.25">
      <c r="A27" s="82">
        <v>10</v>
      </c>
      <c r="B27" s="603" t="s">
        <v>247</v>
      </c>
      <c r="C27" s="28" t="s">
        <v>248</v>
      </c>
      <c r="D27" s="608"/>
      <c r="E27" s="608"/>
      <c r="F27" s="608"/>
      <c r="G27" s="608">
        <f>-0.26</f>
        <v>-0.26</v>
      </c>
      <c r="H27" s="608"/>
      <c r="I27" s="608"/>
      <c r="J27" s="608"/>
      <c r="K27" s="608"/>
      <c r="L27" s="608"/>
      <c r="M27" s="608"/>
      <c r="N27" s="608"/>
      <c r="O27" s="608"/>
      <c r="P27" s="608"/>
      <c r="Q27" s="608"/>
      <c r="R27" s="608">
        <f t="shared" si="1"/>
        <v>-0.26</v>
      </c>
      <c r="S27" s="608"/>
      <c r="T27" s="608"/>
      <c r="U27" s="608"/>
      <c r="V27" s="608"/>
      <c r="W27" s="608"/>
      <c r="X27" s="610">
        <f t="shared" si="4"/>
        <v>0</v>
      </c>
      <c r="Y27" s="611">
        <f t="shared" si="5"/>
        <v>-0.26</v>
      </c>
      <c r="Z27" s="612"/>
      <c r="AA27" s="345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70"/>
    </row>
    <row r="28" spans="1:42" ht="30" hidden="1" customHeight="1" x14ac:dyDescent="0.25">
      <c r="A28" s="82">
        <v>11</v>
      </c>
      <c r="B28" s="603" t="s">
        <v>249</v>
      </c>
      <c r="C28" s="28" t="s">
        <v>250</v>
      </c>
      <c r="D28" s="608"/>
      <c r="E28" s="608"/>
      <c r="F28" s="608"/>
      <c r="G28" s="608"/>
      <c r="H28" s="608"/>
      <c r="I28" s="608"/>
      <c r="J28" s="608">
        <f>100+150</f>
        <v>250</v>
      </c>
      <c r="K28" s="608">
        <f>-250</f>
        <v>-250</v>
      </c>
      <c r="L28" s="608"/>
      <c r="M28" s="608"/>
      <c r="N28" s="608"/>
      <c r="O28" s="608"/>
      <c r="P28" s="608"/>
      <c r="Q28" s="608"/>
      <c r="R28" s="608">
        <f t="shared" si="1"/>
        <v>0</v>
      </c>
      <c r="S28" s="608"/>
      <c r="T28" s="608"/>
      <c r="U28" s="608"/>
      <c r="V28" s="608"/>
      <c r="W28" s="608"/>
      <c r="X28" s="610">
        <f t="shared" si="4"/>
        <v>0</v>
      </c>
      <c r="Y28" s="611">
        <f t="shared" si="5"/>
        <v>0</v>
      </c>
      <c r="Z28" s="612"/>
      <c r="AA28" s="345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70"/>
    </row>
    <row r="29" spans="1:42" ht="30" hidden="1" customHeight="1" x14ac:dyDescent="0.25">
      <c r="A29" s="82">
        <v>12</v>
      </c>
      <c r="B29" s="603" t="s">
        <v>251</v>
      </c>
      <c r="C29" s="28" t="s">
        <v>252</v>
      </c>
      <c r="D29" s="608"/>
      <c r="E29" s="608"/>
      <c r="F29" s="608"/>
      <c r="G29" s="608"/>
      <c r="H29" s="608"/>
      <c r="I29" s="608"/>
      <c r="J29" s="608">
        <f>80</f>
        <v>80</v>
      </c>
      <c r="K29" s="608">
        <f>-80</f>
        <v>-80</v>
      </c>
      <c r="L29" s="608"/>
      <c r="M29" s="608"/>
      <c r="N29" s="608"/>
      <c r="O29" s="608"/>
      <c r="P29" s="608"/>
      <c r="Q29" s="608"/>
      <c r="R29" s="608">
        <f t="shared" si="1"/>
        <v>0</v>
      </c>
      <c r="S29" s="608"/>
      <c r="T29" s="608"/>
      <c r="U29" s="608"/>
      <c r="V29" s="608"/>
      <c r="W29" s="608"/>
      <c r="X29" s="610">
        <f t="shared" si="4"/>
        <v>0</v>
      </c>
      <c r="Y29" s="611">
        <f t="shared" si="5"/>
        <v>0</v>
      </c>
      <c r="Z29" s="612"/>
      <c r="AA29" s="345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70"/>
    </row>
    <row r="30" spans="1:42" ht="30" hidden="1" customHeight="1" x14ac:dyDescent="0.25">
      <c r="A30" s="82">
        <v>13</v>
      </c>
      <c r="B30" s="603" t="s">
        <v>253</v>
      </c>
      <c r="C30" s="28" t="s">
        <v>254</v>
      </c>
      <c r="D30" s="608"/>
      <c r="E30" s="608"/>
      <c r="F30" s="608"/>
      <c r="G30" s="608"/>
      <c r="H30" s="608"/>
      <c r="I30" s="608"/>
      <c r="J30" s="608"/>
      <c r="K30" s="608">
        <f>72335</f>
        <v>72335</v>
      </c>
      <c r="L30" s="608"/>
      <c r="M30" s="608"/>
      <c r="N30" s="608"/>
      <c r="O30" s="608"/>
      <c r="P30" s="608"/>
      <c r="Q30" s="608"/>
      <c r="R30" s="608">
        <f t="shared" si="1"/>
        <v>72335</v>
      </c>
      <c r="S30" s="608"/>
      <c r="T30" s="608"/>
      <c r="U30" s="608"/>
      <c r="V30" s="608"/>
      <c r="W30" s="608"/>
      <c r="X30" s="610">
        <f t="shared" si="4"/>
        <v>0</v>
      </c>
      <c r="Y30" s="611">
        <f t="shared" si="5"/>
        <v>72335</v>
      </c>
      <c r="Z30" s="612"/>
      <c r="AA30" s="345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70"/>
    </row>
    <row r="31" spans="1:42" ht="30" hidden="1" customHeight="1" x14ac:dyDescent="0.25">
      <c r="A31" s="82">
        <v>14</v>
      </c>
      <c r="B31" s="603" t="s">
        <v>255</v>
      </c>
      <c r="C31" s="28" t="s">
        <v>250</v>
      </c>
      <c r="D31" s="608"/>
      <c r="E31" s="608"/>
      <c r="F31" s="608"/>
      <c r="G31" s="608"/>
      <c r="H31" s="608"/>
      <c r="I31" s="608"/>
      <c r="J31" s="608">
        <f>50</f>
        <v>50</v>
      </c>
      <c r="K31" s="608">
        <f>-50</f>
        <v>-50</v>
      </c>
      <c r="L31" s="608"/>
      <c r="M31" s="608"/>
      <c r="N31" s="608"/>
      <c r="O31" s="608"/>
      <c r="P31" s="608"/>
      <c r="Q31" s="608"/>
      <c r="R31" s="608">
        <f t="shared" si="1"/>
        <v>0</v>
      </c>
      <c r="S31" s="608"/>
      <c r="T31" s="608"/>
      <c r="U31" s="608"/>
      <c r="V31" s="608"/>
      <c r="W31" s="608"/>
      <c r="X31" s="610">
        <f t="shared" si="4"/>
        <v>0</v>
      </c>
      <c r="Y31" s="611">
        <f t="shared" si="5"/>
        <v>0</v>
      </c>
      <c r="Z31" s="612"/>
      <c r="AA31" s="345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70"/>
    </row>
    <row r="32" spans="1:42" ht="24.95" hidden="1" customHeight="1" x14ac:dyDescent="0.25">
      <c r="A32" s="82">
        <v>15</v>
      </c>
      <c r="B32" s="228" t="s">
        <v>207</v>
      </c>
      <c r="C32" s="28" t="s">
        <v>208</v>
      </c>
      <c r="D32" s="608"/>
      <c r="E32" s="608"/>
      <c r="F32" s="608"/>
      <c r="G32" s="608"/>
      <c r="H32" s="608"/>
      <c r="I32" s="608"/>
      <c r="J32" s="608"/>
      <c r="K32" s="608">
        <f>-12800</f>
        <v>-12800</v>
      </c>
      <c r="L32" s="608"/>
      <c r="M32" s="608"/>
      <c r="N32" s="608"/>
      <c r="O32" s="608"/>
      <c r="P32" s="608"/>
      <c r="Q32" s="608"/>
      <c r="R32" s="608">
        <f t="shared" si="1"/>
        <v>-12800</v>
      </c>
      <c r="S32" s="608"/>
      <c r="T32" s="608"/>
      <c r="U32" s="608"/>
      <c r="V32" s="608"/>
      <c r="W32" s="608"/>
      <c r="X32" s="610">
        <f t="shared" si="2"/>
        <v>0</v>
      </c>
      <c r="Y32" s="611">
        <f t="shared" si="3"/>
        <v>-12800</v>
      </c>
      <c r="Z32" s="612">
        <f>12800</f>
        <v>12800</v>
      </c>
      <c r="AA32" s="345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70"/>
    </row>
    <row r="33" spans="1:42" ht="24.95" hidden="1" customHeight="1" x14ac:dyDescent="0.25">
      <c r="A33" s="82">
        <v>16</v>
      </c>
      <c r="B33" s="224" t="s">
        <v>209</v>
      </c>
      <c r="C33" s="28" t="s">
        <v>208</v>
      </c>
      <c r="D33" s="608"/>
      <c r="E33" s="608"/>
      <c r="F33" s="608"/>
      <c r="G33" s="608"/>
      <c r="H33" s="608"/>
      <c r="I33" s="608"/>
      <c r="J33" s="608"/>
      <c r="K33" s="608">
        <f>-17338</f>
        <v>-17338</v>
      </c>
      <c r="L33" s="608"/>
      <c r="M33" s="608"/>
      <c r="N33" s="608"/>
      <c r="O33" s="608"/>
      <c r="P33" s="608"/>
      <c r="Q33" s="608"/>
      <c r="R33" s="608">
        <f t="shared" si="1"/>
        <v>-17338</v>
      </c>
      <c r="S33" s="608"/>
      <c r="T33" s="608"/>
      <c r="U33" s="608"/>
      <c r="V33" s="608"/>
      <c r="W33" s="608"/>
      <c r="X33" s="610">
        <f t="shared" si="2"/>
        <v>0</v>
      </c>
      <c r="Y33" s="611">
        <f t="shared" si="3"/>
        <v>-17338</v>
      </c>
      <c r="Z33" s="612">
        <f>17338</f>
        <v>17338</v>
      </c>
      <c r="AA33" s="345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70"/>
    </row>
    <row r="34" spans="1:42" ht="24.95" hidden="1" customHeight="1" x14ac:dyDescent="0.25">
      <c r="A34" s="82">
        <v>17</v>
      </c>
      <c r="B34" s="141" t="s">
        <v>210</v>
      </c>
      <c r="C34" s="28" t="s">
        <v>208</v>
      </c>
      <c r="D34" s="608"/>
      <c r="E34" s="608"/>
      <c r="F34" s="608"/>
      <c r="G34" s="608"/>
      <c r="H34" s="608"/>
      <c r="I34" s="608"/>
      <c r="J34" s="608"/>
      <c r="K34" s="608">
        <f>-37072</f>
        <v>-37072</v>
      </c>
      <c r="L34" s="608"/>
      <c r="M34" s="608">
        <f>37072</f>
        <v>37072</v>
      </c>
      <c r="N34" s="608"/>
      <c r="O34" s="608"/>
      <c r="P34" s="608"/>
      <c r="Q34" s="608"/>
      <c r="R34" s="608">
        <f t="shared" si="1"/>
        <v>0</v>
      </c>
      <c r="S34" s="608"/>
      <c r="T34" s="608"/>
      <c r="U34" s="608"/>
      <c r="V34" s="608"/>
      <c r="W34" s="608"/>
      <c r="X34" s="610">
        <f t="shared" si="2"/>
        <v>0</v>
      </c>
      <c r="Y34" s="611">
        <f t="shared" si="3"/>
        <v>0</v>
      </c>
      <c r="Z34" s="612"/>
      <c r="AA34" s="345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70"/>
    </row>
    <row r="35" spans="1:42" ht="24.95" hidden="1" customHeight="1" x14ac:dyDescent="0.25">
      <c r="A35" s="82">
        <v>18</v>
      </c>
      <c r="B35" s="141" t="s">
        <v>211</v>
      </c>
      <c r="C35" s="28" t="s">
        <v>212</v>
      </c>
      <c r="D35" s="608"/>
      <c r="E35" s="608"/>
      <c r="F35" s="608"/>
      <c r="G35" s="608"/>
      <c r="H35" s="608"/>
      <c r="I35" s="608"/>
      <c r="J35" s="608"/>
      <c r="K35" s="608">
        <f>-10283</f>
        <v>-10283</v>
      </c>
      <c r="L35" s="608"/>
      <c r="M35" s="608"/>
      <c r="N35" s="608"/>
      <c r="O35" s="608"/>
      <c r="P35" s="608"/>
      <c r="Q35" s="608"/>
      <c r="R35" s="608">
        <f t="shared" si="1"/>
        <v>-10283</v>
      </c>
      <c r="S35" s="608"/>
      <c r="T35" s="608"/>
      <c r="U35" s="608"/>
      <c r="V35" s="608"/>
      <c r="W35" s="608"/>
      <c r="X35" s="610">
        <f t="shared" si="2"/>
        <v>0</v>
      </c>
      <c r="Y35" s="611">
        <f t="shared" si="3"/>
        <v>-10283</v>
      </c>
      <c r="Z35" s="612">
        <f>10283</f>
        <v>10283</v>
      </c>
      <c r="AA35" s="345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70"/>
    </row>
    <row r="36" spans="1:42" ht="24.95" hidden="1" customHeight="1" x14ac:dyDescent="0.25">
      <c r="A36" s="82">
        <v>19</v>
      </c>
      <c r="B36" s="141" t="s">
        <v>213</v>
      </c>
      <c r="C36" s="28" t="s">
        <v>258</v>
      </c>
      <c r="D36" s="608"/>
      <c r="E36" s="608"/>
      <c r="F36" s="608">
        <f>-3084.243</f>
        <v>-3084.2429999999999</v>
      </c>
      <c r="G36" s="608"/>
      <c r="H36" s="608"/>
      <c r="I36" s="608"/>
      <c r="J36" s="608"/>
      <c r="K36" s="608"/>
      <c r="L36" s="608"/>
      <c r="M36" s="608"/>
      <c r="N36" s="608"/>
      <c r="O36" s="608"/>
      <c r="P36" s="608"/>
      <c r="Q36" s="608"/>
      <c r="R36" s="608">
        <f t="shared" si="1"/>
        <v>-3084.2429999999999</v>
      </c>
      <c r="S36" s="608"/>
      <c r="T36" s="608"/>
      <c r="U36" s="608"/>
      <c r="V36" s="608"/>
      <c r="W36" s="608"/>
      <c r="X36" s="610">
        <f t="shared" si="2"/>
        <v>0</v>
      </c>
      <c r="Y36" s="611">
        <f t="shared" si="3"/>
        <v>-3084.2429999999999</v>
      </c>
      <c r="Z36" s="612">
        <f>3084.243</f>
        <v>3084.2429999999999</v>
      </c>
      <c r="AA36" s="345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70"/>
    </row>
    <row r="37" spans="1:42" ht="24.95" hidden="1" customHeight="1" x14ac:dyDescent="0.25">
      <c r="A37" s="82">
        <v>20</v>
      </c>
      <c r="B37" s="141" t="s">
        <v>214</v>
      </c>
      <c r="C37" s="28" t="s">
        <v>314</v>
      </c>
      <c r="D37" s="608"/>
      <c r="E37" s="608"/>
      <c r="F37" s="608">
        <f>-2097.913</f>
        <v>-2097.913</v>
      </c>
      <c r="G37" s="608"/>
      <c r="H37" s="608"/>
      <c r="I37" s="608"/>
      <c r="J37" s="608"/>
      <c r="K37" s="608"/>
      <c r="L37" s="608"/>
      <c r="M37" s="608"/>
      <c r="N37" s="608"/>
      <c r="O37" s="608"/>
      <c r="P37" s="608"/>
      <c r="Q37" s="608"/>
      <c r="R37" s="608">
        <f t="shared" si="1"/>
        <v>-2097.913</v>
      </c>
      <c r="S37" s="608"/>
      <c r="T37" s="608"/>
      <c r="U37" s="608"/>
      <c r="V37" s="608"/>
      <c r="W37" s="608"/>
      <c r="X37" s="610">
        <f t="shared" si="2"/>
        <v>0</v>
      </c>
      <c r="Y37" s="611">
        <f t="shared" si="3"/>
        <v>-2097.913</v>
      </c>
      <c r="Z37" s="612">
        <f>2097.913</f>
        <v>2097.913</v>
      </c>
      <c r="AA37" s="345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70"/>
    </row>
    <row r="38" spans="1:42" ht="24.95" hidden="1" customHeight="1" x14ac:dyDescent="0.25">
      <c r="A38" s="82">
        <v>21</v>
      </c>
      <c r="B38" s="629" t="s">
        <v>257</v>
      </c>
      <c r="C38" s="28" t="s">
        <v>256</v>
      </c>
      <c r="D38" s="608"/>
      <c r="E38" s="608"/>
      <c r="F38" s="608">
        <f>-1100.836</f>
        <v>-1100.836</v>
      </c>
      <c r="G38" s="608"/>
      <c r="H38" s="608"/>
      <c r="I38" s="608"/>
      <c r="J38" s="608"/>
      <c r="K38" s="608"/>
      <c r="L38" s="608"/>
      <c r="M38" s="608"/>
      <c r="N38" s="608"/>
      <c r="O38" s="608"/>
      <c r="P38" s="608"/>
      <c r="Q38" s="608"/>
      <c r="R38" s="608">
        <f t="shared" si="1"/>
        <v>-1100.836</v>
      </c>
      <c r="S38" s="608"/>
      <c r="T38" s="608"/>
      <c r="U38" s="608"/>
      <c r="V38" s="608"/>
      <c r="W38" s="608"/>
      <c r="X38" s="610">
        <f>SUM(T38:W38)</f>
        <v>0</v>
      </c>
      <c r="Y38" s="611">
        <f>R38+X38</f>
        <v>-1100.836</v>
      </c>
      <c r="Z38" s="612">
        <f>1100.836</f>
        <v>1100.836</v>
      </c>
      <c r="AA38" s="345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70"/>
    </row>
    <row r="39" spans="1:42" ht="24.95" hidden="1" customHeight="1" x14ac:dyDescent="0.25">
      <c r="A39" s="82">
        <v>22</v>
      </c>
      <c r="B39" s="141" t="s">
        <v>215</v>
      </c>
      <c r="C39" s="28" t="s">
        <v>216</v>
      </c>
      <c r="D39" s="608"/>
      <c r="E39" s="608"/>
      <c r="F39" s="608">
        <f>572.828</f>
        <v>572.82799999999997</v>
      </c>
      <c r="G39" s="608"/>
      <c r="H39" s="608"/>
      <c r="I39" s="608"/>
      <c r="J39" s="608"/>
      <c r="K39" s="608"/>
      <c r="L39" s="608"/>
      <c r="M39" s="608"/>
      <c r="N39" s="608"/>
      <c r="O39" s="608"/>
      <c r="P39" s="608"/>
      <c r="Q39" s="608"/>
      <c r="R39" s="608">
        <f t="shared" si="1"/>
        <v>572.82799999999997</v>
      </c>
      <c r="S39" s="608"/>
      <c r="T39" s="608"/>
      <c r="U39" s="608"/>
      <c r="V39" s="608"/>
      <c r="W39" s="608"/>
      <c r="X39" s="610">
        <f t="shared" si="2"/>
        <v>0</v>
      </c>
      <c r="Y39" s="632">
        <f t="shared" si="3"/>
        <v>572.82799999999997</v>
      </c>
      <c r="Z39" s="612">
        <f>7778.133</f>
        <v>7778.1329999999998</v>
      </c>
      <c r="AA39" s="345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70"/>
    </row>
    <row r="40" spans="1:42" ht="24.95" hidden="1" customHeight="1" x14ac:dyDescent="0.25">
      <c r="A40" s="82">
        <v>23</v>
      </c>
      <c r="B40" s="141" t="s">
        <v>217</v>
      </c>
      <c r="C40" s="28" t="s">
        <v>220</v>
      </c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>
        <f t="shared" si="1"/>
        <v>0</v>
      </c>
      <c r="S40" s="608"/>
      <c r="T40" s="608"/>
      <c r="U40" s="608"/>
      <c r="V40" s="608"/>
      <c r="W40" s="608"/>
      <c r="X40" s="610">
        <f t="shared" si="2"/>
        <v>0</v>
      </c>
      <c r="Y40" s="632">
        <f t="shared" si="3"/>
        <v>0</v>
      </c>
      <c r="Z40" s="612">
        <f>10065.19</f>
        <v>10065.19</v>
      </c>
      <c r="AA40" s="345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70"/>
    </row>
    <row r="41" spans="1:42" ht="24.95" hidden="1" customHeight="1" x14ac:dyDescent="0.25">
      <c r="A41" s="82">
        <v>24</v>
      </c>
      <c r="B41" s="141" t="s">
        <v>221</v>
      </c>
      <c r="C41" s="28" t="s">
        <v>315</v>
      </c>
      <c r="D41" s="608"/>
      <c r="E41" s="608"/>
      <c r="F41" s="608"/>
      <c r="G41" s="608"/>
      <c r="H41" s="608"/>
      <c r="I41" s="608"/>
      <c r="J41" s="608"/>
      <c r="K41" s="608"/>
      <c r="L41" s="608"/>
      <c r="M41" s="608"/>
      <c r="N41" s="608"/>
      <c r="O41" s="608"/>
      <c r="P41" s="608"/>
      <c r="Q41" s="608"/>
      <c r="R41" s="608">
        <f t="shared" si="1"/>
        <v>0</v>
      </c>
      <c r="S41" s="608"/>
      <c r="T41" s="608"/>
      <c r="U41" s="608"/>
      <c r="V41" s="608"/>
      <c r="W41" s="608"/>
      <c r="X41" s="610">
        <f t="shared" si="2"/>
        <v>0</v>
      </c>
      <c r="Y41" s="632">
        <f t="shared" si="3"/>
        <v>0</v>
      </c>
      <c r="Z41" s="612">
        <f>6950.094</f>
        <v>6950.0940000000001</v>
      </c>
      <c r="AA41" s="345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70"/>
    </row>
    <row r="42" spans="1:42" ht="24.95" hidden="1" customHeight="1" x14ac:dyDescent="0.25">
      <c r="A42" s="82">
        <v>25</v>
      </c>
      <c r="B42" s="629" t="s">
        <v>261</v>
      </c>
      <c r="C42" s="28" t="s">
        <v>263</v>
      </c>
      <c r="D42" s="60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>
        <f t="shared" si="1"/>
        <v>0</v>
      </c>
      <c r="S42" s="608"/>
      <c r="T42" s="608"/>
      <c r="U42" s="608"/>
      <c r="V42" s="608"/>
      <c r="W42" s="608"/>
      <c r="X42" s="610">
        <f>SUM(T42:W42)</f>
        <v>0</v>
      </c>
      <c r="Y42" s="632">
        <f>R42+X42</f>
        <v>0</v>
      </c>
      <c r="Z42" s="612">
        <f>3723.574</f>
        <v>3723.5740000000001</v>
      </c>
      <c r="AA42" s="345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70"/>
    </row>
    <row r="43" spans="1:42" ht="24.95" hidden="1" customHeight="1" x14ac:dyDescent="0.25">
      <c r="A43" s="82">
        <v>26</v>
      </c>
      <c r="B43" s="600" t="s">
        <v>223</v>
      </c>
      <c r="C43" s="33" t="s">
        <v>225</v>
      </c>
      <c r="D43" s="608"/>
      <c r="E43" s="608"/>
      <c r="F43" s="608"/>
      <c r="G43" s="608"/>
      <c r="H43" s="608"/>
      <c r="I43" s="608"/>
      <c r="J43" s="608"/>
      <c r="K43" s="608"/>
      <c r="L43" s="608"/>
      <c r="M43" s="608"/>
      <c r="N43" s="608"/>
      <c r="O43" s="608"/>
      <c r="P43" s="608"/>
      <c r="Q43" s="608"/>
      <c r="R43" s="608">
        <f t="shared" si="1"/>
        <v>0</v>
      </c>
      <c r="S43" s="608"/>
      <c r="T43" s="608"/>
      <c r="U43" s="608"/>
      <c r="V43" s="608"/>
      <c r="W43" s="608"/>
      <c r="X43" s="610">
        <f t="shared" si="2"/>
        <v>0</v>
      </c>
      <c r="Y43" s="632">
        <f t="shared" si="3"/>
        <v>0</v>
      </c>
      <c r="Z43" s="612">
        <f>13617.361</f>
        <v>13617.361000000001</v>
      </c>
      <c r="AA43" s="345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70"/>
    </row>
    <row r="44" spans="1:42" ht="24.95" hidden="1" customHeight="1" x14ac:dyDescent="0.25">
      <c r="A44" s="82">
        <v>27</v>
      </c>
      <c r="B44" s="141" t="s">
        <v>226</v>
      </c>
      <c r="C44" s="28" t="s">
        <v>227</v>
      </c>
      <c r="D44" s="608"/>
      <c r="E44" s="608"/>
      <c r="F44" s="608"/>
      <c r="G44" s="608"/>
      <c r="H44" s="608"/>
      <c r="I44" s="608"/>
      <c r="J44" s="608"/>
      <c r="K44" s="608">
        <f>1663.352</f>
        <v>1663.3520000000001</v>
      </c>
      <c r="L44" s="608"/>
      <c r="M44" s="608"/>
      <c r="N44" s="608"/>
      <c r="O44" s="608"/>
      <c r="P44" s="608"/>
      <c r="Q44" s="608"/>
      <c r="R44" s="608">
        <f t="shared" si="1"/>
        <v>1663.3520000000001</v>
      </c>
      <c r="S44" s="608"/>
      <c r="T44" s="608"/>
      <c r="U44" s="608"/>
      <c r="V44" s="609"/>
      <c r="W44" s="608"/>
      <c r="X44" s="610">
        <f t="shared" si="2"/>
        <v>0</v>
      </c>
      <c r="Y44" s="632">
        <f t="shared" si="3"/>
        <v>1663.3520000000001</v>
      </c>
      <c r="Z44" s="612">
        <f>-1663.352</f>
        <v>-1663.3520000000001</v>
      </c>
      <c r="AA44" s="345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70"/>
    </row>
    <row r="45" spans="1:42" ht="24.95" hidden="1" customHeight="1" x14ac:dyDescent="0.25">
      <c r="A45" s="82">
        <v>28</v>
      </c>
      <c r="B45" s="668" t="s">
        <v>316</v>
      </c>
      <c r="C45" s="28" t="s">
        <v>228</v>
      </c>
      <c r="D45" s="608"/>
      <c r="E45" s="608"/>
      <c r="F45" s="608"/>
      <c r="G45" s="608"/>
      <c r="H45" s="608"/>
      <c r="I45" s="608"/>
      <c r="J45" s="608"/>
      <c r="K45" s="608"/>
      <c r="L45" s="608"/>
      <c r="M45" s="608"/>
      <c r="N45" s="608"/>
      <c r="O45" s="608"/>
      <c r="P45" s="608"/>
      <c r="Q45" s="608"/>
      <c r="R45" s="608">
        <f t="shared" si="1"/>
        <v>0</v>
      </c>
      <c r="S45" s="608"/>
      <c r="T45" s="608"/>
      <c r="U45" s="608">
        <f>2900000+1000000</f>
        <v>3900000</v>
      </c>
      <c r="V45" s="608"/>
      <c r="W45" s="608"/>
      <c r="X45" s="610">
        <f t="shared" si="2"/>
        <v>3900000</v>
      </c>
      <c r="Y45" s="632">
        <f t="shared" si="3"/>
        <v>3900000</v>
      </c>
      <c r="Z45" s="612"/>
      <c r="AA45" s="345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70"/>
    </row>
    <row r="46" spans="1:42" ht="24.95" hidden="1" customHeight="1" x14ac:dyDescent="0.25">
      <c r="A46" s="82">
        <v>29</v>
      </c>
      <c r="B46" s="228" t="s">
        <v>229</v>
      </c>
      <c r="C46" s="39" t="s">
        <v>230</v>
      </c>
      <c r="D46" s="608"/>
      <c r="E46" s="608"/>
      <c r="F46" s="608"/>
      <c r="G46" s="608"/>
      <c r="H46" s="608"/>
      <c r="I46" s="608"/>
      <c r="J46" s="608"/>
      <c r="K46" s="608"/>
      <c r="L46" s="608"/>
      <c r="M46" s="608"/>
      <c r="N46" s="608"/>
      <c r="O46" s="608"/>
      <c r="P46" s="608"/>
      <c r="Q46" s="608"/>
      <c r="R46" s="608">
        <f t="shared" si="1"/>
        <v>0</v>
      </c>
      <c r="S46" s="608"/>
      <c r="T46" s="608"/>
      <c r="U46" s="608"/>
      <c r="V46" s="608"/>
      <c r="W46" s="608"/>
      <c r="X46" s="610">
        <f t="shared" si="2"/>
        <v>0</v>
      </c>
      <c r="Y46" s="632">
        <f t="shared" si="3"/>
        <v>0</v>
      </c>
      <c r="Z46" s="612"/>
      <c r="AA46" s="345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70"/>
    </row>
    <row r="47" spans="1:42" ht="24.95" hidden="1" customHeight="1" x14ac:dyDescent="0.25">
      <c r="A47" s="82">
        <v>30</v>
      </c>
      <c r="B47" s="228" t="s">
        <v>231</v>
      </c>
      <c r="C47" s="28" t="s">
        <v>232</v>
      </c>
      <c r="D47" s="608"/>
      <c r="E47" s="608"/>
      <c r="F47" s="608">
        <f>1060</f>
        <v>1060</v>
      </c>
      <c r="G47" s="608">
        <f>-1060</f>
        <v>-1060</v>
      </c>
      <c r="H47" s="608"/>
      <c r="I47" s="608"/>
      <c r="J47" s="608"/>
      <c r="K47" s="608"/>
      <c r="L47" s="608"/>
      <c r="M47" s="608"/>
      <c r="N47" s="608"/>
      <c r="O47" s="608"/>
      <c r="P47" s="608"/>
      <c r="Q47" s="608"/>
      <c r="R47" s="608">
        <f t="shared" si="1"/>
        <v>0</v>
      </c>
      <c r="S47" s="608"/>
      <c r="T47" s="608"/>
      <c r="U47" s="608"/>
      <c r="V47" s="608"/>
      <c r="W47" s="608"/>
      <c r="X47" s="610">
        <f>SUM(T47:W47)</f>
        <v>0</v>
      </c>
      <c r="Y47" s="632">
        <f>R47+X47</f>
        <v>0</v>
      </c>
      <c r="Z47" s="612"/>
      <c r="AA47" s="345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70"/>
    </row>
    <row r="48" spans="1:42" ht="24.95" hidden="1" customHeight="1" x14ac:dyDescent="0.25">
      <c r="A48" s="82">
        <v>31</v>
      </c>
      <c r="B48" s="659" t="s">
        <v>265</v>
      </c>
      <c r="C48" s="39" t="s">
        <v>266</v>
      </c>
      <c r="D48" s="608">
        <f>286</f>
        <v>286</v>
      </c>
      <c r="E48" s="608">
        <f>92+54</f>
        <v>146</v>
      </c>
      <c r="F48" s="608">
        <f>-340-92</f>
        <v>-432</v>
      </c>
      <c r="G48" s="608"/>
      <c r="H48" s="608"/>
      <c r="I48" s="608"/>
      <c r="J48" s="608"/>
      <c r="K48" s="608"/>
      <c r="L48" s="608"/>
      <c r="M48" s="608"/>
      <c r="N48" s="608"/>
      <c r="O48" s="608"/>
      <c r="P48" s="608"/>
      <c r="Q48" s="608"/>
      <c r="R48" s="608">
        <f t="shared" si="1"/>
        <v>0</v>
      </c>
      <c r="S48" s="608"/>
      <c r="T48" s="608"/>
      <c r="U48" s="608"/>
      <c r="V48" s="608"/>
      <c r="W48" s="608"/>
      <c r="X48" s="610">
        <f>SUM(T48:W48)</f>
        <v>0</v>
      </c>
      <c r="Y48" s="632">
        <f>R48+X48</f>
        <v>0</v>
      </c>
      <c r="Z48" s="612"/>
      <c r="AA48" s="345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70"/>
    </row>
    <row r="49" spans="1:42" ht="24.95" hidden="1" customHeight="1" x14ac:dyDescent="0.25">
      <c r="A49" s="82">
        <v>32</v>
      </c>
      <c r="B49" s="228" t="s">
        <v>317</v>
      </c>
      <c r="C49" s="39" t="s">
        <v>252</v>
      </c>
      <c r="D49" s="608"/>
      <c r="E49" s="608"/>
      <c r="F49" s="608"/>
      <c r="G49" s="608"/>
      <c r="H49" s="608"/>
      <c r="I49" s="608"/>
      <c r="J49" s="608">
        <f>160</f>
        <v>160</v>
      </c>
      <c r="K49" s="608">
        <f>-160</f>
        <v>-160</v>
      </c>
      <c r="L49" s="608"/>
      <c r="M49" s="608"/>
      <c r="N49" s="608"/>
      <c r="O49" s="608"/>
      <c r="P49" s="608"/>
      <c r="Q49" s="608"/>
      <c r="R49" s="608">
        <f t="shared" si="1"/>
        <v>0</v>
      </c>
      <c r="S49" s="608"/>
      <c r="T49" s="608"/>
      <c r="U49" s="608"/>
      <c r="V49" s="608"/>
      <c r="W49" s="608"/>
      <c r="X49" s="610">
        <f t="shared" ref="X49:X72" si="6">SUM(T49:W49)</f>
        <v>0</v>
      </c>
      <c r="Y49" s="632">
        <f t="shared" ref="Y49:Y78" si="7">R49+X49</f>
        <v>0</v>
      </c>
      <c r="Z49" s="612"/>
      <c r="AA49" s="345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70"/>
    </row>
    <row r="50" spans="1:42" ht="24.95" hidden="1" customHeight="1" x14ac:dyDescent="0.25">
      <c r="A50" s="82">
        <v>33</v>
      </c>
      <c r="B50" s="228" t="s">
        <v>318</v>
      </c>
      <c r="C50" s="39" t="s">
        <v>250</v>
      </c>
      <c r="D50" s="608"/>
      <c r="E50" s="608"/>
      <c r="F50" s="608"/>
      <c r="G50" s="608"/>
      <c r="H50" s="608"/>
      <c r="I50" s="608"/>
      <c r="J50" s="608"/>
      <c r="K50" s="608">
        <f>-200</f>
        <v>-200</v>
      </c>
      <c r="L50" s="608"/>
      <c r="M50" s="608"/>
      <c r="N50" s="608"/>
      <c r="O50" s="608"/>
      <c r="P50" s="608"/>
      <c r="Q50" s="608">
        <f>200</f>
        <v>200</v>
      </c>
      <c r="R50" s="608">
        <f t="shared" si="1"/>
        <v>0</v>
      </c>
      <c r="S50" s="608"/>
      <c r="T50" s="608"/>
      <c r="U50" s="608"/>
      <c r="V50" s="608"/>
      <c r="W50" s="608"/>
      <c r="X50" s="610">
        <f t="shared" si="6"/>
        <v>0</v>
      </c>
      <c r="Y50" s="632">
        <f t="shared" si="7"/>
        <v>0</v>
      </c>
      <c r="Z50" s="612"/>
      <c r="AA50" s="345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70"/>
    </row>
    <row r="51" spans="1:42" ht="24.95" hidden="1" customHeight="1" x14ac:dyDescent="0.25">
      <c r="A51" s="82">
        <v>34</v>
      </c>
      <c r="B51" s="228" t="s">
        <v>320</v>
      </c>
      <c r="C51" s="39" t="s">
        <v>319</v>
      </c>
      <c r="D51" s="608"/>
      <c r="E51" s="608"/>
      <c r="F51" s="608">
        <f>-425-115</f>
        <v>-540</v>
      </c>
      <c r="G51" s="608"/>
      <c r="H51" s="608"/>
      <c r="I51" s="608"/>
      <c r="J51" s="608"/>
      <c r="K51" s="608"/>
      <c r="L51" s="608">
        <f>425+115</f>
        <v>540</v>
      </c>
      <c r="M51" s="608"/>
      <c r="N51" s="608"/>
      <c r="O51" s="608"/>
      <c r="P51" s="608"/>
      <c r="Q51" s="608"/>
      <c r="R51" s="608">
        <f t="shared" si="1"/>
        <v>0</v>
      </c>
      <c r="S51" s="608"/>
      <c r="T51" s="608"/>
      <c r="U51" s="608"/>
      <c r="V51" s="608"/>
      <c r="W51" s="608"/>
      <c r="X51" s="610">
        <f t="shared" si="6"/>
        <v>0</v>
      </c>
      <c r="Y51" s="632">
        <f t="shared" si="7"/>
        <v>0</v>
      </c>
      <c r="Z51" s="612"/>
      <c r="AA51" s="345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70"/>
    </row>
    <row r="52" spans="1:42" ht="24.95" hidden="1" customHeight="1" x14ac:dyDescent="0.25">
      <c r="A52" s="82">
        <v>35</v>
      </c>
      <c r="B52" s="228" t="s">
        <v>322</v>
      </c>
      <c r="C52" s="39" t="s">
        <v>321</v>
      </c>
      <c r="D52" s="608"/>
      <c r="E52" s="608"/>
      <c r="F52" s="608">
        <f>-1200-324</f>
        <v>-1524</v>
      </c>
      <c r="G52" s="608"/>
      <c r="H52" s="608"/>
      <c r="I52" s="608"/>
      <c r="J52" s="608"/>
      <c r="K52" s="608"/>
      <c r="L52" s="608">
        <f>1200+324</f>
        <v>1524</v>
      </c>
      <c r="M52" s="608"/>
      <c r="N52" s="608"/>
      <c r="O52" s="608"/>
      <c r="P52" s="608"/>
      <c r="Q52" s="608"/>
      <c r="R52" s="608">
        <f t="shared" si="1"/>
        <v>0</v>
      </c>
      <c r="S52" s="608"/>
      <c r="T52" s="608"/>
      <c r="U52" s="608"/>
      <c r="V52" s="608"/>
      <c r="W52" s="608"/>
      <c r="X52" s="610">
        <f t="shared" si="6"/>
        <v>0</v>
      </c>
      <c r="Y52" s="632">
        <f t="shared" si="7"/>
        <v>0</v>
      </c>
      <c r="Z52" s="612"/>
      <c r="AA52" s="345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70"/>
    </row>
    <row r="53" spans="1:42" ht="24.95" hidden="1" customHeight="1" x14ac:dyDescent="0.25">
      <c r="A53" s="82">
        <v>36</v>
      </c>
      <c r="B53" s="228" t="s">
        <v>323</v>
      </c>
      <c r="C53" s="39" t="s">
        <v>250</v>
      </c>
      <c r="D53" s="608"/>
      <c r="E53" s="608"/>
      <c r="F53" s="608"/>
      <c r="G53" s="608"/>
      <c r="H53" s="608"/>
      <c r="I53" s="608"/>
      <c r="J53" s="608">
        <f>100</f>
        <v>100</v>
      </c>
      <c r="K53" s="608">
        <f>-100</f>
        <v>-100</v>
      </c>
      <c r="L53" s="608"/>
      <c r="M53" s="608"/>
      <c r="N53" s="608"/>
      <c r="O53" s="608"/>
      <c r="P53" s="608"/>
      <c r="Q53" s="608"/>
      <c r="R53" s="608">
        <f t="shared" si="1"/>
        <v>0</v>
      </c>
      <c r="S53" s="608"/>
      <c r="T53" s="608"/>
      <c r="U53" s="608"/>
      <c r="V53" s="608"/>
      <c r="W53" s="608"/>
      <c r="X53" s="610">
        <f t="shared" si="6"/>
        <v>0</v>
      </c>
      <c r="Y53" s="632">
        <f t="shared" si="7"/>
        <v>0</v>
      </c>
      <c r="Z53" s="612"/>
      <c r="AA53" s="345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70"/>
    </row>
    <row r="54" spans="1:42" ht="24.95" hidden="1" customHeight="1" x14ac:dyDescent="0.25">
      <c r="A54" s="82">
        <v>37</v>
      </c>
      <c r="B54" s="228" t="s">
        <v>324</v>
      </c>
      <c r="C54" s="39" t="s">
        <v>238</v>
      </c>
      <c r="D54" s="608"/>
      <c r="E54" s="608"/>
      <c r="F54" s="608">
        <f>378</f>
        <v>378</v>
      </c>
      <c r="G54" s="608"/>
      <c r="H54" s="608"/>
      <c r="I54" s="608"/>
      <c r="J54" s="608"/>
      <c r="K54" s="608">
        <f>1400</f>
        <v>1400</v>
      </c>
      <c r="L54" s="608"/>
      <c r="M54" s="608"/>
      <c r="N54" s="608"/>
      <c r="O54" s="608"/>
      <c r="P54" s="608"/>
      <c r="Q54" s="608"/>
      <c r="R54" s="608">
        <f t="shared" si="1"/>
        <v>1778</v>
      </c>
      <c r="S54" s="608"/>
      <c r="T54" s="608"/>
      <c r="U54" s="608"/>
      <c r="V54" s="608"/>
      <c r="W54" s="608"/>
      <c r="X54" s="610">
        <f t="shared" si="6"/>
        <v>0</v>
      </c>
      <c r="Y54" s="632">
        <f t="shared" si="7"/>
        <v>1778</v>
      </c>
      <c r="Z54" s="612"/>
      <c r="AA54" s="345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70"/>
    </row>
    <row r="55" spans="1:42" ht="24.95" hidden="1" customHeight="1" x14ac:dyDescent="0.25">
      <c r="A55" s="82">
        <v>38</v>
      </c>
      <c r="B55" s="228" t="s">
        <v>371</v>
      </c>
      <c r="C55" s="39" t="s">
        <v>208</v>
      </c>
      <c r="D55" s="608"/>
      <c r="E55" s="608"/>
      <c r="F55" s="608"/>
      <c r="G55" s="608"/>
      <c r="H55" s="608"/>
      <c r="I55" s="608"/>
      <c r="J55" s="608">
        <f>-500-400-1500</f>
        <v>-2400</v>
      </c>
      <c r="K55" s="608"/>
      <c r="L55" s="608"/>
      <c r="M55" s="608"/>
      <c r="N55" s="608"/>
      <c r="O55" s="608"/>
      <c r="P55" s="608"/>
      <c r="Q55" s="608"/>
      <c r="R55" s="608">
        <f t="shared" si="1"/>
        <v>-2400</v>
      </c>
      <c r="S55" s="608"/>
      <c r="T55" s="608"/>
      <c r="U55" s="608"/>
      <c r="V55" s="608"/>
      <c r="W55" s="608"/>
      <c r="X55" s="610">
        <f t="shared" si="6"/>
        <v>0</v>
      </c>
      <c r="Y55" s="632">
        <f t="shared" si="7"/>
        <v>-2400</v>
      </c>
      <c r="Z55" s="612">
        <f>2400</f>
        <v>2400</v>
      </c>
      <c r="AA55" s="34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70"/>
    </row>
    <row r="56" spans="1:42" ht="24.95" hidden="1" customHeight="1" x14ac:dyDescent="0.25">
      <c r="A56" s="82">
        <v>39</v>
      </c>
      <c r="B56" s="228" t="s">
        <v>325</v>
      </c>
      <c r="C56" s="39" t="s">
        <v>326</v>
      </c>
      <c r="D56" s="608"/>
      <c r="E56" s="608"/>
      <c r="F56" s="608">
        <f>7935+2143</f>
        <v>10078</v>
      </c>
      <c r="G56" s="608"/>
      <c r="H56" s="608"/>
      <c r="I56" s="608"/>
      <c r="J56" s="608"/>
      <c r="K56" s="608">
        <f>-10078</f>
        <v>-10078</v>
      </c>
      <c r="L56" s="608"/>
      <c r="M56" s="608"/>
      <c r="N56" s="608"/>
      <c r="O56" s="608"/>
      <c r="P56" s="608"/>
      <c r="Q56" s="608"/>
      <c r="R56" s="608">
        <f t="shared" si="1"/>
        <v>0</v>
      </c>
      <c r="S56" s="608"/>
      <c r="T56" s="608"/>
      <c r="U56" s="608"/>
      <c r="V56" s="608"/>
      <c r="W56" s="608"/>
      <c r="X56" s="610">
        <f t="shared" si="6"/>
        <v>0</v>
      </c>
      <c r="Y56" s="632">
        <f t="shared" si="7"/>
        <v>0</v>
      </c>
      <c r="Z56" s="612"/>
      <c r="AA56" s="345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70"/>
    </row>
    <row r="57" spans="1:42" ht="24.95" hidden="1" customHeight="1" x14ac:dyDescent="0.25">
      <c r="A57" s="82">
        <v>40</v>
      </c>
      <c r="B57" s="228" t="s">
        <v>327</v>
      </c>
      <c r="C57" s="39" t="s">
        <v>252</v>
      </c>
      <c r="D57" s="608"/>
      <c r="E57" s="608"/>
      <c r="F57" s="608"/>
      <c r="G57" s="608"/>
      <c r="H57" s="608"/>
      <c r="I57" s="608"/>
      <c r="J57" s="608">
        <f>150</f>
        <v>150</v>
      </c>
      <c r="K57" s="608">
        <f>-150</f>
        <v>-150</v>
      </c>
      <c r="L57" s="608"/>
      <c r="M57" s="608"/>
      <c r="N57" s="608"/>
      <c r="O57" s="608"/>
      <c r="P57" s="608"/>
      <c r="Q57" s="608"/>
      <c r="R57" s="608">
        <f t="shared" si="1"/>
        <v>0</v>
      </c>
      <c r="S57" s="608"/>
      <c r="T57" s="608"/>
      <c r="U57" s="608"/>
      <c r="V57" s="608"/>
      <c r="W57" s="608"/>
      <c r="X57" s="610">
        <f t="shared" si="6"/>
        <v>0</v>
      </c>
      <c r="Y57" s="632">
        <f t="shared" si="7"/>
        <v>0</v>
      </c>
      <c r="Z57" s="612"/>
      <c r="AA57" s="345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70"/>
    </row>
    <row r="58" spans="1:42" ht="24.95" hidden="1" customHeight="1" x14ac:dyDescent="0.25">
      <c r="A58" s="82">
        <v>41</v>
      </c>
      <c r="B58" s="228" t="s">
        <v>362</v>
      </c>
      <c r="C58" s="39" t="s">
        <v>208</v>
      </c>
      <c r="D58" s="608"/>
      <c r="E58" s="608"/>
      <c r="F58" s="608">
        <f>9740</f>
        <v>9740</v>
      </c>
      <c r="G58" s="608"/>
      <c r="H58" s="608"/>
      <c r="I58" s="608"/>
      <c r="J58" s="608">
        <f>-4000-740-3500-1500</f>
        <v>-9740</v>
      </c>
      <c r="K58" s="608"/>
      <c r="L58" s="608"/>
      <c r="M58" s="608"/>
      <c r="N58" s="608"/>
      <c r="O58" s="608"/>
      <c r="P58" s="608"/>
      <c r="Q58" s="608"/>
      <c r="R58" s="608">
        <f t="shared" si="1"/>
        <v>0</v>
      </c>
      <c r="S58" s="608"/>
      <c r="T58" s="608"/>
      <c r="U58" s="608"/>
      <c r="V58" s="608"/>
      <c r="W58" s="608"/>
      <c r="X58" s="610">
        <f t="shared" si="6"/>
        <v>0</v>
      </c>
      <c r="Y58" s="632">
        <f t="shared" si="7"/>
        <v>0</v>
      </c>
      <c r="Z58" s="612"/>
      <c r="AA58" s="345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70"/>
    </row>
    <row r="59" spans="1:42" ht="24.95" hidden="1" customHeight="1" x14ac:dyDescent="0.25">
      <c r="A59" s="82">
        <v>42</v>
      </c>
      <c r="B59" s="228" t="s">
        <v>358</v>
      </c>
      <c r="C59" s="39" t="s">
        <v>359</v>
      </c>
      <c r="D59" s="608"/>
      <c r="E59" s="608"/>
      <c r="F59" s="608"/>
      <c r="G59" s="608"/>
      <c r="H59" s="608"/>
      <c r="I59" s="608"/>
      <c r="J59" s="608"/>
      <c r="K59" s="608">
        <f>-7601</f>
        <v>-7601</v>
      </c>
      <c r="L59" s="608"/>
      <c r="M59" s="608"/>
      <c r="N59" s="608"/>
      <c r="O59" s="608"/>
      <c r="P59" s="608"/>
      <c r="Q59" s="608"/>
      <c r="R59" s="608">
        <f t="shared" si="1"/>
        <v>-7601</v>
      </c>
      <c r="S59" s="608"/>
      <c r="T59" s="608"/>
      <c r="U59" s="608"/>
      <c r="V59" s="608"/>
      <c r="W59" s="608"/>
      <c r="X59" s="610">
        <f t="shared" si="6"/>
        <v>0</v>
      </c>
      <c r="Y59" s="632">
        <f t="shared" si="7"/>
        <v>-7601</v>
      </c>
      <c r="Z59" s="612">
        <f>7601</f>
        <v>7601</v>
      </c>
      <c r="AA59" s="345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70"/>
    </row>
    <row r="60" spans="1:42" ht="24.95" hidden="1" customHeight="1" x14ac:dyDescent="0.25">
      <c r="A60" s="82">
        <v>43</v>
      </c>
      <c r="B60" s="228" t="s">
        <v>328</v>
      </c>
      <c r="C60" s="39" t="s">
        <v>250</v>
      </c>
      <c r="D60" s="608"/>
      <c r="E60" s="608"/>
      <c r="F60" s="608"/>
      <c r="G60" s="608"/>
      <c r="H60" s="608"/>
      <c r="I60" s="608"/>
      <c r="J60" s="608">
        <f>50</f>
        <v>50</v>
      </c>
      <c r="K60" s="608">
        <f>-50</f>
        <v>-50</v>
      </c>
      <c r="L60" s="608"/>
      <c r="M60" s="608"/>
      <c r="N60" s="608"/>
      <c r="O60" s="608"/>
      <c r="P60" s="608"/>
      <c r="Q60" s="608"/>
      <c r="R60" s="608">
        <f t="shared" si="1"/>
        <v>0</v>
      </c>
      <c r="S60" s="608"/>
      <c r="T60" s="608"/>
      <c r="U60" s="608"/>
      <c r="V60" s="608"/>
      <c r="W60" s="608"/>
      <c r="X60" s="610">
        <f t="shared" ref="X60:X68" si="8">SUM(T60:W60)</f>
        <v>0</v>
      </c>
      <c r="Y60" s="632">
        <f t="shared" ref="Y60:Y68" si="9">R60+X60</f>
        <v>0</v>
      </c>
      <c r="Z60" s="612"/>
      <c r="AA60" s="345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70"/>
    </row>
    <row r="61" spans="1:42" ht="24.95" hidden="1" customHeight="1" x14ac:dyDescent="0.25">
      <c r="A61" s="82">
        <v>44</v>
      </c>
      <c r="B61" s="228" t="s">
        <v>330</v>
      </c>
      <c r="C61" s="39" t="s">
        <v>329</v>
      </c>
      <c r="D61" s="608"/>
      <c r="E61" s="608"/>
      <c r="F61" s="608">
        <f>-1430-387</f>
        <v>-1817</v>
      </c>
      <c r="G61" s="608"/>
      <c r="H61" s="608"/>
      <c r="I61" s="608"/>
      <c r="J61" s="608"/>
      <c r="K61" s="608"/>
      <c r="L61" s="608">
        <f>1430+387</f>
        <v>1817</v>
      </c>
      <c r="M61" s="608"/>
      <c r="N61" s="608"/>
      <c r="O61" s="608"/>
      <c r="P61" s="608"/>
      <c r="Q61" s="608"/>
      <c r="R61" s="608">
        <f t="shared" si="1"/>
        <v>0</v>
      </c>
      <c r="S61" s="608"/>
      <c r="T61" s="608"/>
      <c r="U61" s="608"/>
      <c r="V61" s="608"/>
      <c r="W61" s="608"/>
      <c r="X61" s="610">
        <f t="shared" si="8"/>
        <v>0</v>
      </c>
      <c r="Y61" s="632">
        <f t="shared" si="9"/>
        <v>0</v>
      </c>
      <c r="Z61" s="612"/>
      <c r="AA61" s="345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70"/>
    </row>
    <row r="62" spans="1:42" ht="24.95" hidden="1" customHeight="1" x14ac:dyDescent="0.25">
      <c r="A62" s="82">
        <v>45</v>
      </c>
      <c r="B62" s="228" t="s">
        <v>331</v>
      </c>
      <c r="C62" s="39" t="s">
        <v>332</v>
      </c>
      <c r="D62" s="608"/>
      <c r="E62" s="608"/>
      <c r="F62" s="608"/>
      <c r="G62" s="608"/>
      <c r="H62" s="608"/>
      <c r="I62" s="608"/>
      <c r="J62" s="608"/>
      <c r="K62" s="608">
        <f>-4706</f>
        <v>-4706</v>
      </c>
      <c r="L62" s="608">
        <f>3705+1001</f>
        <v>4706</v>
      </c>
      <c r="M62" s="608"/>
      <c r="N62" s="608"/>
      <c r="O62" s="608"/>
      <c r="P62" s="608"/>
      <c r="Q62" s="608"/>
      <c r="R62" s="608">
        <f t="shared" si="1"/>
        <v>0</v>
      </c>
      <c r="S62" s="608"/>
      <c r="T62" s="608"/>
      <c r="U62" s="608"/>
      <c r="V62" s="608"/>
      <c r="W62" s="608"/>
      <c r="X62" s="610">
        <f t="shared" si="8"/>
        <v>0</v>
      </c>
      <c r="Y62" s="632">
        <f t="shared" si="9"/>
        <v>0</v>
      </c>
      <c r="Z62" s="612"/>
      <c r="AA62" s="345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70"/>
    </row>
    <row r="63" spans="1:42" ht="24.95" hidden="1" customHeight="1" x14ac:dyDescent="0.25">
      <c r="A63" s="82">
        <v>46</v>
      </c>
      <c r="B63" s="228" t="s">
        <v>360</v>
      </c>
      <c r="C63" s="39" t="s">
        <v>361</v>
      </c>
      <c r="D63" s="608"/>
      <c r="E63" s="608"/>
      <c r="F63" s="608"/>
      <c r="G63" s="608"/>
      <c r="H63" s="608"/>
      <c r="I63" s="608"/>
      <c r="J63" s="608"/>
      <c r="K63" s="608"/>
      <c r="L63" s="608"/>
      <c r="M63" s="608"/>
      <c r="N63" s="608"/>
      <c r="O63" s="608"/>
      <c r="P63" s="608"/>
      <c r="Q63" s="608"/>
      <c r="R63" s="608">
        <f t="shared" si="1"/>
        <v>0</v>
      </c>
      <c r="S63" s="608"/>
      <c r="T63" s="608"/>
      <c r="U63" s="608"/>
      <c r="V63" s="608"/>
      <c r="W63" s="608"/>
      <c r="X63" s="610">
        <f t="shared" si="8"/>
        <v>0</v>
      </c>
      <c r="Y63" s="632">
        <f t="shared" si="9"/>
        <v>0</v>
      </c>
      <c r="Z63" s="612">
        <f>2718.494</f>
        <v>2718.4940000000001</v>
      </c>
      <c r="AA63" s="345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70"/>
    </row>
    <row r="64" spans="1:42" ht="24.95" hidden="1" customHeight="1" x14ac:dyDescent="0.25">
      <c r="A64" s="82">
        <v>47</v>
      </c>
      <c r="B64" s="228" t="s">
        <v>363</v>
      </c>
      <c r="C64" s="39" t="s">
        <v>364</v>
      </c>
      <c r="D64" s="608"/>
      <c r="E64" s="608"/>
      <c r="F64" s="608"/>
      <c r="G64" s="608"/>
      <c r="H64" s="608"/>
      <c r="I64" s="608"/>
      <c r="J64" s="608"/>
      <c r="K64" s="608"/>
      <c r="L64" s="608"/>
      <c r="M64" s="608"/>
      <c r="N64" s="608"/>
      <c r="O64" s="608"/>
      <c r="P64" s="608"/>
      <c r="Q64" s="608"/>
      <c r="R64" s="608">
        <f t="shared" si="1"/>
        <v>0</v>
      </c>
      <c r="S64" s="608"/>
      <c r="T64" s="608"/>
      <c r="U64" s="608"/>
      <c r="V64" s="608"/>
      <c r="W64" s="608"/>
      <c r="X64" s="610">
        <f t="shared" si="8"/>
        <v>0</v>
      </c>
      <c r="Y64" s="632">
        <f t="shared" si="9"/>
        <v>0</v>
      </c>
      <c r="Z64" s="612">
        <f>2007.616</f>
        <v>2007.616</v>
      </c>
      <c r="AA64" s="345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70"/>
    </row>
    <row r="65" spans="1:42" ht="24.95" hidden="1" customHeight="1" x14ac:dyDescent="0.25">
      <c r="A65" s="82">
        <v>48</v>
      </c>
      <c r="B65" s="629" t="s">
        <v>353</v>
      </c>
      <c r="C65" s="39" t="s">
        <v>354</v>
      </c>
      <c r="D65" s="608"/>
      <c r="E65" s="608"/>
      <c r="F65" s="608"/>
      <c r="G65" s="608"/>
      <c r="H65" s="608"/>
      <c r="I65" s="608"/>
      <c r="J65" s="608"/>
      <c r="K65" s="608"/>
      <c r="L65" s="608"/>
      <c r="M65" s="608"/>
      <c r="N65" s="608"/>
      <c r="O65" s="608"/>
      <c r="P65" s="608"/>
      <c r="Q65" s="608"/>
      <c r="R65" s="608">
        <f t="shared" si="1"/>
        <v>0</v>
      </c>
      <c r="S65" s="608"/>
      <c r="T65" s="608"/>
      <c r="U65" s="608"/>
      <c r="V65" s="608"/>
      <c r="W65" s="608"/>
      <c r="X65" s="610">
        <f t="shared" si="8"/>
        <v>0</v>
      </c>
      <c r="Y65" s="632">
        <f t="shared" si="9"/>
        <v>0</v>
      </c>
      <c r="Z65" s="612">
        <f>1039.407</f>
        <v>1039.4069999999999</v>
      </c>
      <c r="AA65" s="345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70"/>
    </row>
    <row r="66" spans="1:42" ht="24.95" hidden="1" customHeight="1" x14ac:dyDescent="0.25">
      <c r="A66" s="82">
        <v>49</v>
      </c>
      <c r="B66" s="228" t="s">
        <v>365</v>
      </c>
      <c r="C66" s="39" t="s">
        <v>366</v>
      </c>
      <c r="D66" s="608"/>
      <c r="E66" s="608"/>
      <c r="F66" s="608"/>
      <c r="G66" s="608"/>
      <c r="H66" s="608"/>
      <c r="I66" s="608"/>
      <c r="J66" s="608"/>
      <c r="K66" s="608"/>
      <c r="L66" s="608"/>
      <c r="M66" s="608"/>
      <c r="N66" s="608"/>
      <c r="O66" s="608"/>
      <c r="P66" s="608"/>
      <c r="Q66" s="608"/>
      <c r="R66" s="608">
        <f t="shared" si="1"/>
        <v>0</v>
      </c>
      <c r="S66" s="608"/>
      <c r="T66" s="608"/>
      <c r="U66" s="608"/>
      <c r="V66" s="608"/>
      <c r="W66" s="608"/>
      <c r="X66" s="610">
        <f t="shared" si="8"/>
        <v>0</v>
      </c>
      <c r="Y66" s="632">
        <f t="shared" si="9"/>
        <v>0</v>
      </c>
      <c r="Z66" s="612">
        <f>7813.903</f>
        <v>7813.9030000000002</v>
      </c>
      <c r="AA66" s="345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70"/>
    </row>
    <row r="67" spans="1:42" ht="24.95" hidden="1" customHeight="1" x14ac:dyDescent="0.25">
      <c r="A67" s="82">
        <v>50</v>
      </c>
      <c r="B67" s="228" t="s">
        <v>367</v>
      </c>
      <c r="C67" s="39" t="s">
        <v>208</v>
      </c>
      <c r="D67" s="608"/>
      <c r="E67" s="608"/>
      <c r="F67" s="608">
        <f>-455-200</f>
        <v>-655</v>
      </c>
      <c r="G67" s="608"/>
      <c r="H67" s="608"/>
      <c r="I67" s="608"/>
      <c r="J67" s="608"/>
      <c r="K67" s="608"/>
      <c r="L67" s="608"/>
      <c r="M67" s="608"/>
      <c r="N67" s="608"/>
      <c r="O67" s="608"/>
      <c r="P67" s="608"/>
      <c r="Q67" s="608"/>
      <c r="R67" s="608">
        <f t="shared" si="1"/>
        <v>-655</v>
      </c>
      <c r="S67" s="608"/>
      <c r="T67" s="608"/>
      <c r="U67" s="608"/>
      <c r="V67" s="608"/>
      <c r="W67" s="608"/>
      <c r="X67" s="610">
        <f t="shared" si="8"/>
        <v>0</v>
      </c>
      <c r="Y67" s="632">
        <f t="shared" si="9"/>
        <v>-655</v>
      </c>
      <c r="Z67" s="612">
        <f>655</f>
        <v>655</v>
      </c>
      <c r="AA67" s="345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70"/>
    </row>
    <row r="68" spans="1:42" ht="24.95" hidden="1" customHeight="1" x14ac:dyDescent="0.25">
      <c r="A68" s="82">
        <v>51</v>
      </c>
      <c r="B68" s="228" t="s">
        <v>368</v>
      </c>
      <c r="C68" s="39" t="s">
        <v>208</v>
      </c>
      <c r="D68" s="608"/>
      <c r="E68" s="608"/>
      <c r="F68" s="608"/>
      <c r="G68" s="608"/>
      <c r="H68" s="608"/>
      <c r="I68" s="608"/>
      <c r="J68" s="608"/>
      <c r="K68" s="608">
        <f>-725</f>
        <v>-725</v>
      </c>
      <c r="L68" s="608"/>
      <c r="M68" s="608"/>
      <c r="N68" s="608"/>
      <c r="O68" s="608"/>
      <c r="P68" s="608"/>
      <c r="Q68" s="608"/>
      <c r="R68" s="608">
        <f t="shared" si="1"/>
        <v>-725</v>
      </c>
      <c r="S68" s="608"/>
      <c r="T68" s="608"/>
      <c r="U68" s="608"/>
      <c r="V68" s="608"/>
      <c r="W68" s="608"/>
      <c r="X68" s="610">
        <f t="shared" si="8"/>
        <v>0</v>
      </c>
      <c r="Y68" s="632">
        <f t="shared" si="9"/>
        <v>-725</v>
      </c>
      <c r="Z68" s="612">
        <f>725</f>
        <v>725</v>
      </c>
      <c r="AA68" s="345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70"/>
    </row>
    <row r="69" spans="1:42" ht="24.95" hidden="1" customHeight="1" x14ac:dyDescent="0.25">
      <c r="A69" s="82">
        <v>52</v>
      </c>
      <c r="B69" s="228" t="s">
        <v>333</v>
      </c>
      <c r="C69" s="39" t="s">
        <v>334</v>
      </c>
      <c r="D69" s="608"/>
      <c r="E69" s="608"/>
      <c r="F69" s="608">
        <f>-787-213</f>
        <v>-1000</v>
      </c>
      <c r="G69" s="608"/>
      <c r="H69" s="608"/>
      <c r="I69" s="608">
        <f>1000</f>
        <v>1000</v>
      </c>
      <c r="J69" s="608"/>
      <c r="K69" s="608"/>
      <c r="L69" s="608"/>
      <c r="M69" s="608"/>
      <c r="N69" s="608"/>
      <c r="O69" s="608"/>
      <c r="P69" s="608"/>
      <c r="Q69" s="608"/>
      <c r="R69" s="608">
        <f t="shared" si="1"/>
        <v>0</v>
      </c>
      <c r="S69" s="608"/>
      <c r="T69" s="608"/>
      <c r="U69" s="608"/>
      <c r="V69" s="608"/>
      <c r="W69" s="608"/>
      <c r="X69" s="610">
        <f t="shared" si="6"/>
        <v>0</v>
      </c>
      <c r="Y69" s="632">
        <f t="shared" si="7"/>
        <v>0</v>
      </c>
      <c r="Z69" s="612"/>
      <c r="AA69" s="345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70"/>
    </row>
    <row r="70" spans="1:42" ht="24.95" hidden="1" customHeight="1" x14ac:dyDescent="0.25">
      <c r="A70" s="82">
        <v>53</v>
      </c>
      <c r="B70" s="228" t="s">
        <v>335</v>
      </c>
      <c r="C70" s="39" t="s">
        <v>336</v>
      </c>
      <c r="D70" s="608"/>
      <c r="E70" s="608"/>
      <c r="F70" s="608"/>
      <c r="G70" s="608"/>
      <c r="H70" s="608"/>
      <c r="I70" s="608"/>
      <c r="J70" s="608"/>
      <c r="K70" s="608">
        <f>-130000</f>
        <v>-130000</v>
      </c>
      <c r="L70" s="608">
        <f>130000</f>
        <v>130000</v>
      </c>
      <c r="M70" s="608"/>
      <c r="N70" s="608"/>
      <c r="O70" s="608"/>
      <c r="P70" s="608"/>
      <c r="Q70" s="608"/>
      <c r="R70" s="608">
        <f t="shared" si="1"/>
        <v>0</v>
      </c>
      <c r="S70" s="608"/>
      <c r="T70" s="608"/>
      <c r="U70" s="608"/>
      <c r="V70" s="608"/>
      <c r="W70" s="608"/>
      <c r="X70" s="610">
        <f t="shared" si="6"/>
        <v>0</v>
      </c>
      <c r="Y70" s="632">
        <f t="shared" si="7"/>
        <v>0</v>
      </c>
      <c r="Z70" s="612"/>
      <c r="AA70" s="345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70"/>
    </row>
    <row r="71" spans="1:42" ht="24.95" hidden="1" customHeight="1" x14ac:dyDescent="0.25">
      <c r="A71" s="82">
        <v>54</v>
      </c>
      <c r="B71" s="228" t="s">
        <v>337</v>
      </c>
      <c r="C71" s="39" t="s">
        <v>338</v>
      </c>
      <c r="D71" s="608"/>
      <c r="E71" s="608"/>
      <c r="F71" s="608"/>
      <c r="G71" s="608"/>
      <c r="H71" s="608"/>
      <c r="I71" s="608"/>
      <c r="J71" s="608"/>
      <c r="K71" s="608">
        <f>-1226</f>
        <v>-1226</v>
      </c>
      <c r="L71" s="608">
        <f>1226</f>
        <v>1226</v>
      </c>
      <c r="M71" s="608"/>
      <c r="N71" s="608"/>
      <c r="O71" s="608"/>
      <c r="P71" s="608"/>
      <c r="Q71" s="608"/>
      <c r="R71" s="608">
        <f t="shared" si="1"/>
        <v>0</v>
      </c>
      <c r="S71" s="608"/>
      <c r="T71" s="608"/>
      <c r="U71" s="608"/>
      <c r="V71" s="608"/>
      <c r="W71" s="608"/>
      <c r="X71" s="610">
        <f t="shared" si="6"/>
        <v>0</v>
      </c>
      <c r="Y71" s="632">
        <f t="shared" si="7"/>
        <v>0</v>
      </c>
      <c r="Z71" s="612"/>
      <c r="AA71" s="345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70"/>
    </row>
    <row r="72" spans="1:42" ht="24.95" hidden="1" customHeight="1" x14ac:dyDescent="0.25">
      <c r="A72" s="82">
        <v>55</v>
      </c>
      <c r="B72" s="228" t="s">
        <v>339</v>
      </c>
      <c r="C72" s="39" t="s">
        <v>208</v>
      </c>
      <c r="D72" s="608"/>
      <c r="E72" s="608"/>
      <c r="F72" s="608">
        <f>1000</f>
        <v>1000</v>
      </c>
      <c r="G72" s="608"/>
      <c r="H72" s="608"/>
      <c r="I72" s="608"/>
      <c r="J72" s="608">
        <f>-1000</f>
        <v>-1000</v>
      </c>
      <c r="K72" s="608"/>
      <c r="L72" s="608"/>
      <c r="M72" s="608"/>
      <c r="N72" s="608"/>
      <c r="O72" s="608"/>
      <c r="P72" s="608"/>
      <c r="Q72" s="608"/>
      <c r="R72" s="608">
        <f t="shared" si="1"/>
        <v>0</v>
      </c>
      <c r="S72" s="608"/>
      <c r="T72" s="608"/>
      <c r="U72" s="608"/>
      <c r="V72" s="608"/>
      <c r="W72" s="608"/>
      <c r="X72" s="610">
        <f t="shared" si="6"/>
        <v>0</v>
      </c>
      <c r="Y72" s="632">
        <f t="shared" si="7"/>
        <v>0</v>
      </c>
      <c r="Z72" s="612"/>
      <c r="AA72" s="345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70"/>
    </row>
    <row r="73" spans="1:42" ht="24.95" hidden="1" customHeight="1" x14ac:dyDescent="0.25">
      <c r="A73" s="82">
        <v>56</v>
      </c>
      <c r="B73" s="228" t="s">
        <v>340</v>
      </c>
      <c r="C73" s="39" t="s">
        <v>341</v>
      </c>
      <c r="D73" s="608"/>
      <c r="E73" s="608"/>
      <c r="F73" s="608">
        <f>3500+945</f>
        <v>4445</v>
      </c>
      <c r="G73" s="608"/>
      <c r="H73" s="608"/>
      <c r="I73" s="608"/>
      <c r="J73" s="608"/>
      <c r="K73" s="608">
        <f>-4445</f>
        <v>-4445</v>
      </c>
      <c r="L73" s="608"/>
      <c r="M73" s="608"/>
      <c r="N73" s="608"/>
      <c r="O73" s="608"/>
      <c r="P73" s="608"/>
      <c r="Q73" s="608"/>
      <c r="R73" s="608">
        <f t="shared" si="1"/>
        <v>0</v>
      </c>
      <c r="S73" s="608"/>
      <c r="T73" s="608"/>
      <c r="U73" s="608"/>
      <c r="V73" s="608"/>
      <c r="W73" s="608"/>
      <c r="X73" s="610">
        <f t="shared" si="2"/>
        <v>0</v>
      </c>
      <c r="Y73" s="632">
        <f t="shared" si="7"/>
        <v>0</v>
      </c>
      <c r="Z73" s="612"/>
      <c r="AA73" s="345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70"/>
    </row>
    <row r="74" spans="1:42" ht="29.45" hidden="1" customHeight="1" x14ac:dyDescent="0.25">
      <c r="A74" s="82">
        <v>57</v>
      </c>
      <c r="B74" s="228" t="s">
        <v>342</v>
      </c>
      <c r="C74" s="39" t="s">
        <v>252</v>
      </c>
      <c r="D74" s="608"/>
      <c r="E74" s="608"/>
      <c r="F74" s="608"/>
      <c r="G74" s="608"/>
      <c r="H74" s="608"/>
      <c r="I74" s="608"/>
      <c r="J74" s="608">
        <f>50</f>
        <v>50</v>
      </c>
      <c r="K74" s="608">
        <f>-50</f>
        <v>-50</v>
      </c>
      <c r="L74" s="608"/>
      <c r="M74" s="608"/>
      <c r="N74" s="608"/>
      <c r="O74" s="608"/>
      <c r="P74" s="608"/>
      <c r="Q74" s="608"/>
      <c r="R74" s="608">
        <f t="shared" si="1"/>
        <v>0</v>
      </c>
      <c r="S74" s="608"/>
      <c r="T74" s="608"/>
      <c r="U74" s="608"/>
      <c r="V74" s="608"/>
      <c r="W74" s="608"/>
      <c r="X74" s="610">
        <f t="shared" ref="X74:X88" si="10">SUM(T74:W74)</f>
        <v>0</v>
      </c>
      <c r="Y74" s="632">
        <f t="shared" si="7"/>
        <v>0</v>
      </c>
      <c r="Z74" s="612"/>
      <c r="AA74" s="345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70"/>
    </row>
    <row r="75" spans="1:42" ht="24.95" hidden="1" customHeight="1" x14ac:dyDescent="0.25">
      <c r="A75" s="82">
        <v>58</v>
      </c>
      <c r="B75" s="228" t="s">
        <v>343</v>
      </c>
      <c r="C75" s="39" t="s">
        <v>344</v>
      </c>
      <c r="D75" s="608"/>
      <c r="E75" s="608"/>
      <c r="F75" s="608">
        <f>-450</f>
        <v>-450</v>
      </c>
      <c r="G75" s="608"/>
      <c r="H75" s="608"/>
      <c r="I75" s="608"/>
      <c r="J75" s="608"/>
      <c r="K75" s="608"/>
      <c r="L75" s="608">
        <f>354+96</f>
        <v>450</v>
      </c>
      <c r="M75" s="608"/>
      <c r="N75" s="608"/>
      <c r="O75" s="608"/>
      <c r="P75" s="608"/>
      <c r="Q75" s="608"/>
      <c r="R75" s="608">
        <f t="shared" si="1"/>
        <v>0</v>
      </c>
      <c r="S75" s="608"/>
      <c r="T75" s="608"/>
      <c r="U75" s="608"/>
      <c r="V75" s="608"/>
      <c r="W75" s="608"/>
      <c r="X75" s="610">
        <f t="shared" si="10"/>
        <v>0</v>
      </c>
      <c r="Y75" s="632">
        <f t="shared" si="7"/>
        <v>0</v>
      </c>
      <c r="Z75" s="612"/>
      <c r="AA75" s="345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70"/>
    </row>
    <row r="76" spans="1:42" ht="24.95" hidden="1" customHeight="1" x14ac:dyDescent="0.25">
      <c r="A76" s="82">
        <v>59</v>
      </c>
      <c r="B76" s="228" t="s">
        <v>346</v>
      </c>
      <c r="C76" s="39" t="s">
        <v>250</v>
      </c>
      <c r="D76" s="608"/>
      <c r="E76" s="608"/>
      <c r="F76" s="608"/>
      <c r="G76" s="608"/>
      <c r="H76" s="608"/>
      <c r="I76" s="608"/>
      <c r="J76" s="608">
        <f>100</f>
        <v>100</v>
      </c>
      <c r="K76" s="608">
        <f>-100</f>
        <v>-100</v>
      </c>
      <c r="L76" s="608"/>
      <c r="M76" s="608"/>
      <c r="N76" s="608"/>
      <c r="O76" s="608"/>
      <c r="P76" s="608"/>
      <c r="Q76" s="608"/>
      <c r="R76" s="608">
        <f t="shared" si="1"/>
        <v>0</v>
      </c>
      <c r="S76" s="608"/>
      <c r="T76" s="608"/>
      <c r="U76" s="608"/>
      <c r="V76" s="608"/>
      <c r="W76" s="608"/>
      <c r="X76" s="610">
        <f t="shared" si="10"/>
        <v>0</v>
      </c>
      <c r="Y76" s="632">
        <f t="shared" si="7"/>
        <v>0</v>
      </c>
      <c r="Z76" s="612"/>
      <c r="AA76" s="345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70"/>
    </row>
    <row r="77" spans="1:42" ht="24.95" hidden="1" customHeight="1" x14ac:dyDescent="0.25">
      <c r="A77" s="82">
        <v>60</v>
      </c>
      <c r="B77" s="228" t="s">
        <v>369</v>
      </c>
      <c r="C77" s="39" t="s">
        <v>208</v>
      </c>
      <c r="D77" s="608"/>
      <c r="E77" s="608"/>
      <c r="F77" s="608"/>
      <c r="G77" s="608"/>
      <c r="H77" s="608"/>
      <c r="I77" s="608"/>
      <c r="J77" s="608"/>
      <c r="K77" s="608">
        <f>-14500</f>
        <v>-14500</v>
      </c>
      <c r="L77" s="608"/>
      <c r="M77" s="608"/>
      <c r="N77" s="608"/>
      <c r="O77" s="608"/>
      <c r="P77" s="608"/>
      <c r="Q77" s="608"/>
      <c r="R77" s="608">
        <f t="shared" si="1"/>
        <v>-14500</v>
      </c>
      <c r="S77" s="608"/>
      <c r="T77" s="608"/>
      <c r="U77" s="608"/>
      <c r="V77" s="608"/>
      <c r="W77" s="608"/>
      <c r="X77" s="610">
        <f>SUM(T77:W77)</f>
        <v>0</v>
      </c>
      <c r="Y77" s="632">
        <f>R77+X77</f>
        <v>-14500</v>
      </c>
      <c r="Z77" s="612">
        <f>14500</f>
        <v>14500</v>
      </c>
      <c r="AA77" s="345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70"/>
    </row>
    <row r="78" spans="1:42" ht="24.95" hidden="1" customHeight="1" x14ac:dyDescent="0.25">
      <c r="A78" s="82">
        <v>61</v>
      </c>
      <c r="B78" s="228" t="s">
        <v>348</v>
      </c>
      <c r="C78" s="39" t="s">
        <v>347</v>
      </c>
      <c r="D78" s="608"/>
      <c r="E78" s="608"/>
      <c r="F78" s="608">
        <f>-1654-446</f>
        <v>-2100</v>
      </c>
      <c r="G78" s="608"/>
      <c r="H78" s="608"/>
      <c r="I78" s="608"/>
      <c r="J78" s="608"/>
      <c r="K78" s="608"/>
      <c r="L78" s="608">
        <f>2100</f>
        <v>2100</v>
      </c>
      <c r="M78" s="608"/>
      <c r="N78" s="608"/>
      <c r="O78" s="608"/>
      <c r="P78" s="608"/>
      <c r="Q78" s="608"/>
      <c r="R78" s="608">
        <f t="shared" si="1"/>
        <v>0</v>
      </c>
      <c r="S78" s="608"/>
      <c r="T78" s="608"/>
      <c r="U78" s="608"/>
      <c r="V78" s="608"/>
      <c r="W78" s="608"/>
      <c r="X78" s="610">
        <f t="shared" si="10"/>
        <v>0</v>
      </c>
      <c r="Y78" s="632">
        <f t="shared" si="7"/>
        <v>0</v>
      </c>
      <c r="Z78" s="612"/>
      <c r="AA78" s="345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70"/>
    </row>
    <row r="79" spans="1:42" ht="24.95" hidden="1" customHeight="1" x14ac:dyDescent="0.25">
      <c r="A79" s="82">
        <v>62</v>
      </c>
      <c r="B79" s="228" t="s">
        <v>349</v>
      </c>
      <c r="C79" s="39" t="s">
        <v>350</v>
      </c>
      <c r="D79" s="608">
        <f>98</f>
        <v>98</v>
      </c>
      <c r="E79" s="608">
        <f>32+19</f>
        <v>51</v>
      </c>
      <c r="F79" s="608">
        <f>-149</f>
        <v>-149</v>
      </c>
      <c r="G79" s="608"/>
      <c r="H79" s="608"/>
      <c r="I79" s="608"/>
      <c r="J79" s="608"/>
      <c r="K79" s="608"/>
      <c r="L79" s="608"/>
      <c r="M79" s="608"/>
      <c r="N79" s="608"/>
      <c r="O79" s="608"/>
      <c r="P79" s="608"/>
      <c r="Q79" s="608"/>
      <c r="R79" s="608">
        <f t="shared" si="1"/>
        <v>0</v>
      </c>
      <c r="S79" s="608"/>
      <c r="T79" s="608"/>
      <c r="U79" s="608"/>
      <c r="V79" s="608"/>
      <c r="W79" s="608"/>
      <c r="X79" s="610">
        <f t="shared" si="10"/>
        <v>0</v>
      </c>
      <c r="Y79" s="632">
        <f t="shared" ref="Y79:Y88" si="11">R79+X79</f>
        <v>0</v>
      </c>
      <c r="Z79" s="612"/>
      <c r="AA79" s="345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70"/>
    </row>
    <row r="80" spans="1:42" ht="24.95" hidden="1" customHeight="1" x14ac:dyDescent="0.25">
      <c r="A80" s="82">
        <v>63</v>
      </c>
      <c r="B80" s="228" t="s">
        <v>351</v>
      </c>
      <c r="C80" s="39" t="s">
        <v>352</v>
      </c>
      <c r="D80" s="608"/>
      <c r="E80" s="608"/>
      <c r="F80" s="608"/>
      <c r="G80" s="608"/>
      <c r="H80" s="608"/>
      <c r="I80" s="608"/>
      <c r="J80" s="608">
        <f>2200</f>
        <v>2200</v>
      </c>
      <c r="K80" s="608"/>
      <c r="L80" s="608"/>
      <c r="M80" s="608"/>
      <c r="N80" s="608"/>
      <c r="O80" s="608"/>
      <c r="P80" s="608"/>
      <c r="Q80" s="608"/>
      <c r="R80" s="608">
        <f t="shared" si="1"/>
        <v>2200</v>
      </c>
      <c r="S80" s="608"/>
      <c r="T80" s="608"/>
      <c r="U80" s="608"/>
      <c r="V80" s="608"/>
      <c r="W80" s="608"/>
      <c r="X80" s="610">
        <f t="shared" si="10"/>
        <v>0</v>
      </c>
      <c r="Y80" s="632">
        <f t="shared" si="11"/>
        <v>2200</v>
      </c>
      <c r="Z80" s="612"/>
      <c r="AA80" s="345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70"/>
    </row>
    <row r="81" spans="1:74" ht="24.95" hidden="1" customHeight="1" x14ac:dyDescent="0.25">
      <c r="A81" s="630">
        <v>64</v>
      </c>
      <c r="B81" s="599" t="s">
        <v>370</v>
      </c>
      <c r="C81" s="39" t="s">
        <v>252</v>
      </c>
      <c r="D81" s="608"/>
      <c r="E81" s="608"/>
      <c r="F81" s="608"/>
      <c r="G81" s="608"/>
      <c r="H81" s="608"/>
      <c r="I81" s="608"/>
      <c r="J81" s="608">
        <f>285</f>
        <v>285</v>
      </c>
      <c r="K81" s="608">
        <f>-285</f>
        <v>-285</v>
      </c>
      <c r="L81" s="608"/>
      <c r="M81" s="608"/>
      <c r="N81" s="608"/>
      <c r="O81" s="608"/>
      <c r="P81" s="608"/>
      <c r="Q81" s="608"/>
      <c r="R81" s="608">
        <f t="shared" si="1"/>
        <v>0</v>
      </c>
      <c r="S81" s="608"/>
      <c r="T81" s="608"/>
      <c r="U81" s="608"/>
      <c r="V81" s="608"/>
      <c r="W81" s="608"/>
      <c r="X81" s="610">
        <f t="shared" si="10"/>
        <v>0</v>
      </c>
      <c r="Y81" s="632">
        <f t="shared" si="11"/>
        <v>0</v>
      </c>
      <c r="Z81" s="612"/>
      <c r="AA81" s="345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70"/>
    </row>
    <row r="82" spans="1:74" ht="24.95" hidden="1" customHeight="1" x14ac:dyDescent="0.25">
      <c r="A82" s="82"/>
      <c r="C82" s="39"/>
      <c r="D82" s="608"/>
      <c r="E82" s="608"/>
      <c r="F82" s="608"/>
      <c r="G82" s="608"/>
      <c r="H82" s="608"/>
      <c r="I82" s="608"/>
      <c r="J82" s="608"/>
      <c r="K82" s="608"/>
      <c r="L82" s="608"/>
      <c r="M82" s="608"/>
      <c r="N82" s="608"/>
      <c r="O82" s="608"/>
      <c r="P82" s="608"/>
      <c r="Q82" s="608"/>
      <c r="R82" s="608">
        <f t="shared" si="1"/>
        <v>0</v>
      </c>
      <c r="S82" s="608"/>
      <c r="T82" s="608"/>
      <c r="U82" s="608"/>
      <c r="V82" s="608"/>
      <c r="W82" s="608"/>
      <c r="X82" s="610">
        <f t="shared" si="10"/>
        <v>0</v>
      </c>
      <c r="Y82" s="632">
        <f t="shared" si="11"/>
        <v>0</v>
      </c>
      <c r="Z82" s="612"/>
      <c r="AA82" s="345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70"/>
    </row>
    <row r="83" spans="1:74" ht="24.95" hidden="1" customHeight="1" x14ac:dyDescent="0.25">
      <c r="A83" s="82"/>
      <c r="C83" s="141"/>
      <c r="D83" s="608"/>
      <c r="E83" s="608"/>
      <c r="F83" s="608"/>
      <c r="G83" s="608"/>
      <c r="H83" s="608"/>
      <c r="I83" s="608"/>
      <c r="J83" s="608"/>
      <c r="K83" s="608"/>
      <c r="L83" s="608"/>
      <c r="M83" s="608"/>
      <c r="N83" s="608"/>
      <c r="O83" s="608"/>
      <c r="P83" s="608"/>
      <c r="Q83" s="608"/>
      <c r="R83" s="608">
        <f t="shared" si="1"/>
        <v>0</v>
      </c>
      <c r="S83" s="608"/>
      <c r="T83" s="608"/>
      <c r="U83" s="608"/>
      <c r="V83" s="608"/>
      <c r="W83" s="608"/>
      <c r="X83" s="610">
        <f t="shared" si="10"/>
        <v>0</v>
      </c>
      <c r="Y83" s="632">
        <f t="shared" si="11"/>
        <v>0</v>
      </c>
      <c r="Z83" s="612"/>
      <c r="AA83" s="345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70"/>
    </row>
    <row r="84" spans="1:74" ht="24.95" hidden="1" customHeight="1" x14ac:dyDescent="0.25">
      <c r="A84" s="82"/>
      <c r="B84" s="141"/>
      <c r="C84" s="39"/>
      <c r="D84" s="608"/>
      <c r="E84" s="608"/>
      <c r="F84" s="608"/>
      <c r="G84" s="608"/>
      <c r="H84" s="608"/>
      <c r="I84" s="608"/>
      <c r="J84" s="608"/>
      <c r="K84" s="608"/>
      <c r="L84" s="608"/>
      <c r="M84" s="608"/>
      <c r="N84" s="608"/>
      <c r="O84" s="608"/>
      <c r="P84" s="608"/>
      <c r="Q84" s="608"/>
      <c r="R84" s="608">
        <f t="shared" si="1"/>
        <v>0</v>
      </c>
      <c r="S84" s="608"/>
      <c r="T84" s="608"/>
      <c r="U84" s="608"/>
      <c r="V84" s="608"/>
      <c r="W84" s="608"/>
      <c r="X84" s="610">
        <f t="shared" si="10"/>
        <v>0</v>
      </c>
      <c r="Y84" s="632">
        <f t="shared" si="11"/>
        <v>0</v>
      </c>
      <c r="Z84" s="612"/>
      <c r="AA84" s="345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70"/>
    </row>
    <row r="85" spans="1:74" ht="24.95" hidden="1" customHeight="1" x14ac:dyDescent="0.25">
      <c r="A85" s="82"/>
      <c r="B85" s="141"/>
      <c r="C85" s="39"/>
      <c r="D85" s="608"/>
      <c r="E85" s="608"/>
      <c r="F85" s="608"/>
      <c r="G85" s="608"/>
      <c r="H85" s="608"/>
      <c r="I85" s="608"/>
      <c r="J85" s="608"/>
      <c r="K85" s="608"/>
      <c r="L85" s="608"/>
      <c r="M85" s="608"/>
      <c r="N85" s="608"/>
      <c r="O85" s="608"/>
      <c r="P85" s="608"/>
      <c r="Q85" s="608"/>
      <c r="R85" s="608">
        <f t="shared" si="1"/>
        <v>0</v>
      </c>
      <c r="S85" s="608"/>
      <c r="T85" s="608"/>
      <c r="U85" s="608"/>
      <c r="V85" s="608"/>
      <c r="W85" s="608"/>
      <c r="X85" s="610">
        <f t="shared" si="10"/>
        <v>0</v>
      </c>
      <c r="Y85" s="632">
        <f t="shared" si="11"/>
        <v>0</v>
      </c>
      <c r="Z85" s="612"/>
      <c r="AA85" s="345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70"/>
    </row>
    <row r="86" spans="1:74" ht="24.95" hidden="1" customHeight="1" x14ac:dyDescent="0.25">
      <c r="A86" s="82"/>
      <c r="B86" s="141"/>
      <c r="C86" s="39"/>
      <c r="D86" s="608"/>
      <c r="E86" s="608"/>
      <c r="F86" s="608"/>
      <c r="G86" s="608"/>
      <c r="H86" s="608"/>
      <c r="I86" s="608"/>
      <c r="J86" s="608"/>
      <c r="K86" s="608"/>
      <c r="L86" s="608"/>
      <c r="M86" s="608"/>
      <c r="N86" s="608"/>
      <c r="O86" s="608"/>
      <c r="P86" s="608"/>
      <c r="Q86" s="608"/>
      <c r="R86" s="608">
        <f t="shared" si="1"/>
        <v>0</v>
      </c>
      <c r="S86" s="608"/>
      <c r="T86" s="608"/>
      <c r="U86" s="608"/>
      <c r="V86" s="608"/>
      <c r="W86" s="608"/>
      <c r="X86" s="610">
        <f t="shared" si="10"/>
        <v>0</v>
      </c>
      <c r="Y86" s="632">
        <f t="shared" si="11"/>
        <v>0</v>
      </c>
      <c r="Z86" s="612"/>
      <c r="AA86" s="345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70"/>
    </row>
    <row r="87" spans="1:74" ht="24.95" hidden="1" customHeight="1" x14ac:dyDescent="0.25">
      <c r="A87" s="82"/>
      <c r="B87" s="141"/>
      <c r="C87" s="39"/>
      <c r="D87" s="608"/>
      <c r="E87" s="608"/>
      <c r="F87" s="608"/>
      <c r="G87" s="608"/>
      <c r="H87" s="608"/>
      <c r="I87" s="608"/>
      <c r="J87" s="608"/>
      <c r="K87" s="608"/>
      <c r="L87" s="608"/>
      <c r="M87" s="608"/>
      <c r="N87" s="608"/>
      <c r="O87" s="608"/>
      <c r="P87" s="608"/>
      <c r="Q87" s="608"/>
      <c r="R87" s="608">
        <f t="shared" si="1"/>
        <v>0</v>
      </c>
      <c r="S87" s="608"/>
      <c r="T87" s="608"/>
      <c r="U87" s="608"/>
      <c r="V87" s="608"/>
      <c r="W87" s="608"/>
      <c r="X87" s="610">
        <f t="shared" si="10"/>
        <v>0</v>
      </c>
      <c r="Y87" s="632">
        <f t="shared" si="11"/>
        <v>0</v>
      </c>
      <c r="Z87" s="612"/>
      <c r="AA87" s="345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70"/>
    </row>
    <row r="88" spans="1:74" ht="24.95" hidden="1" customHeight="1" x14ac:dyDescent="0.25">
      <c r="A88" s="82"/>
      <c r="B88" s="141"/>
      <c r="C88" s="39"/>
      <c r="D88" s="608"/>
      <c r="E88" s="608"/>
      <c r="F88" s="608"/>
      <c r="G88" s="608"/>
      <c r="H88" s="608"/>
      <c r="I88" s="608"/>
      <c r="J88" s="608"/>
      <c r="K88" s="608"/>
      <c r="L88" s="608"/>
      <c r="M88" s="608"/>
      <c r="N88" s="608"/>
      <c r="O88" s="608"/>
      <c r="P88" s="608"/>
      <c r="Q88" s="608"/>
      <c r="R88" s="608">
        <f t="shared" si="1"/>
        <v>0</v>
      </c>
      <c r="S88" s="608"/>
      <c r="T88" s="608"/>
      <c r="U88" s="608"/>
      <c r="V88" s="608"/>
      <c r="W88" s="608"/>
      <c r="X88" s="610">
        <f t="shared" si="10"/>
        <v>0</v>
      </c>
      <c r="Y88" s="632">
        <f t="shared" si="11"/>
        <v>0</v>
      </c>
      <c r="Z88" s="612"/>
      <c r="AA88" s="345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70"/>
    </row>
    <row r="89" spans="1:74" ht="30" hidden="1" customHeight="1" x14ac:dyDescent="0.25">
      <c r="A89" s="82"/>
      <c r="B89" s="141"/>
      <c r="C89" s="28"/>
      <c r="D89" s="608"/>
      <c r="E89" s="608"/>
      <c r="F89" s="608"/>
      <c r="G89" s="608"/>
      <c r="H89" s="608"/>
      <c r="I89" s="608"/>
      <c r="J89" s="608"/>
      <c r="K89" s="608"/>
      <c r="L89" s="608"/>
      <c r="M89" s="608"/>
      <c r="N89" s="608"/>
      <c r="O89" s="608"/>
      <c r="P89" s="608"/>
      <c r="Q89" s="608"/>
      <c r="R89" s="608">
        <f t="shared" si="1"/>
        <v>0</v>
      </c>
      <c r="S89" s="608"/>
      <c r="T89" s="608"/>
      <c r="U89" s="608"/>
      <c r="V89" s="608"/>
      <c r="W89" s="608"/>
      <c r="X89" s="610">
        <f t="shared" si="2"/>
        <v>0</v>
      </c>
      <c r="Y89" s="632">
        <f t="shared" si="3"/>
        <v>0</v>
      </c>
      <c r="Z89" s="612"/>
      <c r="AA89" s="345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70"/>
    </row>
    <row r="90" spans="1:74" ht="17.25" hidden="1" customHeight="1" thickBot="1" x14ac:dyDescent="0.25">
      <c r="A90" s="82"/>
      <c r="B90" s="129"/>
      <c r="C90" s="163"/>
      <c r="D90" s="613"/>
      <c r="E90" s="613"/>
      <c r="F90" s="613"/>
      <c r="G90" s="613"/>
      <c r="H90" s="613"/>
      <c r="I90" s="613"/>
      <c r="J90" s="613"/>
      <c r="K90" s="613"/>
      <c r="L90" s="613"/>
      <c r="M90" s="613"/>
      <c r="N90" s="613"/>
      <c r="O90" s="613"/>
      <c r="P90" s="613"/>
      <c r="Q90" s="613"/>
      <c r="R90" s="613"/>
      <c r="S90" s="613"/>
      <c r="T90" s="613"/>
      <c r="U90" s="613"/>
      <c r="V90" s="613"/>
      <c r="W90" s="613"/>
      <c r="X90" s="614"/>
      <c r="Y90" s="632"/>
      <c r="Z90" s="615"/>
      <c r="AA90" s="345"/>
    </row>
    <row r="91" spans="1:74" ht="35.1" hidden="1" customHeight="1" thickTop="1" thickBot="1" x14ac:dyDescent="0.25">
      <c r="A91" s="138"/>
      <c r="B91" s="90"/>
      <c r="C91" s="44" t="s">
        <v>19</v>
      </c>
      <c r="D91" s="492">
        <f t="shared" ref="D91:Q91" si="12">SUM(D18:D90)</f>
        <v>4340</v>
      </c>
      <c r="E91" s="492">
        <f t="shared" si="12"/>
        <v>1354</v>
      </c>
      <c r="F91" s="492">
        <f t="shared" si="12"/>
        <v>14793.835999999999</v>
      </c>
      <c r="G91" s="492">
        <f t="shared" si="12"/>
        <v>-285.26</v>
      </c>
      <c r="H91" s="492">
        <f t="shared" si="12"/>
        <v>0</v>
      </c>
      <c r="I91" s="492">
        <f t="shared" si="12"/>
        <v>1000</v>
      </c>
      <c r="J91" s="492">
        <f t="shared" si="12"/>
        <v>9552</v>
      </c>
      <c r="K91" s="492">
        <f t="shared" si="12"/>
        <v>-341301.64799999999</v>
      </c>
      <c r="L91" s="492">
        <f t="shared" si="12"/>
        <v>143263</v>
      </c>
      <c r="M91" s="492">
        <f t="shared" si="12"/>
        <v>37072</v>
      </c>
      <c r="N91" s="492">
        <f t="shared" si="12"/>
        <v>0</v>
      </c>
      <c r="O91" s="492">
        <f t="shared" si="12"/>
        <v>0</v>
      </c>
      <c r="P91" s="492">
        <f t="shared" si="12"/>
        <v>0</v>
      </c>
      <c r="Q91" s="492">
        <f t="shared" si="12"/>
        <v>138884</v>
      </c>
      <c r="R91" s="492">
        <f>SUM(D91:Q91)</f>
        <v>8671.9280000000144</v>
      </c>
      <c r="S91" s="492"/>
      <c r="T91" s="492">
        <f>SUM(T18:T90)</f>
        <v>0</v>
      </c>
      <c r="U91" s="492">
        <f>SUM(U18:U90)</f>
        <v>3900000</v>
      </c>
      <c r="V91" s="492">
        <f>SUM(V18:V90)</f>
        <v>0</v>
      </c>
      <c r="W91" s="492">
        <f>SUM(W18:W90)</f>
        <v>0</v>
      </c>
      <c r="X91" s="492">
        <f>SUM(X18:X90)</f>
        <v>3900000</v>
      </c>
      <c r="Y91" s="493">
        <f t="shared" si="3"/>
        <v>3908671.9279999998</v>
      </c>
      <c r="Z91" s="494">
        <f>SUM(Z18:Z90)</f>
        <v>126621.41200000003</v>
      </c>
      <c r="AA91" s="346"/>
    </row>
    <row r="92" spans="1:74" ht="9.9499999999999993" hidden="1" customHeight="1" thickTop="1" x14ac:dyDescent="0.2">
      <c r="A92" s="634"/>
      <c r="B92" s="193"/>
      <c r="C92" s="194"/>
      <c r="D92" s="635"/>
      <c r="E92" s="635"/>
      <c r="F92" s="635"/>
      <c r="G92" s="635"/>
      <c r="H92" s="635"/>
      <c r="I92" s="635"/>
      <c r="J92" s="635"/>
      <c r="K92" s="635"/>
      <c r="L92" s="635"/>
      <c r="M92" s="635"/>
      <c r="N92" s="635"/>
      <c r="O92" s="635"/>
      <c r="P92" s="635"/>
      <c r="Q92" s="635"/>
      <c r="R92" s="635"/>
      <c r="S92" s="635"/>
      <c r="T92" s="635"/>
      <c r="U92" s="635"/>
      <c r="V92" s="635"/>
      <c r="W92" s="635"/>
      <c r="X92" s="636"/>
      <c r="Y92" s="636"/>
      <c r="Z92" s="637"/>
      <c r="AA92" s="346"/>
    </row>
    <row r="93" spans="1:74" ht="24.95" hidden="1" customHeight="1" x14ac:dyDescent="0.2">
      <c r="A93" s="638"/>
      <c r="B93" s="639" t="s">
        <v>268</v>
      </c>
      <c r="C93" s="640" t="s">
        <v>269</v>
      </c>
      <c r="D93" s="641"/>
      <c r="E93" s="641"/>
      <c r="F93" s="641"/>
      <c r="G93" s="641"/>
      <c r="H93" s="641"/>
      <c r="I93" s="641"/>
      <c r="J93" s="641"/>
      <c r="K93" s="641"/>
      <c r="L93" s="641">
        <f>15000+5000+5400</f>
        <v>25400</v>
      </c>
      <c r="M93" s="641"/>
      <c r="N93" s="641"/>
      <c r="O93" s="641"/>
      <c r="P93" s="641"/>
      <c r="Q93" s="641"/>
      <c r="R93" s="641">
        <f>SUM(D93:Q93)</f>
        <v>25400</v>
      </c>
      <c r="S93" s="641"/>
      <c r="T93" s="641"/>
      <c r="U93" s="641"/>
      <c r="V93" s="641"/>
      <c r="W93" s="641"/>
      <c r="X93" s="642">
        <f>SUM(T93:W93)</f>
        <v>0</v>
      </c>
      <c r="Y93" s="643">
        <f>R93+X93</f>
        <v>25400</v>
      </c>
      <c r="Z93" s="644">
        <f>-25400</f>
        <v>-25400</v>
      </c>
      <c r="AA93" s="346"/>
    </row>
    <row r="94" spans="1:74" ht="9.9499999999999993" hidden="1" customHeight="1" thickBot="1" x14ac:dyDescent="0.25">
      <c r="A94" s="645"/>
      <c r="B94" s="202"/>
      <c r="C94" s="203"/>
      <c r="D94" s="646"/>
      <c r="E94" s="646"/>
      <c r="F94" s="646"/>
      <c r="G94" s="646"/>
      <c r="H94" s="646"/>
      <c r="I94" s="646"/>
      <c r="J94" s="646"/>
      <c r="K94" s="646"/>
      <c r="L94" s="646"/>
      <c r="M94" s="646"/>
      <c r="N94" s="646"/>
      <c r="O94" s="646"/>
      <c r="P94" s="646"/>
      <c r="Q94" s="646"/>
      <c r="R94" s="646"/>
      <c r="S94" s="646"/>
      <c r="T94" s="646"/>
      <c r="U94" s="646"/>
      <c r="V94" s="646"/>
      <c r="W94" s="646"/>
      <c r="X94" s="647"/>
      <c r="Y94" s="647"/>
      <c r="Z94" s="648"/>
      <c r="AA94" s="346"/>
    </row>
    <row r="95" spans="1:74" ht="35.1" hidden="1" customHeight="1" thickTop="1" thickBot="1" x14ac:dyDescent="0.25">
      <c r="A95" s="138"/>
      <c r="B95" s="90"/>
      <c r="C95" s="44" t="s">
        <v>157</v>
      </c>
      <c r="D95" s="605">
        <f t="shared" ref="D95:K95" si="13">D17+D91</f>
        <v>135752</v>
      </c>
      <c r="E95" s="605">
        <f t="shared" si="13"/>
        <v>37140</v>
      </c>
      <c r="F95" s="605">
        <f t="shared" si="13"/>
        <v>4493932.8360000001</v>
      </c>
      <c r="G95" s="605">
        <f t="shared" si="13"/>
        <v>236981.74</v>
      </c>
      <c r="H95" s="605">
        <f t="shared" si="13"/>
        <v>8000</v>
      </c>
      <c r="I95" s="605">
        <f t="shared" si="13"/>
        <v>47680</v>
      </c>
      <c r="J95" s="605">
        <f t="shared" si="13"/>
        <v>616035</v>
      </c>
      <c r="K95" s="605">
        <f t="shared" si="13"/>
        <v>1157223.352</v>
      </c>
      <c r="L95" s="605">
        <f>L17+L91+L93</f>
        <v>1951770</v>
      </c>
      <c r="M95" s="605">
        <f>M17+M91</f>
        <v>50499</v>
      </c>
      <c r="N95" s="605">
        <f>N17+N91</f>
        <v>68837</v>
      </c>
      <c r="O95" s="605">
        <f>O17+O91</f>
        <v>10000</v>
      </c>
      <c r="P95" s="605">
        <f>P17+P91</f>
        <v>0</v>
      </c>
      <c r="Q95" s="605">
        <f>Q17+Q91</f>
        <v>300471</v>
      </c>
      <c r="R95" s="605">
        <f>SUM(D95:Q95)</f>
        <v>9114321.9279999994</v>
      </c>
      <c r="S95" s="605"/>
      <c r="T95" s="605">
        <f>T17+T91</f>
        <v>0</v>
      </c>
      <c r="U95" s="605">
        <f>U17+U91</f>
        <v>3900000</v>
      </c>
      <c r="V95" s="605">
        <f>V17+V91</f>
        <v>0</v>
      </c>
      <c r="W95" s="605">
        <f>W17+W91</f>
        <v>0</v>
      </c>
      <c r="X95" s="606">
        <f t="shared" si="2"/>
        <v>3900000</v>
      </c>
      <c r="Y95" s="606">
        <f>R95+X95</f>
        <v>13014321.927999999</v>
      </c>
      <c r="Z95" s="607">
        <f>Z17+Z91+Z93</f>
        <v>6164110.4120000005</v>
      </c>
      <c r="AA95" s="347"/>
      <c r="AB95" s="85">
        <f>Y95+Z95</f>
        <v>19178432.34</v>
      </c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</row>
    <row r="96" spans="1:74" ht="17.25" hidden="1" customHeight="1" thickTop="1" x14ac:dyDescent="0.2">
      <c r="A96" s="26">
        <v>84</v>
      </c>
      <c r="B96" s="139" t="s">
        <v>21</v>
      </c>
      <c r="C96" s="94" t="s">
        <v>149</v>
      </c>
      <c r="D96" s="95"/>
      <c r="E96" s="95"/>
      <c r="F96" s="95"/>
      <c r="G96" s="95"/>
      <c r="H96" s="95"/>
      <c r="I96" s="95"/>
      <c r="J96" s="95"/>
      <c r="K96" s="95">
        <f>84000+130000+710803+71850.206</f>
        <v>996653.20600000001</v>
      </c>
      <c r="L96" s="95"/>
      <c r="M96" s="95"/>
      <c r="N96" s="95"/>
      <c r="O96" s="95"/>
      <c r="P96" s="95"/>
      <c r="Q96" s="95"/>
      <c r="R96" s="95">
        <f t="shared" ref="R96:R137" si="14">SUM(D96:Q96)</f>
        <v>996653.20600000001</v>
      </c>
      <c r="S96" s="95"/>
      <c r="T96" s="95"/>
      <c r="U96" s="95"/>
      <c r="V96" s="95">
        <f>54061.391</f>
        <v>54061.391000000003</v>
      </c>
      <c r="W96" s="95"/>
      <c r="X96" s="99">
        <f t="shared" si="2"/>
        <v>54061.391000000003</v>
      </c>
      <c r="Y96" s="364">
        <f t="shared" si="3"/>
        <v>1050714.5970000001</v>
      </c>
      <c r="Z96" s="375">
        <v>55701</v>
      </c>
      <c r="AA96" s="348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</row>
    <row r="97" spans="1:74" ht="16.5" hidden="1" customHeight="1" x14ac:dyDescent="0.2">
      <c r="A97" s="26"/>
      <c r="B97" s="74" t="s">
        <v>65</v>
      </c>
      <c r="C97" s="96" t="s">
        <v>149</v>
      </c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3"/>
      <c r="R97" s="133">
        <f t="shared" si="14"/>
        <v>0</v>
      </c>
      <c r="S97" s="133"/>
      <c r="T97" s="133"/>
      <c r="U97" s="133"/>
      <c r="V97" s="133"/>
      <c r="W97" s="133"/>
      <c r="X97" s="467">
        <f t="shared" si="2"/>
        <v>0</v>
      </c>
      <c r="Y97" s="365">
        <f t="shared" si="3"/>
        <v>0</v>
      </c>
      <c r="Z97" s="376"/>
      <c r="AA97" s="348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</row>
    <row r="98" spans="1:74" ht="16.5" hidden="1" customHeight="1" x14ac:dyDescent="0.2">
      <c r="A98" s="26"/>
      <c r="B98" s="74" t="s">
        <v>23</v>
      </c>
      <c r="C98" s="96" t="s">
        <v>149</v>
      </c>
      <c r="D98" s="97"/>
      <c r="E98" s="97"/>
      <c r="F98" s="97">
        <f>2500+20000+3000+7880+119</f>
        <v>33499</v>
      </c>
      <c r="G98" s="97"/>
      <c r="H98" s="97"/>
      <c r="I98" s="97">
        <f>175</f>
        <v>175</v>
      </c>
      <c r="J98" s="97"/>
      <c r="K98" s="97"/>
      <c r="L98" s="97"/>
      <c r="M98" s="97"/>
      <c r="N98" s="97"/>
      <c r="O98" s="97"/>
      <c r="P98" s="97"/>
      <c r="Q98" s="97"/>
      <c r="R98" s="97">
        <f t="shared" si="14"/>
        <v>33674</v>
      </c>
      <c r="S98" s="97"/>
      <c r="T98" s="97"/>
      <c r="U98" s="97">
        <v>650000</v>
      </c>
      <c r="V98" s="97"/>
      <c r="W98" s="97"/>
      <c r="X98" s="100">
        <f t="shared" si="2"/>
        <v>650000</v>
      </c>
      <c r="Y98" s="365">
        <f t="shared" si="3"/>
        <v>683674</v>
      </c>
      <c r="Z98" s="377"/>
      <c r="AA98" s="348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</row>
    <row r="99" spans="1:74" ht="16.5" hidden="1" customHeight="1" x14ac:dyDescent="0.2">
      <c r="A99" s="26"/>
      <c r="B99" s="74" t="s">
        <v>63</v>
      </c>
      <c r="C99" s="96" t="s">
        <v>149</v>
      </c>
      <c r="D99" s="97"/>
      <c r="E99" s="97"/>
      <c r="F99" s="97">
        <v>885</v>
      </c>
      <c r="G99" s="97"/>
      <c r="H99" s="97"/>
      <c r="I99" s="97"/>
      <c r="J99" s="97"/>
      <c r="K99" s="97"/>
      <c r="L99" s="97"/>
      <c r="M99" s="97"/>
      <c r="O99" s="97"/>
      <c r="P99" s="97"/>
      <c r="Q99" s="97"/>
      <c r="R99" s="97">
        <f t="shared" si="14"/>
        <v>885</v>
      </c>
      <c r="S99" s="97"/>
      <c r="T99" s="97"/>
      <c r="U99" s="97"/>
      <c r="V99" s="97"/>
      <c r="W99" s="97"/>
      <c r="X99" s="100">
        <f t="shared" si="2"/>
        <v>0</v>
      </c>
      <c r="Y99" s="365">
        <f t="shared" si="3"/>
        <v>885</v>
      </c>
      <c r="Z99" s="377"/>
      <c r="AA99" s="348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</row>
    <row r="100" spans="1:74" ht="16.5" hidden="1" customHeight="1" x14ac:dyDescent="0.2">
      <c r="A100" s="26"/>
      <c r="B100" s="74" t="s">
        <v>80</v>
      </c>
      <c r="C100" s="96" t="s">
        <v>149</v>
      </c>
      <c r="D100" s="97"/>
      <c r="F100" s="97"/>
      <c r="G100" s="97"/>
      <c r="H100" s="97"/>
      <c r="I100" s="97"/>
      <c r="J100" s="97"/>
      <c r="K100" s="97"/>
      <c r="L100" s="97"/>
      <c r="M100" s="97"/>
      <c r="N100" s="97"/>
      <c r="O100" s="97"/>
      <c r="P100" s="97"/>
      <c r="Q100" s="97"/>
      <c r="R100" s="97">
        <f t="shared" si="14"/>
        <v>0</v>
      </c>
      <c r="S100" s="97"/>
      <c r="T100" s="97"/>
      <c r="U100" s="97"/>
      <c r="V100" s="97"/>
      <c r="W100" s="97"/>
      <c r="X100" s="100">
        <f t="shared" si="2"/>
        <v>0</v>
      </c>
      <c r="Y100" s="365">
        <f t="shared" si="3"/>
        <v>0</v>
      </c>
      <c r="Z100" s="377"/>
      <c r="AA100" s="348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</row>
    <row r="101" spans="1:74" ht="16.5" hidden="1" customHeight="1" x14ac:dyDescent="0.2">
      <c r="A101" s="26"/>
      <c r="B101" s="74" t="s">
        <v>53</v>
      </c>
      <c r="C101" s="96" t="s">
        <v>149</v>
      </c>
      <c r="D101" s="97"/>
      <c r="E101" s="97"/>
      <c r="F101" s="97"/>
      <c r="G101" s="97"/>
      <c r="H101" s="97"/>
      <c r="I101" s="97"/>
      <c r="J101" s="97"/>
      <c r="K101" s="97">
        <v>2000</v>
      </c>
      <c r="L101" s="97"/>
      <c r="M101" s="97"/>
      <c r="N101" s="97"/>
      <c r="O101" s="97"/>
      <c r="P101" s="97"/>
      <c r="Q101" s="97"/>
      <c r="R101" s="97">
        <f t="shared" si="14"/>
        <v>2000</v>
      </c>
      <c r="S101" s="97"/>
      <c r="T101" s="97"/>
      <c r="U101" s="97"/>
      <c r="V101" s="97"/>
      <c r="W101" s="97"/>
      <c r="X101" s="100">
        <f t="shared" si="2"/>
        <v>0</v>
      </c>
      <c r="Y101" s="365">
        <f t="shared" si="3"/>
        <v>2000</v>
      </c>
      <c r="Z101" s="377"/>
      <c r="AA101" s="348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</row>
    <row r="102" spans="1:74" ht="16.5" hidden="1" customHeight="1" x14ac:dyDescent="0.2">
      <c r="A102" s="26"/>
      <c r="B102" s="74" t="s">
        <v>54</v>
      </c>
      <c r="C102" s="96" t="s">
        <v>149</v>
      </c>
      <c r="D102" s="97"/>
      <c r="E102" s="97"/>
      <c r="F102" s="97"/>
      <c r="G102" s="97"/>
      <c r="H102" s="97"/>
      <c r="I102" s="97"/>
      <c r="J102" s="97">
        <v>85</v>
      </c>
      <c r="K102" s="97"/>
      <c r="L102" s="97"/>
      <c r="M102" s="97"/>
      <c r="N102" s="97"/>
      <c r="O102" s="97"/>
      <c r="P102" s="97"/>
      <c r="Q102" s="97"/>
      <c r="R102" s="97">
        <f t="shared" si="14"/>
        <v>85</v>
      </c>
      <c r="S102" s="97"/>
      <c r="T102" s="97"/>
      <c r="U102" s="97"/>
      <c r="V102" s="97"/>
      <c r="W102" s="97"/>
      <c r="X102" s="100">
        <f t="shared" si="2"/>
        <v>0</v>
      </c>
      <c r="Y102" s="365">
        <f t="shared" si="3"/>
        <v>85</v>
      </c>
      <c r="Z102" s="377"/>
      <c r="AA102" s="348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</row>
    <row r="103" spans="1:74" ht="16.5" hidden="1" customHeight="1" x14ac:dyDescent="0.2">
      <c r="A103" s="26"/>
      <c r="B103" s="74" t="s">
        <v>55</v>
      </c>
      <c r="C103" s="96" t="s">
        <v>149</v>
      </c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>
        <f t="shared" si="14"/>
        <v>0</v>
      </c>
      <c r="S103" s="97"/>
      <c r="T103" s="97"/>
      <c r="U103" s="97"/>
      <c r="V103" s="97"/>
      <c r="W103" s="97"/>
      <c r="X103" s="100">
        <f t="shared" si="2"/>
        <v>0</v>
      </c>
      <c r="Y103" s="365">
        <f t="shared" si="3"/>
        <v>0</v>
      </c>
      <c r="Z103" s="377"/>
      <c r="AA103" s="348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</row>
    <row r="104" spans="1:74" ht="16.5" hidden="1" customHeight="1" x14ac:dyDescent="0.2">
      <c r="A104" s="26"/>
      <c r="B104" s="74" t="s">
        <v>56</v>
      </c>
      <c r="C104" s="96" t="s">
        <v>149</v>
      </c>
      <c r="D104" s="97">
        <v>171</v>
      </c>
      <c r="E104" s="97">
        <v>46</v>
      </c>
      <c r="F104" s="97">
        <v>31</v>
      </c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>
        <f t="shared" si="14"/>
        <v>248</v>
      </c>
      <c r="S104" s="97"/>
      <c r="T104" s="97"/>
      <c r="U104" s="97"/>
      <c r="V104" s="97"/>
      <c r="W104" s="97"/>
      <c r="X104" s="100">
        <f t="shared" si="2"/>
        <v>0</v>
      </c>
      <c r="Y104" s="365">
        <f t="shared" si="3"/>
        <v>248</v>
      </c>
      <c r="Z104" s="377"/>
      <c r="AA104" s="348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</row>
    <row r="105" spans="1:74" ht="16.5" hidden="1" customHeight="1" x14ac:dyDescent="0.2">
      <c r="A105" s="26"/>
      <c r="B105" s="74" t="s">
        <v>57</v>
      </c>
      <c r="C105" s="96" t="s">
        <v>149</v>
      </c>
      <c r="D105" s="97"/>
      <c r="E105" s="97"/>
      <c r="F105" s="97">
        <f>235+63</f>
        <v>298</v>
      </c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>
        <f t="shared" si="14"/>
        <v>298</v>
      </c>
      <c r="S105" s="97"/>
      <c r="T105" s="97"/>
      <c r="U105" s="97"/>
      <c r="V105" s="97"/>
      <c r="W105" s="97"/>
      <c r="X105" s="100">
        <f t="shared" si="2"/>
        <v>0</v>
      </c>
      <c r="Y105" s="365">
        <f t="shared" si="3"/>
        <v>298</v>
      </c>
      <c r="Z105" s="377"/>
      <c r="AA105" s="348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</row>
    <row r="106" spans="1:74" ht="16.5" hidden="1" customHeight="1" x14ac:dyDescent="0.2">
      <c r="A106" s="26"/>
      <c r="B106" s="74" t="s">
        <v>197</v>
      </c>
      <c r="C106" s="96" t="s">
        <v>149</v>
      </c>
      <c r="D106" s="97"/>
      <c r="E106" s="97"/>
      <c r="F106" s="97">
        <f>106+29</f>
        <v>135</v>
      </c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>
        <f t="shared" si="14"/>
        <v>135</v>
      </c>
      <c r="S106" s="97"/>
      <c r="T106" s="97"/>
      <c r="U106" s="97"/>
      <c r="V106" s="97"/>
      <c r="W106" s="97"/>
      <c r="X106" s="100">
        <f t="shared" si="2"/>
        <v>0</v>
      </c>
      <c r="Y106" s="365">
        <f t="shared" si="3"/>
        <v>135</v>
      </c>
      <c r="Z106" s="377"/>
      <c r="AA106" s="348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</row>
    <row r="107" spans="1:74" ht="16.5" hidden="1" customHeight="1" x14ac:dyDescent="0.2">
      <c r="A107" s="26"/>
      <c r="B107" s="74" t="s">
        <v>59</v>
      </c>
      <c r="C107" s="96" t="s">
        <v>149</v>
      </c>
      <c r="D107" s="97"/>
      <c r="E107" s="97"/>
      <c r="F107" s="97">
        <f>106+29</f>
        <v>135</v>
      </c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>
        <f t="shared" si="14"/>
        <v>135</v>
      </c>
      <c r="S107" s="97"/>
      <c r="T107" s="97"/>
      <c r="U107" s="97"/>
      <c r="V107" s="97"/>
      <c r="W107" s="97"/>
      <c r="X107" s="100">
        <f t="shared" si="2"/>
        <v>0</v>
      </c>
      <c r="Y107" s="365">
        <f t="shared" si="3"/>
        <v>135</v>
      </c>
      <c r="Z107" s="377"/>
      <c r="AA107" s="348"/>
      <c r="AB107" s="85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</row>
    <row r="108" spans="1:74" ht="16.5" hidden="1" customHeight="1" x14ac:dyDescent="0.2">
      <c r="A108" s="26"/>
      <c r="B108" s="74" t="s">
        <v>81</v>
      </c>
      <c r="C108" s="96" t="s">
        <v>149</v>
      </c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>
        <f t="shared" si="14"/>
        <v>0</v>
      </c>
      <c r="S108" s="97"/>
      <c r="T108" s="97"/>
      <c r="U108" s="97"/>
      <c r="V108" s="97"/>
      <c r="W108" s="97"/>
      <c r="X108" s="100">
        <f t="shared" si="2"/>
        <v>0</v>
      </c>
      <c r="Y108" s="365">
        <f t="shared" si="3"/>
        <v>0</v>
      </c>
      <c r="Z108" s="377"/>
      <c r="AA108" s="348"/>
      <c r="AB108" s="85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</row>
    <row r="109" spans="1:74" ht="16.5" hidden="1" customHeight="1" x14ac:dyDescent="0.2">
      <c r="A109" s="26"/>
      <c r="B109" s="74" t="s">
        <v>310</v>
      </c>
      <c r="C109" s="96" t="s">
        <v>149</v>
      </c>
      <c r="D109" s="97">
        <v>3632</v>
      </c>
      <c r="E109" s="97">
        <v>1327</v>
      </c>
      <c r="F109" s="97">
        <v>575</v>
      </c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>
        <f t="shared" si="14"/>
        <v>5534</v>
      </c>
      <c r="S109" s="97"/>
      <c r="T109" s="97"/>
      <c r="U109" s="97"/>
      <c r="V109" s="97"/>
      <c r="W109" s="97"/>
      <c r="X109" s="100">
        <f>SUM(T109:W109)</f>
        <v>0</v>
      </c>
      <c r="Y109" s="365">
        <f>R109+X109</f>
        <v>5534</v>
      </c>
      <c r="Z109" s="377"/>
      <c r="AA109" s="348"/>
      <c r="AB109" s="85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</row>
    <row r="110" spans="1:74" ht="16.5" hidden="1" customHeight="1" x14ac:dyDescent="0.2">
      <c r="A110" s="26"/>
      <c r="B110" s="74" t="s">
        <v>60</v>
      </c>
      <c r="C110" s="96" t="s">
        <v>149</v>
      </c>
      <c r="D110" s="97"/>
      <c r="E110" s="97"/>
      <c r="F110" s="97">
        <f>13006+3463</f>
        <v>16469</v>
      </c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>
        <f t="shared" si="14"/>
        <v>16469</v>
      </c>
      <c r="S110" s="97"/>
      <c r="T110" s="97"/>
      <c r="U110" s="97"/>
      <c r="V110" s="97"/>
      <c r="W110" s="97"/>
      <c r="X110" s="100">
        <f t="shared" si="2"/>
        <v>0</v>
      </c>
      <c r="Y110" s="365">
        <f t="shared" si="3"/>
        <v>16469</v>
      </c>
      <c r="Z110" s="377"/>
      <c r="AA110" s="348"/>
      <c r="AB110" s="85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</row>
    <row r="111" spans="1:74" ht="16.5" hidden="1" customHeight="1" x14ac:dyDescent="0.2">
      <c r="A111" s="26"/>
      <c r="B111" s="75" t="s">
        <v>25</v>
      </c>
      <c r="C111" s="98" t="s">
        <v>149</v>
      </c>
      <c r="D111" s="97">
        <v>2650</v>
      </c>
      <c r="E111" s="97">
        <v>716</v>
      </c>
      <c r="F111" s="97">
        <f>1394</f>
        <v>1394</v>
      </c>
      <c r="G111" s="97">
        <v>740</v>
      </c>
      <c r="H111" s="97"/>
      <c r="I111" s="97"/>
      <c r="J111" s="97">
        <f>30500+2820</f>
        <v>33320</v>
      </c>
      <c r="K111" s="97"/>
      <c r="L111" s="97"/>
      <c r="M111" s="97"/>
      <c r="N111" s="97"/>
      <c r="O111" s="97"/>
      <c r="P111" s="97"/>
      <c r="Q111" s="97"/>
      <c r="R111" s="97">
        <f t="shared" si="14"/>
        <v>38820</v>
      </c>
      <c r="S111" s="97"/>
      <c r="T111" s="97"/>
      <c r="U111" s="97"/>
      <c r="V111" s="97"/>
      <c r="W111" s="97"/>
      <c r="X111" s="100">
        <f t="shared" si="2"/>
        <v>0</v>
      </c>
      <c r="Y111" s="365">
        <f t="shared" si="3"/>
        <v>38820</v>
      </c>
      <c r="Z111" s="377"/>
      <c r="AA111" s="348"/>
      <c r="AB111" s="85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</row>
    <row r="112" spans="1:74" ht="16.5" hidden="1" customHeight="1" x14ac:dyDescent="0.2">
      <c r="A112" s="26"/>
      <c r="B112" s="75" t="s">
        <v>71</v>
      </c>
      <c r="C112" s="98" t="s">
        <v>149</v>
      </c>
      <c r="D112" s="97"/>
      <c r="E112" s="97"/>
      <c r="F112" s="97">
        <f>8063+2177</f>
        <v>10240</v>
      </c>
      <c r="G112" s="97"/>
      <c r="H112" s="97"/>
      <c r="I112" s="97"/>
      <c r="J112" s="97"/>
      <c r="K112" s="97"/>
      <c r="L112" s="97">
        <f>2043+551+4753+1283</f>
        <v>8630</v>
      </c>
      <c r="M112" s="97">
        <f>1067+289</f>
        <v>1356</v>
      </c>
      <c r="N112" s="97"/>
      <c r="O112" s="97"/>
      <c r="P112" s="97"/>
      <c r="Q112" s="97"/>
      <c r="R112" s="97">
        <f t="shared" si="14"/>
        <v>20226</v>
      </c>
      <c r="S112" s="97"/>
      <c r="T112" s="97"/>
      <c r="U112" s="97"/>
      <c r="V112" s="97"/>
      <c r="W112" s="97"/>
      <c r="X112" s="100">
        <f t="shared" si="2"/>
        <v>0</v>
      </c>
      <c r="Y112" s="365">
        <f t="shared" si="3"/>
        <v>20226</v>
      </c>
      <c r="Z112" s="377">
        <v>39432</v>
      </c>
      <c r="AA112" s="348"/>
      <c r="AB112" s="85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</row>
    <row r="113" spans="1:74" ht="16.5" hidden="1" customHeight="1" x14ac:dyDescent="0.2">
      <c r="A113" s="26"/>
      <c r="B113" s="75" t="s">
        <v>26</v>
      </c>
      <c r="C113" s="98" t="s">
        <v>149</v>
      </c>
      <c r="D113" s="97"/>
      <c r="E113" s="97"/>
      <c r="F113" s="97"/>
      <c r="G113" s="97"/>
      <c r="H113" s="97"/>
      <c r="I113" s="97"/>
      <c r="J113" s="97">
        <v>5742</v>
      </c>
      <c r="K113" s="97"/>
      <c r="L113" s="97"/>
      <c r="M113" s="97"/>
      <c r="N113" s="97"/>
      <c r="O113" s="97">
        <v>3183</v>
      </c>
      <c r="P113" s="97"/>
      <c r="Q113" s="97"/>
      <c r="R113" s="97">
        <f t="shared" si="14"/>
        <v>8925</v>
      </c>
      <c r="S113" s="97"/>
      <c r="T113" s="97"/>
      <c r="U113" s="97"/>
      <c r="V113" s="97"/>
      <c r="W113" s="97"/>
      <c r="X113" s="100">
        <f t="shared" si="2"/>
        <v>0</v>
      </c>
      <c r="Y113" s="365">
        <f t="shared" si="3"/>
        <v>8925</v>
      </c>
      <c r="Z113" s="377"/>
      <c r="AA113" s="348"/>
      <c r="AB113" s="85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</row>
    <row r="114" spans="1:74" ht="16.5" hidden="1" customHeight="1" x14ac:dyDescent="0.2">
      <c r="A114" s="26"/>
      <c r="B114" s="32">
        <v>103</v>
      </c>
      <c r="C114" s="98" t="s">
        <v>149</v>
      </c>
      <c r="D114" s="97"/>
      <c r="E114" s="97"/>
      <c r="F114" s="97"/>
      <c r="G114" s="97"/>
      <c r="H114" s="97"/>
      <c r="I114" s="97"/>
      <c r="J114" s="97"/>
      <c r="K114" s="97"/>
      <c r="L114" s="97"/>
      <c r="M114" s="97">
        <f>632+171</f>
        <v>803</v>
      </c>
      <c r="N114" s="97"/>
      <c r="O114" s="97"/>
      <c r="P114" s="97"/>
      <c r="Q114" s="97"/>
      <c r="R114" s="97">
        <f t="shared" si="14"/>
        <v>803</v>
      </c>
      <c r="S114" s="97"/>
      <c r="T114" s="97"/>
      <c r="U114" s="97"/>
      <c r="V114" s="97"/>
      <c r="W114" s="97"/>
      <c r="X114" s="100">
        <f t="shared" si="2"/>
        <v>0</v>
      </c>
      <c r="Y114" s="365">
        <f t="shared" si="3"/>
        <v>803</v>
      </c>
      <c r="Z114" s="377"/>
      <c r="AA114" s="348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</row>
    <row r="115" spans="1:74" ht="16.5" hidden="1" customHeight="1" x14ac:dyDescent="0.2">
      <c r="A115" s="26"/>
      <c r="B115" s="32">
        <v>105</v>
      </c>
      <c r="C115" s="98" t="s">
        <v>149</v>
      </c>
      <c r="D115" s="97"/>
      <c r="E115" s="97"/>
      <c r="F115" s="97">
        <f>2730+737</f>
        <v>3467</v>
      </c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>
        <f t="shared" si="14"/>
        <v>3467</v>
      </c>
      <c r="S115" s="97"/>
      <c r="T115" s="97"/>
      <c r="U115" s="97"/>
      <c r="V115" s="97"/>
      <c r="W115" s="97"/>
      <c r="X115" s="100">
        <f t="shared" si="2"/>
        <v>0</v>
      </c>
      <c r="Y115" s="365">
        <f t="shared" si="3"/>
        <v>3467</v>
      </c>
      <c r="Z115" s="377"/>
      <c r="AA115" s="348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</row>
    <row r="116" spans="1:74" ht="16.5" hidden="1" customHeight="1" x14ac:dyDescent="0.2">
      <c r="A116" s="26"/>
      <c r="B116" s="32">
        <v>106</v>
      </c>
      <c r="C116" s="98" t="s">
        <v>149</v>
      </c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>
        <f t="shared" si="14"/>
        <v>0</v>
      </c>
      <c r="S116" s="97"/>
      <c r="T116" s="97"/>
      <c r="U116" s="97"/>
      <c r="V116" s="97"/>
      <c r="W116" s="97"/>
      <c r="X116" s="100">
        <f t="shared" si="2"/>
        <v>0</v>
      </c>
      <c r="Y116" s="365">
        <f t="shared" si="3"/>
        <v>0</v>
      </c>
      <c r="Z116" s="377"/>
      <c r="AA116" s="348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</row>
    <row r="117" spans="1:74" ht="16.5" hidden="1" customHeight="1" x14ac:dyDescent="0.2">
      <c r="A117" s="26"/>
      <c r="B117" s="32">
        <v>111</v>
      </c>
      <c r="C117" s="98" t="s">
        <v>149</v>
      </c>
      <c r="D117" s="97"/>
      <c r="E117" s="97"/>
      <c r="F117" s="97">
        <f>462+125</f>
        <v>587</v>
      </c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>
        <f>11182+170542</f>
        <v>181724</v>
      </c>
      <c r="R117" s="97">
        <f t="shared" si="14"/>
        <v>182311</v>
      </c>
      <c r="S117" s="97"/>
      <c r="T117" s="97"/>
      <c r="U117" s="97"/>
      <c r="V117" s="97"/>
      <c r="W117" s="97"/>
      <c r="X117" s="100">
        <f t="shared" si="2"/>
        <v>0</v>
      </c>
      <c r="Y117" s="365">
        <f t="shared" si="3"/>
        <v>182311</v>
      </c>
      <c r="Z117" s="377"/>
      <c r="AA117" s="348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</row>
    <row r="118" spans="1:74" ht="16.5" hidden="1" customHeight="1" x14ac:dyDescent="0.2">
      <c r="A118" s="26"/>
      <c r="B118" s="32">
        <v>112</v>
      </c>
      <c r="C118" s="98" t="s">
        <v>149</v>
      </c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>
        <f t="shared" si="14"/>
        <v>0</v>
      </c>
      <c r="S118" s="97"/>
      <c r="T118" s="97"/>
      <c r="U118" s="97"/>
      <c r="V118" s="97"/>
      <c r="W118" s="97"/>
      <c r="X118" s="100">
        <f t="shared" si="2"/>
        <v>0</v>
      </c>
      <c r="Y118" s="365">
        <f t="shared" si="3"/>
        <v>0</v>
      </c>
      <c r="Z118" s="377"/>
      <c r="AA118" s="348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</row>
    <row r="119" spans="1:74" ht="16.5" hidden="1" customHeight="1" x14ac:dyDescent="0.2">
      <c r="A119" s="26"/>
      <c r="B119" s="32">
        <v>120</v>
      </c>
      <c r="C119" s="76" t="s">
        <v>149</v>
      </c>
      <c r="D119" s="77"/>
      <c r="E119" s="77"/>
      <c r="F119" s="77">
        <f>80+10037+2162</f>
        <v>12279</v>
      </c>
      <c r="G119" s="77"/>
      <c r="H119" s="77"/>
      <c r="I119" s="78"/>
      <c r="J119" s="78"/>
      <c r="K119" s="78"/>
      <c r="L119" s="78">
        <f>468194+126412</f>
        <v>594606</v>
      </c>
      <c r="M119" s="78"/>
      <c r="N119" s="78"/>
      <c r="O119" s="78"/>
      <c r="P119" s="78"/>
      <c r="Q119" s="78"/>
      <c r="R119" s="78">
        <f t="shared" si="14"/>
        <v>606885</v>
      </c>
      <c r="S119" s="78"/>
      <c r="T119" s="78"/>
      <c r="U119" s="78"/>
      <c r="V119" s="78"/>
      <c r="W119" s="78"/>
      <c r="X119" s="468">
        <f t="shared" si="2"/>
        <v>0</v>
      </c>
      <c r="Y119" s="365">
        <f t="shared" si="3"/>
        <v>606885</v>
      </c>
      <c r="Z119" s="378"/>
      <c r="AA119" s="349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</row>
    <row r="120" spans="1:74" ht="16.5" hidden="1" customHeight="1" x14ac:dyDescent="0.2">
      <c r="A120" s="26"/>
      <c r="B120" s="32">
        <v>121</v>
      </c>
      <c r="C120" s="76" t="s">
        <v>149</v>
      </c>
      <c r="D120" s="77"/>
      <c r="E120" s="77"/>
      <c r="F120" s="97">
        <f>10660+2878+36335+9810+1407+380+15896+4292+6070+1639+825+223+5482+1480+126+34+300+81+8778+2370+1576+1128+304+551+140+820+222+2675+722+659+178</f>
        <v>118041</v>
      </c>
      <c r="G120" s="77"/>
      <c r="H120" s="77"/>
      <c r="I120" s="78"/>
      <c r="J120" s="78"/>
      <c r="K120" s="78"/>
      <c r="L120" s="97">
        <f>5512+1488+7874+2126+117153+31632+131768+35577+14818+4001+14053+3781+113021+30516+4909+1326+8017+2165+2950+767+10014+2704+55369+14950+3000+810+149000+40230+9449+2551+20510+5538+2265+612+23091+6235+5514+1489+22136+5977+108516+29300</f>
        <v>1052714</v>
      </c>
      <c r="M120" s="78"/>
      <c r="N120" s="78"/>
      <c r="O120" s="78"/>
      <c r="P120" s="78"/>
      <c r="Q120" s="78"/>
      <c r="R120" s="78">
        <f t="shared" si="14"/>
        <v>1170755</v>
      </c>
      <c r="S120" s="78"/>
      <c r="T120" s="78"/>
      <c r="U120" s="78"/>
      <c r="V120" s="78"/>
      <c r="W120" s="78"/>
      <c r="X120" s="468">
        <f t="shared" si="2"/>
        <v>0</v>
      </c>
      <c r="Y120" s="365">
        <f t="shared" si="3"/>
        <v>1170755</v>
      </c>
      <c r="Z120" s="378"/>
      <c r="AA120" s="350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</row>
    <row r="121" spans="1:74" ht="16.5" hidden="1" customHeight="1" x14ac:dyDescent="0.2">
      <c r="A121" s="26"/>
      <c r="B121" s="32">
        <v>150</v>
      </c>
      <c r="C121" s="76" t="s">
        <v>149</v>
      </c>
      <c r="D121" s="77"/>
      <c r="E121" s="77"/>
      <c r="F121" s="97">
        <f>515+69</f>
        <v>584</v>
      </c>
      <c r="G121" s="77"/>
      <c r="H121" s="77"/>
      <c r="I121" s="78"/>
      <c r="J121" s="78"/>
      <c r="K121" s="78"/>
      <c r="L121" s="78">
        <f>12522+3391+1572+424</f>
        <v>17909</v>
      </c>
      <c r="M121" s="78"/>
      <c r="N121" s="78"/>
      <c r="O121" s="78"/>
      <c r="P121" s="78"/>
      <c r="Q121" s="78"/>
      <c r="R121" s="78">
        <f t="shared" si="14"/>
        <v>18493</v>
      </c>
      <c r="S121" s="78"/>
      <c r="T121" s="78"/>
      <c r="U121" s="78"/>
      <c r="V121" s="78"/>
      <c r="W121" s="78"/>
      <c r="X121" s="468">
        <f t="shared" si="2"/>
        <v>0</v>
      </c>
      <c r="Y121" s="365">
        <f t="shared" si="3"/>
        <v>18493</v>
      </c>
      <c r="Z121" s="378"/>
      <c r="AA121" s="350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</row>
    <row r="122" spans="1:74" ht="16.5" hidden="1" customHeight="1" x14ac:dyDescent="0.2">
      <c r="A122" s="26"/>
      <c r="B122" s="32">
        <v>180</v>
      </c>
      <c r="C122" s="76" t="s">
        <v>149</v>
      </c>
      <c r="D122" s="77"/>
      <c r="E122" s="77"/>
      <c r="F122" s="97">
        <f>9936+350+95+1377</f>
        <v>11758</v>
      </c>
      <c r="G122" s="77"/>
      <c r="H122" s="77"/>
      <c r="I122" s="78"/>
      <c r="J122" s="78"/>
      <c r="K122" s="78"/>
      <c r="L122" s="78">
        <f>14410+36800+3050+824</f>
        <v>55084</v>
      </c>
      <c r="M122" s="78"/>
      <c r="N122" s="78"/>
      <c r="O122" s="78"/>
      <c r="P122" s="78"/>
      <c r="Q122" s="78"/>
      <c r="R122" s="78">
        <f t="shared" si="14"/>
        <v>66842</v>
      </c>
      <c r="S122" s="78"/>
      <c r="T122" s="78"/>
      <c r="U122" s="78"/>
      <c r="V122" s="78"/>
      <c r="W122" s="78"/>
      <c r="X122" s="468">
        <f t="shared" si="2"/>
        <v>0</v>
      </c>
      <c r="Y122" s="365">
        <f t="shared" si="3"/>
        <v>66842</v>
      </c>
      <c r="Z122" s="378"/>
      <c r="AA122" s="350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</row>
    <row r="123" spans="1:74" ht="16.5" hidden="1" customHeight="1" x14ac:dyDescent="0.2">
      <c r="A123" s="26"/>
      <c r="B123" s="32">
        <v>190</v>
      </c>
      <c r="C123" s="76" t="s">
        <v>149</v>
      </c>
      <c r="D123" s="77"/>
      <c r="E123" s="77"/>
      <c r="F123" s="77"/>
      <c r="G123" s="77"/>
      <c r="H123" s="77"/>
      <c r="I123" s="78"/>
      <c r="J123" s="78"/>
      <c r="K123" s="78"/>
      <c r="L123" s="78"/>
      <c r="M123" s="78"/>
      <c r="N123" s="78"/>
      <c r="O123" s="78"/>
      <c r="P123" s="78"/>
      <c r="Q123" s="78"/>
      <c r="R123" s="78">
        <f t="shared" si="14"/>
        <v>0</v>
      </c>
      <c r="S123" s="78"/>
      <c r="T123" s="78"/>
      <c r="U123" s="78"/>
      <c r="V123" s="78"/>
      <c r="W123" s="78"/>
      <c r="X123" s="468">
        <f t="shared" si="2"/>
        <v>0</v>
      </c>
      <c r="Y123" s="365">
        <f t="shared" si="3"/>
        <v>0</v>
      </c>
      <c r="Z123" s="378"/>
      <c r="AA123" s="350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</row>
    <row r="124" spans="1:74" ht="16.5" hidden="1" customHeight="1" x14ac:dyDescent="0.2">
      <c r="A124" s="26"/>
      <c r="B124" s="32">
        <v>200</v>
      </c>
      <c r="C124" s="76" t="s">
        <v>149</v>
      </c>
      <c r="D124" s="77"/>
      <c r="E124" s="77"/>
      <c r="F124" s="77"/>
      <c r="G124" s="77"/>
      <c r="H124" s="77"/>
      <c r="I124" s="78"/>
      <c r="J124" s="78"/>
      <c r="K124" s="78"/>
      <c r="L124" s="78"/>
      <c r="M124" s="78"/>
      <c r="N124" s="78"/>
      <c r="O124" s="78"/>
      <c r="P124" s="78"/>
      <c r="Q124" s="78"/>
      <c r="R124" s="78">
        <f t="shared" si="14"/>
        <v>0</v>
      </c>
      <c r="S124" s="78"/>
      <c r="T124" s="78"/>
      <c r="U124" s="78"/>
      <c r="V124" s="78"/>
      <c r="W124" s="78"/>
      <c r="X124" s="468">
        <f t="shared" si="2"/>
        <v>0</v>
      </c>
      <c r="Y124" s="365">
        <f t="shared" si="3"/>
        <v>0</v>
      </c>
      <c r="Z124" s="378"/>
      <c r="AA124" s="350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</row>
    <row r="125" spans="1:74" ht="16.5" hidden="1" customHeight="1" x14ac:dyDescent="0.2">
      <c r="A125" s="26"/>
      <c r="B125" s="32">
        <v>220</v>
      </c>
      <c r="C125" s="76" t="s">
        <v>149</v>
      </c>
      <c r="D125" s="77"/>
      <c r="E125" s="77"/>
      <c r="F125" s="77"/>
      <c r="G125" s="77"/>
      <c r="H125" s="77"/>
      <c r="I125" s="78"/>
      <c r="J125" s="78"/>
      <c r="K125" s="78"/>
      <c r="L125" s="78"/>
      <c r="M125" s="78"/>
      <c r="N125" s="79"/>
      <c r="O125" s="78"/>
      <c r="P125" s="78"/>
      <c r="Q125" s="78"/>
      <c r="R125" s="78">
        <f t="shared" si="14"/>
        <v>0</v>
      </c>
      <c r="S125" s="78"/>
      <c r="T125" s="78"/>
      <c r="U125" s="78"/>
      <c r="V125" s="78"/>
      <c r="W125" s="78"/>
      <c r="X125" s="468">
        <f t="shared" si="2"/>
        <v>0</v>
      </c>
      <c r="Y125" s="365">
        <f t="shared" si="3"/>
        <v>0</v>
      </c>
      <c r="Z125" s="378"/>
      <c r="AA125" s="350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</row>
    <row r="126" spans="1:74" ht="16.5" hidden="1" customHeight="1" x14ac:dyDescent="0.2">
      <c r="A126" s="26"/>
      <c r="B126" s="32">
        <v>407</v>
      </c>
      <c r="C126" s="76" t="s">
        <v>149</v>
      </c>
      <c r="D126" s="77"/>
      <c r="E126" s="77"/>
      <c r="F126" s="77"/>
      <c r="G126" s="77"/>
      <c r="H126" s="77"/>
      <c r="I126" s="78"/>
      <c r="J126" s="78"/>
      <c r="K126" s="78"/>
      <c r="L126" s="78"/>
      <c r="M126" s="78"/>
      <c r="N126" s="78"/>
      <c r="O126" s="78"/>
      <c r="P126" s="78"/>
      <c r="Q126" s="78"/>
      <c r="R126" s="78">
        <f t="shared" si="14"/>
        <v>0</v>
      </c>
      <c r="S126" s="78"/>
      <c r="T126" s="78"/>
      <c r="U126" s="78"/>
      <c r="V126" s="78"/>
      <c r="W126" s="78"/>
      <c r="X126" s="468">
        <f t="shared" si="2"/>
        <v>0</v>
      </c>
      <c r="Y126" s="365">
        <f t="shared" si="3"/>
        <v>0</v>
      </c>
      <c r="Z126" s="378"/>
      <c r="AA126" s="350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</row>
    <row r="127" spans="1:74" ht="16.5" hidden="1" customHeight="1" x14ac:dyDescent="0.2">
      <c r="A127" s="26"/>
      <c r="B127" s="32">
        <v>418</v>
      </c>
      <c r="C127" s="76" t="s">
        <v>149</v>
      </c>
      <c r="D127" s="77"/>
      <c r="E127" s="77"/>
      <c r="F127" s="77"/>
      <c r="G127" s="77"/>
      <c r="H127" s="77"/>
      <c r="I127" s="78"/>
      <c r="J127" s="78"/>
      <c r="K127" s="78"/>
      <c r="L127" s="78"/>
      <c r="M127" s="78"/>
      <c r="N127" s="78"/>
      <c r="O127" s="78"/>
      <c r="P127" s="78"/>
      <c r="Q127" s="78"/>
      <c r="R127" s="78">
        <f t="shared" si="14"/>
        <v>0</v>
      </c>
      <c r="S127" s="78"/>
      <c r="T127" s="78"/>
      <c r="U127" s="78"/>
      <c r="V127" s="78"/>
      <c r="W127" s="78"/>
      <c r="X127" s="468">
        <f t="shared" si="2"/>
        <v>0</v>
      </c>
      <c r="Y127" s="365">
        <f t="shared" si="3"/>
        <v>0</v>
      </c>
      <c r="Z127" s="378"/>
      <c r="AA127" s="350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</row>
    <row r="128" spans="1:74" ht="16.5" hidden="1" customHeight="1" x14ac:dyDescent="0.2">
      <c r="A128" s="26"/>
      <c r="B128" s="32">
        <v>419</v>
      </c>
      <c r="C128" s="76" t="s">
        <v>149</v>
      </c>
      <c r="D128" s="77"/>
      <c r="E128" s="77"/>
      <c r="F128" s="77"/>
      <c r="G128" s="77"/>
      <c r="H128" s="77"/>
      <c r="I128" s="78"/>
      <c r="J128" s="78"/>
      <c r="K128" s="78"/>
      <c r="L128" s="78"/>
      <c r="M128" s="78"/>
      <c r="N128" s="78"/>
      <c r="O128" s="78"/>
      <c r="P128" s="78"/>
      <c r="Q128" s="78"/>
      <c r="R128" s="78">
        <f t="shared" si="14"/>
        <v>0</v>
      </c>
      <c r="S128" s="78"/>
      <c r="T128" s="78"/>
      <c r="U128" s="78"/>
      <c r="V128" s="78"/>
      <c r="W128" s="78"/>
      <c r="X128" s="468">
        <f t="shared" si="2"/>
        <v>0</v>
      </c>
      <c r="Y128" s="365">
        <f t="shared" si="3"/>
        <v>0</v>
      </c>
      <c r="Z128" s="378"/>
      <c r="AA128" s="350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</row>
    <row r="129" spans="1:74" ht="16.5" hidden="1" customHeight="1" x14ac:dyDescent="0.2">
      <c r="A129" s="26"/>
      <c r="B129" s="32">
        <v>420</v>
      </c>
      <c r="C129" s="76" t="s">
        <v>149</v>
      </c>
      <c r="D129" s="77"/>
      <c r="E129" s="77"/>
      <c r="F129" s="77"/>
      <c r="G129" s="77"/>
      <c r="H129" s="77"/>
      <c r="I129" s="78"/>
      <c r="J129" s="78"/>
      <c r="K129" s="78"/>
      <c r="L129" s="78">
        <f>27800+7506</f>
        <v>35306</v>
      </c>
      <c r="M129" s="78"/>
      <c r="N129" s="78"/>
      <c r="O129" s="78"/>
      <c r="P129" s="78"/>
      <c r="Q129" s="78"/>
      <c r="R129" s="78">
        <f t="shared" si="14"/>
        <v>35306</v>
      </c>
      <c r="S129" s="78"/>
      <c r="T129" s="78"/>
      <c r="U129" s="78"/>
      <c r="V129" s="78"/>
      <c r="W129" s="78"/>
      <c r="X129" s="468">
        <f t="shared" si="2"/>
        <v>0</v>
      </c>
      <c r="Y129" s="365">
        <f t="shared" si="3"/>
        <v>35306</v>
      </c>
      <c r="Z129" s="378"/>
      <c r="AA129" s="350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</row>
    <row r="130" spans="1:74" ht="16.5" hidden="1" customHeight="1" x14ac:dyDescent="0.2">
      <c r="A130" s="26"/>
      <c r="B130" s="32">
        <v>423</v>
      </c>
      <c r="C130" s="76" t="s">
        <v>149</v>
      </c>
      <c r="D130" s="77"/>
      <c r="E130" s="77"/>
      <c r="F130" s="77">
        <f>6985+122</f>
        <v>7107</v>
      </c>
      <c r="G130" s="77"/>
      <c r="H130" s="77"/>
      <c r="I130" s="78"/>
      <c r="J130" s="78"/>
      <c r="K130" s="78"/>
      <c r="L130" s="78">
        <f>24706</f>
        <v>24706</v>
      </c>
      <c r="M130" s="78"/>
      <c r="N130" s="78"/>
      <c r="O130" s="78"/>
      <c r="P130" s="78"/>
      <c r="Q130" s="78"/>
      <c r="R130" s="78">
        <f t="shared" si="14"/>
        <v>31813</v>
      </c>
      <c r="S130" s="78"/>
      <c r="T130" s="78"/>
      <c r="U130" s="78"/>
      <c r="V130" s="78"/>
      <c r="W130" s="78"/>
      <c r="X130" s="468">
        <f t="shared" si="2"/>
        <v>0</v>
      </c>
      <c r="Y130" s="365">
        <f t="shared" si="3"/>
        <v>31813</v>
      </c>
      <c r="Z130" s="378"/>
      <c r="AA130" s="350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</row>
    <row r="131" spans="1:74" ht="16.5" hidden="1" customHeight="1" x14ac:dyDescent="0.2">
      <c r="A131" s="26"/>
      <c r="B131" s="32">
        <v>424</v>
      </c>
      <c r="C131" s="76" t="s">
        <v>149</v>
      </c>
      <c r="D131" s="77"/>
      <c r="E131" s="77"/>
      <c r="F131" s="77"/>
      <c r="G131" s="77"/>
      <c r="H131" s="77"/>
      <c r="I131" s="78"/>
      <c r="J131" s="78"/>
      <c r="K131" s="78"/>
      <c r="L131" s="78">
        <f>6001+1620</f>
        <v>7621</v>
      </c>
      <c r="M131" s="78"/>
      <c r="N131" s="78"/>
      <c r="O131" s="78"/>
      <c r="P131" s="78"/>
      <c r="Q131" s="78"/>
      <c r="R131" s="78">
        <f t="shared" si="14"/>
        <v>7621</v>
      </c>
      <c r="S131" s="78"/>
      <c r="T131" s="78"/>
      <c r="U131" s="78"/>
      <c r="V131" s="78"/>
      <c r="W131" s="78"/>
      <c r="X131" s="468">
        <f t="shared" si="2"/>
        <v>0</v>
      </c>
      <c r="Y131" s="365">
        <f t="shared" si="3"/>
        <v>7621</v>
      </c>
      <c r="Z131" s="378"/>
      <c r="AA131" s="350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</row>
    <row r="132" spans="1:74" ht="16.5" hidden="1" customHeight="1" x14ac:dyDescent="0.2">
      <c r="A132" s="26"/>
      <c r="B132" s="32"/>
      <c r="C132" s="76" t="s">
        <v>149</v>
      </c>
      <c r="D132" s="77"/>
      <c r="E132" s="77"/>
      <c r="F132" s="77"/>
      <c r="G132" s="77"/>
      <c r="H132" s="77"/>
      <c r="I132" s="78"/>
      <c r="J132" s="78"/>
      <c r="K132" s="78"/>
      <c r="L132" s="78"/>
      <c r="M132" s="78"/>
      <c r="N132" s="78"/>
      <c r="O132" s="78"/>
      <c r="P132" s="78"/>
      <c r="Q132" s="78"/>
      <c r="R132" s="78">
        <f t="shared" si="14"/>
        <v>0</v>
      </c>
      <c r="S132" s="78"/>
      <c r="T132" s="78"/>
      <c r="U132" s="78"/>
      <c r="V132" s="78"/>
      <c r="W132" s="78"/>
      <c r="X132" s="468">
        <f t="shared" ref="X132:X218" si="15">SUM(T132:W132)</f>
        <v>0</v>
      </c>
      <c r="Y132" s="365">
        <f t="shared" ref="Y132:Y218" si="16">R132+X132</f>
        <v>0</v>
      </c>
      <c r="Z132" s="378"/>
      <c r="AA132" s="350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</row>
    <row r="133" spans="1:74" ht="16.5" hidden="1" customHeight="1" x14ac:dyDescent="0.2">
      <c r="A133" s="26"/>
      <c r="B133" s="32"/>
      <c r="C133" s="76" t="s">
        <v>149</v>
      </c>
      <c r="D133" s="77"/>
      <c r="E133" s="77"/>
      <c r="F133" s="77"/>
      <c r="G133" s="77"/>
      <c r="H133" s="77"/>
      <c r="I133" s="78"/>
      <c r="J133" s="78"/>
      <c r="K133" s="78"/>
      <c r="L133" s="78"/>
      <c r="M133" s="78"/>
      <c r="N133" s="78"/>
      <c r="O133" s="78"/>
      <c r="P133" s="78"/>
      <c r="Q133" s="78"/>
      <c r="R133" s="78">
        <f t="shared" si="14"/>
        <v>0</v>
      </c>
      <c r="S133" s="78"/>
      <c r="T133" s="78"/>
      <c r="U133" s="78"/>
      <c r="V133" s="78"/>
      <c r="W133" s="78"/>
      <c r="X133" s="468">
        <f t="shared" si="15"/>
        <v>0</v>
      </c>
      <c r="Y133" s="365">
        <f t="shared" si="16"/>
        <v>0</v>
      </c>
      <c r="Z133" s="378"/>
      <c r="AA133" s="350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</row>
    <row r="134" spans="1:74" ht="16.5" hidden="1" customHeight="1" x14ac:dyDescent="0.2">
      <c r="A134" s="26"/>
      <c r="B134" s="32"/>
      <c r="C134" s="76" t="s">
        <v>149</v>
      </c>
      <c r="D134" s="77"/>
      <c r="E134" s="77"/>
      <c r="F134" s="77"/>
      <c r="G134" s="77"/>
      <c r="H134" s="77"/>
      <c r="I134" s="78"/>
      <c r="J134" s="78"/>
      <c r="K134" s="78"/>
      <c r="L134" s="78"/>
      <c r="M134" s="78"/>
      <c r="N134" s="78"/>
      <c r="O134" s="78"/>
      <c r="P134" s="78"/>
      <c r="Q134" s="78"/>
      <c r="R134" s="78">
        <f t="shared" si="14"/>
        <v>0</v>
      </c>
      <c r="S134" s="78"/>
      <c r="T134" s="78"/>
      <c r="U134" s="78"/>
      <c r="V134" s="78"/>
      <c r="W134" s="78"/>
      <c r="X134" s="468">
        <f t="shared" si="15"/>
        <v>0</v>
      </c>
      <c r="Y134" s="365">
        <f t="shared" si="16"/>
        <v>0</v>
      </c>
      <c r="Z134" s="378"/>
      <c r="AA134" s="350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</row>
    <row r="135" spans="1:74" ht="16.5" hidden="1" customHeight="1" x14ac:dyDescent="0.2">
      <c r="A135" s="26"/>
      <c r="B135" s="32"/>
      <c r="C135" s="76" t="s">
        <v>149</v>
      </c>
      <c r="D135" s="77"/>
      <c r="E135" s="77"/>
      <c r="F135" s="77"/>
      <c r="G135" s="77"/>
      <c r="H135" s="77"/>
      <c r="I135" s="78"/>
      <c r="J135" s="78"/>
      <c r="K135" s="78"/>
      <c r="L135" s="78"/>
      <c r="M135" s="78"/>
      <c r="N135" s="78"/>
      <c r="O135" s="78"/>
      <c r="P135" s="78"/>
      <c r="Q135" s="78"/>
      <c r="R135" s="78">
        <f t="shared" si="14"/>
        <v>0</v>
      </c>
      <c r="S135" s="78"/>
      <c r="T135" s="78"/>
      <c r="U135" s="78"/>
      <c r="V135" s="78"/>
      <c r="W135" s="78"/>
      <c r="X135" s="468">
        <f t="shared" si="15"/>
        <v>0</v>
      </c>
      <c r="Y135" s="365">
        <f t="shared" si="16"/>
        <v>0</v>
      </c>
      <c r="Z135" s="378"/>
      <c r="AA135" s="350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</row>
    <row r="136" spans="1:74" ht="16.5" hidden="1" customHeight="1" x14ac:dyDescent="0.2">
      <c r="A136" s="26"/>
      <c r="B136" s="317"/>
      <c r="C136" s="76" t="s">
        <v>149</v>
      </c>
      <c r="D136" s="315"/>
      <c r="E136" s="315"/>
      <c r="F136" s="315"/>
      <c r="G136" s="315"/>
      <c r="H136" s="315"/>
      <c r="I136" s="316"/>
      <c r="J136" s="316"/>
      <c r="K136" s="316"/>
      <c r="L136" s="316"/>
      <c r="M136" s="316"/>
      <c r="N136" s="316"/>
      <c r="O136" s="316"/>
      <c r="P136" s="316"/>
      <c r="Q136" s="316"/>
      <c r="R136" s="78">
        <f t="shared" si="14"/>
        <v>0</v>
      </c>
      <c r="S136" s="316"/>
      <c r="T136" s="316"/>
      <c r="U136" s="316"/>
      <c r="V136" s="316"/>
      <c r="W136" s="316"/>
      <c r="X136" s="469">
        <f t="shared" si="15"/>
        <v>0</v>
      </c>
      <c r="Y136" s="365">
        <f t="shared" si="16"/>
        <v>0</v>
      </c>
      <c r="Z136" s="379"/>
      <c r="AA136" s="350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</row>
    <row r="137" spans="1:74" ht="16.5" hidden="1" customHeight="1" x14ac:dyDescent="0.2">
      <c r="A137" s="26"/>
      <c r="B137" s="319"/>
      <c r="C137" s="76" t="s">
        <v>149</v>
      </c>
      <c r="D137" s="315"/>
      <c r="E137" s="315"/>
      <c r="F137" s="315"/>
      <c r="G137" s="315"/>
      <c r="H137" s="315"/>
      <c r="I137" s="316"/>
      <c r="J137" s="316"/>
      <c r="K137" s="316"/>
      <c r="L137" s="316"/>
      <c r="M137" s="316"/>
      <c r="N137" s="316"/>
      <c r="O137" s="316"/>
      <c r="P137" s="316"/>
      <c r="Q137" s="316"/>
      <c r="R137" s="78">
        <f t="shared" si="14"/>
        <v>0</v>
      </c>
      <c r="S137" s="316"/>
      <c r="T137" s="316"/>
      <c r="U137" s="316"/>
      <c r="V137" s="316"/>
      <c r="W137" s="316"/>
      <c r="X137" s="469">
        <f t="shared" si="15"/>
        <v>0</v>
      </c>
      <c r="Y137" s="365">
        <f t="shared" si="16"/>
        <v>0</v>
      </c>
      <c r="Z137" s="379"/>
      <c r="AA137" s="350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</row>
    <row r="138" spans="1:74" ht="17.25" hidden="1" customHeight="1" thickBot="1" x14ac:dyDescent="0.25">
      <c r="A138" s="153"/>
      <c r="B138" s="318"/>
      <c r="C138" s="148"/>
      <c r="D138" s="149"/>
      <c r="E138" s="149"/>
      <c r="F138" s="149"/>
      <c r="G138" s="149"/>
      <c r="H138" s="149"/>
      <c r="I138" s="150"/>
      <c r="J138" s="150"/>
      <c r="K138" s="150"/>
      <c r="L138" s="150"/>
      <c r="M138" s="150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470">
        <f t="shared" si="15"/>
        <v>0</v>
      </c>
      <c r="Y138" s="366">
        <f t="shared" si="16"/>
        <v>0</v>
      </c>
      <c r="Z138" s="380"/>
      <c r="AA138" s="351"/>
      <c r="AB138" s="134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</row>
    <row r="139" spans="1:74" s="81" customFormat="1" ht="30" hidden="1" customHeight="1" thickTop="1" thickBot="1" x14ac:dyDescent="0.25">
      <c r="A139" s="152"/>
      <c r="B139" s="147"/>
      <c r="C139" s="39" t="s">
        <v>311</v>
      </c>
      <c r="D139" s="52">
        <f t="shared" ref="D139:Q139" si="17">SUM(D96:D138)</f>
        <v>6453</v>
      </c>
      <c r="E139" s="52">
        <f t="shared" si="17"/>
        <v>2089</v>
      </c>
      <c r="F139" s="52">
        <f t="shared" si="17"/>
        <v>217484</v>
      </c>
      <c r="G139" s="52">
        <f t="shared" si="17"/>
        <v>740</v>
      </c>
      <c r="H139" s="52">
        <f t="shared" si="17"/>
        <v>0</v>
      </c>
      <c r="I139" s="52">
        <f t="shared" si="17"/>
        <v>175</v>
      </c>
      <c r="J139" s="52">
        <f t="shared" si="17"/>
        <v>39147</v>
      </c>
      <c r="K139" s="52">
        <f t="shared" si="17"/>
        <v>998653.20600000001</v>
      </c>
      <c r="L139" s="52">
        <f t="shared" si="17"/>
        <v>1796576</v>
      </c>
      <c r="M139" s="52">
        <f t="shared" si="17"/>
        <v>2159</v>
      </c>
      <c r="N139" s="52">
        <f t="shared" si="17"/>
        <v>0</v>
      </c>
      <c r="O139" s="52">
        <f t="shared" si="17"/>
        <v>3183</v>
      </c>
      <c r="P139" s="52">
        <f t="shared" si="17"/>
        <v>0</v>
      </c>
      <c r="Q139" s="52">
        <f t="shared" si="17"/>
        <v>181724</v>
      </c>
      <c r="R139" s="52">
        <f t="shared" ref="R139:R225" si="18">SUM(D139:Q139)</f>
        <v>3248383.2060000002</v>
      </c>
      <c r="S139" s="52"/>
      <c r="T139" s="52">
        <f>SUM(T96:T138)</f>
        <v>0</v>
      </c>
      <c r="U139" s="52">
        <f>SUM(U96:U138)</f>
        <v>650000</v>
      </c>
      <c r="V139" s="52">
        <f>SUM(V96:V138)</f>
        <v>54061.391000000003</v>
      </c>
      <c r="W139" s="52">
        <f>SUM(W96:W138)</f>
        <v>0</v>
      </c>
      <c r="X139" s="471">
        <f t="shared" si="15"/>
        <v>704061.39100000006</v>
      </c>
      <c r="Y139" s="367">
        <f t="shared" si="16"/>
        <v>3952444.5970000001</v>
      </c>
      <c r="Z139" s="381">
        <f>SUM(Z96:Z138)</f>
        <v>95133</v>
      </c>
      <c r="AA139" s="346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</row>
    <row r="140" spans="1:74" ht="35.1" hidden="1" customHeight="1" thickTop="1" thickBot="1" x14ac:dyDescent="0.35">
      <c r="A140" s="702"/>
      <c r="B140" s="703" t="s">
        <v>180</v>
      </c>
      <c r="C140" s="557" t="s">
        <v>313</v>
      </c>
      <c r="D140" s="704">
        <f t="shared" ref="D140:Q140" si="19">D95+D139</f>
        <v>142205</v>
      </c>
      <c r="E140" s="704">
        <f t="shared" si="19"/>
        <v>39229</v>
      </c>
      <c r="F140" s="705">
        <f t="shared" si="19"/>
        <v>4711416.8360000001</v>
      </c>
      <c r="G140" s="705">
        <f t="shared" si="19"/>
        <v>237721.74</v>
      </c>
      <c r="H140" s="705">
        <f t="shared" si="19"/>
        <v>8000</v>
      </c>
      <c r="I140" s="705">
        <f t="shared" si="19"/>
        <v>47855</v>
      </c>
      <c r="J140" s="704">
        <f t="shared" si="19"/>
        <v>655182</v>
      </c>
      <c r="K140" s="704">
        <f t="shared" si="19"/>
        <v>2155876.5580000002</v>
      </c>
      <c r="L140" s="704">
        <f t="shared" si="19"/>
        <v>3748346</v>
      </c>
      <c r="M140" s="704">
        <f t="shared" si="19"/>
        <v>52658</v>
      </c>
      <c r="N140" s="704">
        <f t="shared" si="19"/>
        <v>68837</v>
      </c>
      <c r="O140" s="705">
        <f t="shared" si="19"/>
        <v>13183</v>
      </c>
      <c r="P140" s="704">
        <f t="shared" si="19"/>
        <v>0</v>
      </c>
      <c r="Q140" s="704">
        <f t="shared" si="19"/>
        <v>482195</v>
      </c>
      <c r="R140" s="704">
        <f t="shared" si="18"/>
        <v>12362705.134</v>
      </c>
      <c r="S140" s="704"/>
      <c r="T140" s="704">
        <f>T95+T139</f>
        <v>0</v>
      </c>
      <c r="U140" s="704">
        <f>U95+U139</f>
        <v>4550000</v>
      </c>
      <c r="V140" s="704">
        <f>V95+V139</f>
        <v>54061.391000000003</v>
      </c>
      <c r="W140" s="704">
        <f>W95+W139</f>
        <v>0</v>
      </c>
      <c r="X140" s="706">
        <f t="shared" si="15"/>
        <v>4604061.3909999998</v>
      </c>
      <c r="Y140" s="706">
        <f t="shared" si="16"/>
        <v>16966766.524999999</v>
      </c>
      <c r="Z140" s="707">
        <f>Z95+Z139</f>
        <v>6259243.4120000005</v>
      </c>
      <c r="AA140" s="346"/>
      <c r="AB140" s="85">
        <f>Y140+Z140</f>
        <v>23226009.936999999</v>
      </c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</row>
    <row r="141" spans="1:74" ht="24.95" hidden="1" customHeight="1" x14ac:dyDescent="0.25">
      <c r="A141" s="708"/>
      <c r="B141" s="709"/>
      <c r="C141" s="64" t="s">
        <v>18</v>
      </c>
      <c r="D141" s="155">
        <f t="shared" ref="D141:W141" si="20">D140</f>
        <v>142205</v>
      </c>
      <c r="E141" s="155">
        <f>E140</f>
        <v>39229</v>
      </c>
      <c r="F141" s="155">
        <f>F140</f>
        <v>4711416.8360000001</v>
      </c>
      <c r="G141" s="155">
        <f>G140</f>
        <v>237721.74</v>
      </c>
      <c r="H141" s="155">
        <f t="shared" si="20"/>
        <v>8000</v>
      </c>
      <c r="I141" s="155">
        <f t="shared" si="20"/>
        <v>47855</v>
      </c>
      <c r="J141" s="155">
        <f t="shared" si="20"/>
        <v>655182</v>
      </c>
      <c r="K141" s="155">
        <f>K140</f>
        <v>2155876.5580000002</v>
      </c>
      <c r="L141" s="155">
        <f>L140</f>
        <v>3748346</v>
      </c>
      <c r="M141" s="155">
        <f t="shared" si="20"/>
        <v>52658</v>
      </c>
      <c r="N141" s="155">
        <f t="shared" si="20"/>
        <v>68837</v>
      </c>
      <c r="O141" s="155">
        <f t="shared" si="20"/>
        <v>13183</v>
      </c>
      <c r="P141" s="155">
        <f t="shared" si="20"/>
        <v>0</v>
      </c>
      <c r="Q141" s="155">
        <f t="shared" si="20"/>
        <v>482195</v>
      </c>
      <c r="R141" s="155">
        <f t="shared" si="18"/>
        <v>12362705.134</v>
      </c>
      <c r="S141" s="155"/>
      <c r="T141" s="155">
        <f t="shared" si="20"/>
        <v>0</v>
      </c>
      <c r="U141" s="155">
        <f>U140</f>
        <v>4550000</v>
      </c>
      <c r="V141" s="155">
        <f>V140</f>
        <v>54061.391000000003</v>
      </c>
      <c r="W141" s="155">
        <f t="shared" si="20"/>
        <v>0</v>
      </c>
      <c r="X141" s="156">
        <f t="shared" si="15"/>
        <v>4604061.3909999998</v>
      </c>
      <c r="Y141" s="710">
        <f t="shared" si="16"/>
        <v>16966766.524999999</v>
      </c>
      <c r="Z141" s="249">
        <f>Z140</f>
        <v>6259243.4120000005</v>
      </c>
      <c r="AA141" s="352"/>
    </row>
    <row r="142" spans="1:74" ht="24" hidden="1" customHeight="1" x14ac:dyDescent="0.2">
      <c r="A142" s="82">
        <v>1</v>
      </c>
      <c r="B142" s="497" t="s">
        <v>376</v>
      </c>
      <c r="C142" s="28" t="s">
        <v>375</v>
      </c>
      <c r="D142" s="164"/>
      <c r="E142" s="164"/>
      <c r="F142" s="159">
        <f>3500</f>
        <v>3500</v>
      </c>
      <c r="G142" s="159"/>
      <c r="H142" s="159"/>
      <c r="I142" s="159"/>
      <c r="J142" s="159"/>
      <c r="K142" s="159">
        <f>-3500</f>
        <v>-3500</v>
      </c>
      <c r="L142" s="159"/>
      <c r="M142" s="159"/>
      <c r="N142" s="159"/>
      <c r="O142" s="159"/>
      <c r="P142" s="159"/>
      <c r="Q142" s="159"/>
      <c r="R142" s="159">
        <f>SUM(D142:Q142)</f>
        <v>0</v>
      </c>
      <c r="S142" s="159"/>
      <c r="T142" s="159"/>
      <c r="U142" s="159"/>
      <c r="W142" s="159"/>
      <c r="X142" s="165">
        <f>SUM(T142:W142)</f>
        <v>0</v>
      </c>
      <c r="Y142" s="239">
        <f>R142+X142</f>
        <v>0</v>
      </c>
      <c r="Z142" s="439"/>
      <c r="AA142" s="353"/>
    </row>
    <row r="143" spans="1:74" ht="24" hidden="1" customHeight="1" x14ac:dyDescent="0.2">
      <c r="A143" s="82">
        <v>2</v>
      </c>
      <c r="B143" s="497" t="s">
        <v>393</v>
      </c>
      <c r="C143" s="28" t="s">
        <v>208</v>
      </c>
      <c r="D143" s="164">
        <f>-3500</f>
        <v>-3500</v>
      </c>
      <c r="E143" s="164">
        <f>-945</f>
        <v>-945</v>
      </c>
      <c r="F143" s="159"/>
      <c r="G143" s="159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>
        <f>SUM(D143:Q143)</f>
        <v>-4445</v>
      </c>
      <c r="S143" s="159"/>
      <c r="T143" s="164"/>
      <c r="U143" s="164"/>
      <c r="W143" s="159"/>
      <c r="X143" s="165">
        <f>SUM(T143:W143)</f>
        <v>0</v>
      </c>
      <c r="Y143" s="239">
        <f>R143+X143</f>
        <v>-4445</v>
      </c>
      <c r="Z143" s="676">
        <f>4445</f>
        <v>4445</v>
      </c>
      <c r="AA143" s="353"/>
    </row>
    <row r="144" spans="1:74" ht="24" hidden="1" customHeight="1" x14ac:dyDescent="0.2">
      <c r="A144" s="82">
        <v>3</v>
      </c>
      <c r="B144" s="497" t="s">
        <v>394</v>
      </c>
      <c r="C144" s="28" t="s">
        <v>208</v>
      </c>
      <c r="D144" s="164">
        <f>-1000</f>
        <v>-1000</v>
      </c>
      <c r="E144" s="164">
        <f>-270</f>
        <v>-270</v>
      </c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>
        <f>SUM(D144:Q144)</f>
        <v>-1270</v>
      </c>
      <c r="S144" s="159"/>
      <c r="T144" s="164"/>
      <c r="U144" s="164"/>
      <c r="W144" s="159"/>
      <c r="X144" s="165">
        <f>SUM(T144:W144)</f>
        <v>0</v>
      </c>
      <c r="Y144" s="239">
        <f>R144+X144</f>
        <v>-1270</v>
      </c>
      <c r="Z144" s="676">
        <f>1270</f>
        <v>1270</v>
      </c>
      <c r="AA144" s="353"/>
    </row>
    <row r="145" spans="1:27" ht="24" hidden="1" customHeight="1" x14ac:dyDescent="0.2">
      <c r="A145" s="82">
        <v>4</v>
      </c>
      <c r="B145" s="497" t="s">
        <v>395</v>
      </c>
      <c r="C145" s="28" t="s">
        <v>208</v>
      </c>
      <c r="D145" s="164">
        <f>-3650</f>
        <v>-3650</v>
      </c>
      <c r="E145" s="164">
        <f>-985.5</f>
        <v>-985.5</v>
      </c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59">
        <f>SUM(D145:Q145)</f>
        <v>-4635.5</v>
      </c>
      <c r="S145" s="159"/>
      <c r="T145" s="164"/>
      <c r="U145" s="164"/>
      <c r="W145" s="159"/>
      <c r="X145" s="165">
        <f>SUM(T145:W145)</f>
        <v>0</v>
      </c>
      <c r="Y145" s="239">
        <f>R145+X145</f>
        <v>-4635.5</v>
      </c>
      <c r="Z145" s="676">
        <f>4635.5</f>
        <v>4635.5</v>
      </c>
      <c r="AA145" s="353"/>
    </row>
    <row r="146" spans="1:27" ht="24" hidden="1" customHeight="1" x14ac:dyDescent="0.2">
      <c r="A146" s="82">
        <v>5</v>
      </c>
      <c r="B146" s="497" t="s">
        <v>396</v>
      </c>
      <c r="C146" s="28" t="s">
        <v>469</v>
      </c>
      <c r="D146" s="164"/>
      <c r="E146" s="164"/>
      <c r="F146" s="159">
        <f>-736.931</f>
        <v>-736.93100000000004</v>
      </c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59">
        <f t="shared" si="18"/>
        <v>-736.93100000000004</v>
      </c>
      <c r="S146" s="159"/>
      <c r="T146" s="164"/>
      <c r="U146" s="164"/>
      <c r="W146" s="159"/>
      <c r="X146" s="165">
        <f t="shared" si="15"/>
        <v>0</v>
      </c>
      <c r="Y146" s="239">
        <f t="shared" si="16"/>
        <v>-736.93100000000004</v>
      </c>
      <c r="Z146" s="676">
        <f>736.931</f>
        <v>736.93100000000004</v>
      </c>
      <c r="AA146" s="353"/>
    </row>
    <row r="147" spans="1:27" ht="24" hidden="1" customHeight="1" x14ac:dyDescent="0.2">
      <c r="A147" s="82">
        <v>6</v>
      </c>
      <c r="B147" s="498" t="s">
        <v>377</v>
      </c>
      <c r="C147" s="28" t="s">
        <v>238</v>
      </c>
      <c r="D147" s="164"/>
      <c r="E147" s="164"/>
      <c r="F147" s="159">
        <f>216</f>
        <v>216</v>
      </c>
      <c r="G147" s="159"/>
      <c r="H147" s="159"/>
      <c r="I147" s="159"/>
      <c r="J147" s="159"/>
      <c r="K147" s="159">
        <f>800</f>
        <v>800</v>
      </c>
      <c r="L147" s="159"/>
      <c r="M147" s="159"/>
      <c r="N147" s="159"/>
      <c r="O147" s="159"/>
      <c r="P147" s="159"/>
      <c r="Q147" s="159"/>
      <c r="R147" s="159">
        <f t="shared" si="18"/>
        <v>1016</v>
      </c>
      <c r="S147" s="159"/>
      <c r="T147" s="164"/>
      <c r="U147" s="164"/>
      <c r="W147" s="159"/>
      <c r="X147" s="165">
        <f t="shared" si="15"/>
        <v>0</v>
      </c>
      <c r="Y147" s="239">
        <f t="shared" si="16"/>
        <v>1016</v>
      </c>
      <c r="Z147" s="676"/>
      <c r="AA147" s="353"/>
    </row>
    <row r="148" spans="1:27" ht="24" hidden="1" customHeight="1" x14ac:dyDescent="0.2">
      <c r="A148" s="82">
        <v>7</v>
      </c>
      <c r="B148" s="498" t="s">
        <v>378</v>
      </c>
      <c r="C148" s="41" t="s">
        <v>379</v>
      </c>
      <c r="D148" s="164"/>
      <c r="E148" s="164"/>
      <c r="F148" s="159"/>
      <c r="G148" s="159"/>
      <c r="H148" s="159"/>
      <c r="I148" s="159"/>
      <c r="J148" s="159"/>
      <c r="K148" s="159">
        <f>-3450</f>
        <v>-3450</v>
      </c>
      <c r="L148" s="159"/>
      <c r="M148" s="159"/>
      <c r="N148" s="159"/>
      <c r="O148" s="159"/>
      <c r="P148" s="159"/>
      <c r="Q148" s="159">
        <f>3450</f>
        <v>3450</v>
      </c>
      <c r="R148" s="159">
        <f t="shared" si="18"/>
        <v>0</v>
      </c>
      <c r="S148" s="159"/>
      <c r="T148" s="164"/>
      <c r="U148" s="164"/>
      <c r="W148" s="159"/>
      <c r="X148" s="165">
        <f t="shared" si="15"/>
        <v>0</v>
      </c>
      <c r="Y148" s="239">
        <f t="shared" si="16"/>
        <v>0</v>
      </c>
      <c r="Z148" s="676"/>
      <c r="AA148" s="353"/>
    </row>
    <row r="149" spans="1:27" ht="24" hidden="1" customHeight="1" x14ac:dyDescent="0.2">
      <c r="A149" s="82">
        <v>8</v>
      </c>
      <c r="B149" s="498" t="s">
        <v>380</v>
      </c>
      <c r="C149" s="41" t="s">
        <v>381</v>
      </c>
      <c r="D149" s="164"/>
      <c r="E149" s="164"/>
      <c r="F149" s="159">
        <f>-787-213</f>
        <v>-1000</v>
      </c>
      <c r="G149" s="159"/>
      <c r="H149" s="159"/>
      <c r="I149" s="159">
        <f>1000</f>
        <v>1000</v>
      </c>
      <c r="J149" s="159"/>
      <c r="K149" s="159"/>
      <c r="L149" s="159"/>
      <c r="M149" s="159"/>
      <c r="N149" s="159"/>
      <c r="O149" s="159"/>
      <c r="P149" s="159"/>
      <c r="Q149" s="159"/>
      <c r="R149" s="159">
        <f t="shared" si="18"/>
        <v>0</v>
      </c>
      <c r="S149" s="159"/>
      <c r="T149" s="164"/>
      <c r="U149" s="164"/>
      <c r="W149" s="159"/>
      <c r="X149" s="165">
        <f t="shared" si="15"/>
        <v>0</v>
      </c>
      <c r="Y149" s="239">
        <f t="shared" si="16"/>
        <v>0</v>
      </c>
      <c r="Z149" s="676"/>
      <c r="AA149" s="353"/>
    </row>
    <row r="150" spans="1:27" ht="24" hidden="1" customHeight="1" x14ac:dyDescent="0.2">
      <c r="A150" s="82">
        <v>9</v>
      </c>
      <c r="B150" s="498" t="s">
        <v>382</v>
      </c>
      <c r="C150" s="41" t="s">
        <v>384</v>
      </c>
      <c r="D150" s="164"/>
      <c r="E150" s="164"/>
      <c r="F150" s="159"/>
      <c r="G150" s="159"/>
      <c r="H150" s="159"/>
      <c r="I150" s="159"/>
      <c r="J150" s="159"/>
      <c r="K150" s="159">
        <f>-1013</f>
        <v>-1013</v>
      </c>
      <c r="L150" s="159"/>
      <c r="M150" s="159"/>
      <c r="N150" s="159"/>
      <c r="O150" s="159"/>
      <c r="P150" s="159"/>
      <c r="Q150" s="159">
        <f>1013</f>
        <v>1013</v>
      </c>
      <c r="R150" s="159">
        <f t="shared" si="18"/>
        <v>0</v>
      </c>
      <c r="S150" s="159"/>
      <c r="T150" s="164"/>
      <c r="U150" s="164"/>
      <c r="W150" s="159"/>
      <c r="X150" s="165">
        <f t="shared" si="15"/>
        <v>0</v>
      </c>
      <c r="Y150" s="239">
        <f t="shared" si="16"/>
        <v>0</v>
      </c>
      <c r="Z150" s="676"/>
      <c r="AA150" s="353"/>
    </row>
    <row r="151" spans="1:27" ht="24" hidden="1" customHeight="1" x14ac:dyDescent="0.2">
      <c r="A151" s="82">
        <v>10</v>
      </c>
      <c r="B151" s="498" t="s">
        <v>385</v>
      </c>
      <c r="C151" s="41" t="s">
        <v>386</v>
      </c>
      <c r="D151" s="164"/>
      <c r="E151" s="164"/>
      <c r="F151" s="159">
        <f>1575+425</f>
        <v>2000</v>
      </c>
      <c r="G151" s="159"/>
      <c r="H151" s="159"/>
      <c r="I151" s="159"/>
      <c r="J151" s="159"/>
      <c r="K151" s="159">
        <f>-2000</f>
        <v>-2000</v>
      </c>
      <c r="L151" s="159"/>
      <c r="M151" s="159"/>
      <c r="N151" s="159"/>
      <c r="O151" s="159"/>
      <c r="P151" s="159"/>
      <c r="Q151" s="159"/>
      <c r="R151" s="159">
        <f t="shared" si="18"/>
        <v>0</v>
      </c>
      <c r="S151" s="159"/>
      <c r="T151" s="164"/>
      <c r="U151" s="164"/>
      <c r="W151" s="159"/>
      <c r="X151" s="165">
        <f t="shared" si="15"/>
        <v>0</v>
      </c>
      <c r="Y151" s="239">
        <f t="shared" si="16"/>
        <v>0</v>
      </c>
      <c r="Z151" s="673"/>
      <c r="AA151" s="353"/>
    </row>
    <row r="152" spans="1:27" ht="24" hidden="1" customHeight="1" x14ac:dyDescent="0.2">
      <c r="A152" s="82">
        <v>11</v>
      </c>
      <c r="B152" s="498" t="s">
        <v>387</v>
      </c>
      <c r="C152" s="41" t="s">
        <v>388</v>
      </c>
      <c r="D152" s="164"/>
      <c r="E152" s="164"/>
      <c r="F152" s="159"/>
      <c r="G152" s="159"/>
      <c r="H152" s="159"/>
      <c r="I152" s="159"/>
      <c r="J152" s="159"/>
      <c r="K152" s="159">
        <f>-6765</f>
        <v>-6765</v>
      </c>
      <c r="L152" s="159">
        <f>5327+1438</f>
        <v>6765</v>
      </c>
      <c r="M152" s="159"/>
      <c r="N152" s="159"/>
      <c r="O152" s="159"/>
      <c r="P152" s="159"/>
      <c r="Q152" s="159"/>
      <c r="R152" s="159">
        <f t="shared" si="18"/>
        <v>0</v>
      </c>
      <c r="S152" s="159"/>
      <c r="T152" s="164"/>
      <c r="U152" s="164"/>
      <c r="W152" s="159"/>
      <c r="X152" s="165">
        <f t="shared" si="15"/>
        <v>0</v>
      </c>
      <c r="Y152" s="239">
        <f t="shared" si="16"/>
        <v>0</v>
      </c>
      <c r="Z152" s="673"/>
      <c r="AA152" s="353"/>
    </row>
    <row r="153" spans="1:27" ht="24" hidden="1" customHeight="1" x14ac:dyDescent="0.2">
      <c r="A153" s="82">
        <v>12</v>
      </c>
      <c r="B153" s="498" t="s">
        <v>389</v>
      </c>
      <c r="C153" s="41" t="s">
        <v>390</v>
      </c>
      <c r="D153" s="164"/>
      <c r="E153" s="164"/>
      <c r="F153" s="159"/>
      <c r="G153" s="159"/>
      <c r="H153" s="159"/>
      <c r="I153" s="159"/>
      <c r="J153" s="159"/>
      <c r="K153" s="159">
        <f>-5201</f>
        <v>-5201</v>
      </c>
      <c r="L153" s="159">
        <f>4095+1106</f>
        <v>5201</v>
      </c>
      <c r="M153" s="159"/>
      <c r="N153" s="159"/>
      <c r="O153" s="159"/>
      <c r="P153" s="159"/>
      <c r="Q153" s="159"/>
      <c r="R153" s="159">
        <f t="shared" si="18"/>
        <v>0</v>
      </c>
      <c r="S153" s="159"/>
      <c r="T153" s="164"/>
      <c r="U153" s="164"/>
      <c r="W153" s="159"/>
      <c r="X153" s="165">
        <f t="shared" si="15"/>
        <v>0</v>
      </c>
      <c r="Y153" s="239">
        <f t="shared" si="16"/>
        <v>0</v>
      </c>
      <c r="Z153" s="673"/>
      <c r="AA153" s="353"/>
    </row>
    <row r="154" spans="1:27" ht="24" hidden="1" customHeight="1" x14ac:dyDescent="0.2">
      <c r="A154" s="82">
        <v>13</v>
      </c>
      <c r="B154" s="498" t="s">
        <v>391</v>
      </c>
      <c r="C154" s="41" t="s">
        <v>392</v>
      </c>
      <c r="D154" s="164"/>
      <c r="E154" s="164"/>
      <c r="F154" s="159"/>
      <c r="G154" s="159"/>
      <c r="H154" s="159"/>
      <c r="I154" s="159"/>
      <c r="J154" s="159"/>
      <c r="K154" s="159">
        <f>-980</f>
        <v>-980</v>
      </c>
      <c r="L154" s="159">
        <f>772+208</f>
        <v>980</v>
      </c>
      <c r="M154" s="159"/>
      <c r="N154" s="159"/>
      <c r="O154" s="159"/>
      <c r="P154" s="159"/>
      <c r="Q154" s="159"/>
      <c r="R154" s="159">
        <f t="shared" si="18"/>
        <v>0</v>
      </c>
      <c r="S154" s="159"/>
      <c r="T154" s="164"/>
      <c r="U154" s="164"/>
      <c r="W154" s="159"/>
      <c r="X154" s="165">
        <f t="shared" si="15"/>
        <v>0</v>
      </c>
      <c r="Y154" s="239">
        <f t="shared" si="16"/>
        <v>0</v>
      </c>
      <c r="Z154" s="673"/>
      <c r="AA154" s="353"/>
    </row>
    <row r="155" spans="1:27" ht="24" hidden="1" customHeight="1" x14ac:dyDescent="0.2">
      <c r="A155" s="82">
        <v>14</v>
      </c>
      <c r="B155" s="498" t="s">
        <v>405</v>
      </c>
      <c r="C155" s="41" t="s">
        <v>250</v>
      </c>
      <c r="D155" s="164"/>
      <c r="E155" s="164"/>
      <c r="F155" s="159"/>
      <c r="G155" s="159"/>
      <c r="H155" s="159"/>
      <c r="I155" s="159"/>
      <c r="J155" s="159">
        <f>200</f>
        <v>200</v>
      </c>
      <c r="K155" s="159">
        <f>-200</f>
        <v>-200</v>
      </c>
      <c r="L155" s="159"/>
      <c r="M155" s="159"/>
      <c r="N155" s="159"/>
      <c r="O155" s="159"/>
      <c r="P155" s="159"/>
      <c r="Q155" s="159"/>
      <c r="R155" s="159">
        <f t="shared" si="18"/>
        <v>0</v>
      </c>
      <c r="S155" s="159"/>
      <c r="T155" s="164"/>
      <c r="U155" s="164"/>
      <c r="W155" s="159"/>
      <c r="X155" s="165">
        <f t="shared" si="15"/>
        <v>0</v>
      </c>
      <c r="Y155" s="239">
        <f t="shared" si="16"/>
        <v>0</v>
      </c>
      <c r="Z155" s="673"/>
      <c r="AA155" s="353"/>
    </row>
    <row r="156" spans="1:27" ht="24" hidden="1" customHeight="1" x14ac:dyDescent="0.2">
      <c r="A156" s="82">
        <v>15</v>
      </c>
      <c r="B156" s="498" t="s">
        <v>406</v>
      </c>
      <c r="C156" s="41" t="s">
        <v>407</v>
      </c>
      <c r="D156" s="164"/>
      <c r="E156" s="164"/>
      <c r="F156" s="159">
        <f>92+380+128</f>
        <v>600</v>
      </c>
      <c r="G156" s="159"/>
      <c r="H156" s="159"/>
      <c r="I156" s="159"/>
      <c r="J156" s="159"/>
      <c r="K156" s="159"/>
      <c r="L156" s="159">
        <f>134-606-128</f>
        <v>-600</v>
      </c>
      <c r="M156" s="159"/>
      <c r="N156" s="159"/>
      <c r="O156" s="159"/>
      <c r="P156" s="159"/>
      <c r="Q156" s="159"/>
      <c r="R156" s="159">
        <f t="shared" si="18"/>
        <v>0</v>
      </c>
      <c r="S156" s="159"/>
      <c r="T156" s="164"/>
      <c r="U156" s="164"/>
      <c r="W156" s="159"/>
      <c r="X156" s="165">
        <f t="shared" si="15"/>
        <v>0</v>
      </c>
      <c r="Y156" s="239">
        <f t="shared" si="16"/>
        <v>0</v>
      </c>
      <c r="Z156" s="673"/>
      <c r="AA156" s="353"/>
    </row>
    <row r="157" spans="1:27" ht="24" hidden="1" customHeight="1" x14ac:dyDescent="0.2">
      <c r="A157" s="82">
        <v>16</v>
      </c>
      <c r="B157" s="498" t="s">
        <v>397</v>
      </c>
      <c r="C157" s="28" t="s">
        <v>502</v>
      </c>
      <c r="D157" s="164"/>
      <c r="E157" s="164"/>
      <c r="F157" s="159"/>
      <c r="G157" s="159"/>
      <c r="H157" s="159"/>
      <c r="I157" s="159"/>
      <c r="J157" s="159"/>
      <c r="K157" s="159">
        <f>-1414</f>
        <v>-1414</v>
      </c>
      <c r="L157" s="159"/>
      <c r="M157" s="159"/>
      <c r="N157" s="159"/>
      <c r="O157" s="159"/>
      <c r="P157" s="159"/>
      <c r="Q157" s="159"/>
      <c r="R157" s="159">
        <f t="shared" si="18"/>
        <v>-1414</v>
      </c>
      <c r="S157" s="159"/>
      <c r="T157" s="164"/>
      <c r="U157" s="164"/>
      <c r="W157" s="159"/>
      <c r="X157" s="165">
        <f t="shared" si="15"/>
        <v>0</v>
      </c>
      <c r="Y157" s="239">
        <f t="shared" si="16"/>
        <v>-1414</v>
      </c>
      <c r="Z157" s="673">
        <f>1414</f>
        <v>1414</v>
      </c>
      <c r="AA157" s="353"/>
    </row>
    <row r="158" spans="1:27" ht="24" hidden="1" customHeight="1" x14ac:dyDescent="0.2">
      <c r="A158" s="82">
        <v>17</v>
      </c>
      <c r="B158" s="496" t="s">
        <v>383</v>
      </c>
      <c r="C158" s="28" t="s">
        <v>208</v>
      </c>
      <c r="D158" s="159"/>
      <c r="E158" s="159"/>
      <c r="F158" s="159"/>
      <c r="G158" s="159"/>
      <c r="H158" s="159"/>
      <c r="I158" s="159"/>
      <c r="J158" s="159">
        <f>-2030</f>
        <v>-2030</v>
      </c>
      <c r="K158" s="159"/>
      <c r="L158" s="159"/>
      <c r="M158" s="159"/>
      <c r="N158" s="159"/>
      <c r="O158" s="159"/>
      <c r="P158" s="159"/>
      <c r="Q158" s="159"/>
      <c r="R158" s="159">
        <f t="shared" si="18"/>
        <v>-2030</v>
      </c>
      <c r="S158" s="159"/>
      <c r="T158" s="159"/>
      <c r="U158" s="159"/>
      <c r="W158" s="159"/>
      <c r="X158" s="165">
        <f t="shared" si="15"/>
        <v>0</v>
      </c>
      <c r="Y158" s="239">
        <f t="shared" si="16"/>
        <v>-2030</v>
      </c>
      <c r="Z158" s="674">
        <f>2030</f>
        <v>2030</v>
      </c>
      <c r="AA158" s="353"/>
    </row>
    <row r="159" spans="1:27" ht="24" hidden="1" customHeight="1" x14ac:dyDescent="0.2">
      <c r="A159" s="82">
        <v>18</v>
      </c>
      <c r="B159" s="496" t="s">
        <v>408</v>
      </c>
      <c r="C159" s="28" t="s">
        <v>409</v>
      </c>
      <c r="D159" s="159"/>
      <c r="E159" s="159"/>
      <c r="F159" s="159"/>
      <c r="G159" s="159"/>
      <c r="H159" s="159"/>
      <c r="I159" s="159"/>
      <c r="J159" s="159"/>
      <c r="K159" s="159"/>
      <c r="L159" s="159"/>
      <c r="M159" s="159">
        <f>3779+1021</f>
        <v>4800</v>
      </c>
      <c r="N159" s="159"/>
      <c r="O159" s="159"/>
      <c r="P159" s="159"/>
      <c r="Q159" s="159"/>
      <c r="R159" s="159">
        <f t="shared" si="18"/>
        <v>4800</v>
      </c>
      <c r="S159" s="159"/>
      <c r="T159" s="159"/>
      <c r="U159" s="159"/>
      <c r="W159" s="159"/>
      <c r="X159" s="165">
        <f t="shared" si="15"/>
        <v>0</v>
      </c>
      <c r="Y159" s="239">
        <f t="shared" si="16"/>
        <v>4800</v>
      </c>
      <c r="Z159" s="674">
        <f>-4800</f>
        <v>-4800</v>
      </c>
      <c r="AA159" s="353"/>
    </row>
    <row r="160" spans="1:27" ht="24" hidden="1" customHeight="1" x14ac:dyDescent="0.2">
      <c r="A160" s="82">
        <v>19</v>
      </c>
      <c r="B160" s="496" t="s">
        <v>411</v>
      </c>
      <c r="C160" s="28" t="s">
        <v>417</v>
      </c>
      <c r="D160" s="159"/>
      <c r="E160" s="159">
        <f>6+4</f>
        <v>10</v>
      </c>
      <c r="F160" s="159">
        <f>-220+20+110+80</f>
        <v>-10</v>
      </c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59">
        <f t="shared" si="18"/>
        <v>0</v>
      </c>
      <c r="S160" s="159"/>
      <c r="T160" s="159"/>
      <c r="U160" s="159"/>
      <c r="W160" s="159"/>
      <c r="X160" s="165">
        <f t="shared" si="15"/>
        <v>0</v>
      </c>
      <c r="Y160" s="239">
        <f t="shared" si="16"/>
        <v>0</v>
      </c>
      <c r="Z160" s="674"/>
      <c r="AA160" s="353"/>
    </row>
    <row r="161" spans="1:27" ht="24" hidden="1" customHeight="1" x14ac:dyDescent="0.2">
      <c r="A161" s="82">
        <v>20</v>
      </c>
      <c r="B161" s="496" t="s">
        <v>398</v>
      </c>
      <c r="C161" s="28" t="s">
        <v>208</v>
      </c>
      <c r="D161" s="159"/>
      <c r="E161" s="159"/>
      <c r="F161" s="159">
        <f>170.511</f>
        <v>170.511</v>
      </c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59">
        <f t="shared" si="18"/>
        <v>170.511</v>
      </c>
      <c r="S161" s="159"/>
      <c r="T161" s="159"/>
      <c r="U161" s="159"/>
      <c r="W161" s="159"/>
      <c r="X161" s="165">
        <f t="shared" si="15"/>
        <v>0</v>
      </c>
      <c r="Y161" s="239">
        <f t="shared" si="16"/>
        <v>170.511</v>
      </c>
      <c r="Z161" s="674">
        <f>7142.208</f>
        <v>7142.2079999999996</v>
      </c>
      <c r="AA161" s="353"/>
    </row>
    <row r="162" spans="1:27" ht="24" hidden="1" customHeight="1" x14ac:dyDescent="0.2">
      <c r="A162" s="82">
        <v>21</v>
      </c>
      <c r="B162" s="496" t="s">
        <v>400</v>
      </c>
      <c r="C162" s="28" t="s">
        <v>208</v>
      </c>
      <c r="D162" s="159"/>
      <c r="E162" s="159"/>
      <c r="F162" s="159">
        <f>-1200</f>
        <v>-1200</v>
      </c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59">
        <f t="shared" si="18"/>
        <v>-1200</v>
      </c>
      <c r="S162" s="159"/>
      <c r="T162" s="164"/>
      <c r="U162" s="164"/>
      <c r="W162" s="159"/>
      <c r="X162" s="165">
        <f t="shared" si="15"/>
        <v>0</v>
      </c>
      <c r="Y162" s="239">
        <f t="shared" si="16"/>
        <v>-1200</v>
      </c>
      <c r="Z162" s="673">
        <f>1200</f>
        <v>1200</v>
      </c>
      <c r="AA162" s="353"/>
    </row>
    <row r="163" spans="1:27" ht="24" hidden="1" customHeight="1" x14ac:dyDescent="0.2">
      <c r="A163" s="82">
        <v>22</v>
      </c>
      <c r="B163" s="496" t="s">
        <v>401</v>
      </c>
      <c r="C163" s="28" t="s">
        <v>208</v>
      </c>
      <c r="D163" s="159"/>
      <c r="E163" s="159"/>
      <c r="F163" s="159">
        <f>-1969-531</f>
        <v>-2500</v>
      </c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>
        <f t="shared" si="18"/>
        <v>-2500</v>
      </c>
      <c r="S163" s="159"/>
      <c r="T163" s="164"/>
      <c r="U163" s="164"/>
      <c r="W163" s="159"/>
      <c r="X163" s="165">
        <f>SUM(T163:W163)</f>
        <v>0</v>
      </c>
      <c r="Y163" s="239">
        <f>R163+X163</f>
        <v>-2500</v>
      </c>
      <c r="Z163" s="673">
        <f>2500</f>
        <v>2500</v>
      </c>
      <c r="AA163" s="353"/>
    </row>
    <row r="164" spans="1:27" ht="24" hidden="1" customHeight="1" x14ac:dyDescent="0.2">
      <c r="A164" s="82">
        <v>23</v>
      </c>
      <c r="B164" s="496" t="s">
        <v>402</v>
      </c>
      <c r="C164" s="28" t="s">
        <v>403</v>
      </c>
      <c r="D164" s="159">
        <f>-200</f>
        <v>-200</v>
      </c>
      <c r="E164" s="159">
        <f>-54</f>
        <v>-54</v>
      </c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59">
        <f t="shared" si="18"/>
        <v>-254</v>
      </c>
      <c r="S164" s="159"/>
      <c r="T164" s="164"/>
      <c r="U164" s="164"/>
      <c r="W164" s="159"/>
      <c r="X164" s="165">
        <f t="shared" si="15"/>
        <v>0</v>
      </c>
      <c r="Y164" s="239">
        <f t="shared" si="16"/>
        <v>-254</v>
      </c>
      <c r="Z164" s="673">
        <f>254</f>
        <v>254</v>
      </c>
      <c r="AA164" s="353"/>
    </row>
    <row r="165" spans="1:27" ht="24" hidden="1" customHeight="1" x14ac:dyDescent="0.2">
      <c r="A165" s="82">
        <v>24</v>
      </c>
      <c r="B165" s="496" t="s">
        <v>412</v>
      </c>
      <c r="C165" s="28" t="s">
        <v>413</v>
      </c>
      <c r="D165" s="159"/>
      <c r="E165" s="159"/>
      <c r="F165" s="159">
        <f>-1251+220+161</f>
        <v>-870</v>
      </c>
      <c r="G165" s="159"/>
      <c r="H165" s="159"/>
      <c r="I165" s="159"/>
      <c r="J165" s="159">
        <f>870</f>
        <v>870</v>
      </c>
      <c r="K165" s="159"/>
      <c r="L165" s="159"/>
      <c r="M165" s="159"/>
      <c r="N165" s="159"/>
      <c r="O165" s="159"/>
      <c r="P165" s="159"/>
      <c r="Q165" s="159"/>
      <c r="R165" s="159">
        <f t="shared" si="18"/>
        <v>0</v>
      </c>
      <c r="S165" s="159"/>
      <c r="T165" s="164"/>
      <c r="U165" s="164"/>
      <c r="W165" s="159"/>
      <c r="X165" s="165">
        <f t="shared" si="15"/>
        <v>0</v>
      </c>
      <c r="Y165" s="239">
        <f t="shared" si="16"/>
        <v>0</v>
      </c>
      <c r="Z165" s="673"/>
      <c r="AA165" s="353"/>
    </row>
    <row r="166" spans="1:27" ht="24" hidden="1" customHeight="1" x14ac:dyDescent="0.2">
      <c r="A166" s="82">
        <v>25</v>
      </c>
      <c r="B166" s="496" t="s">
        <v>414</v>
      </c>
      <c r="C166" s="28" t="s">
        <v>415</v>
      </c>
      <c r="D166" s="159"/>
      <c r="E166" s="159"/>
      <c r="F166" s="159"/>
      <c r="G166" s="159"/>
      <c r="H166" s="159"/>
      <c r="I166" s="159">
        <f>155</f>
        <v>155</v>
      </c>
      <c r="J166" s="159"/>
      <c r="K166" s="159">
        <f>-155</f>
        <v>-155</v>
      </c>
      <c r="L166" s="159"/>
      <c r="M166" s="159"/>
      <c r="N166" s="159"/>
      <c r="O166" s="159"/>
      <c r="P166" s="159"/>
      <c r="Q166" s="159"/>
      <c r="R166" s="159">
        <f t="shared" si="18"/>
        <v>0</v>
      </c>
      <c r="S166" s="159"/>
      <c r="T166" s="159"/>
      <c r="U166" s="159"/>
      <c r="W166" s="159"/>
      <c r="X166" s="165">
        <f t="shared" si="15"/>
        <v>0</v>
      </c>
      <c r="Y166" s="239">
        <f t="shared" si="16"/>
        <v>0</v>
      </c>
      <c r="Z166" s="674"/>
      <c r="AA166" s="353"/>
    </row>
    <row r="167" spans="1:27" ht="24" hidden="1" customHeight="1" x14ac:dyDescent="0.2">
      <c r="A167" s="82">
        <v>26</v>
      </c>
      <c r="B167" s="496" t="s">
        <v>418</v>
      </c>
      <c r="C167" s="28" t="s">
        <v>419</v>
      </c>
      <c r="D167" s="159"/>
      <c r="E167" s="159"/>
      <c r="F167" s="159"/>
      <c r="G167" s="159"/>
      <c r="H167" s="159"/>
      <c r="I167" s="159"/>
      <c r="J167" s="159"/>
      <c r="K167" s="159">
        <f>-12700</f>
        <v>-12700</v>
      </c>
      <c r="L167" s="159">
        <f>10000+2700</f>
        <v>12700</v>
      </c>
      <c r="M167" s="159"/>
      <c r="N167" s="159"/>
      <c r="O167" s="159"/>
      <c r="P167" s="159"/>
      <c r="Q167" s="159"/>
      <c r="R167" s="159">
        <f t="shared" si="18"/>
        <v>0</v>
      </c>
      <c r="S167" s="159"/>
      <c r="T167" s="159"/>
      <c r="U167" s="159"/>
      <c r="W167" s="159"/>
      <c r="X167" s="165">
        <f t="shared" si="15"/>
        <v>0</v>
      </c>
      <c r="Y167" s="239">
        <f t="shared" si="16"/>
        <v>0</v>
      </c>
      <c r="Z167" s="674"/>
      <c r="AA167" s="353"/>
    </row>
    <row r="168" spans="1:27" ht="24" hidden="1" customHeight="1" x14ac:dyDescent="0.2">
      <c r="A168" s="82">
        <v>27</v>
      </c>
      <c r="B168" s="496" t="s">
        <v>420</v>
      </c>
      <c r="C168" s="28" t="s">
        <v>421</v>
      </c>
      <c r="D168" s="159"/>
      <c r="E168" s="159"/>
      <c r="F168" s="159"/>
      <c r="G168" s="159"/>
      <c r="H168" s="159"/>
      <c r="I168" s="159"/>
      <c r="J168" s="159"/>
      <c r="K168" s="159">
        <f>-1326</f>
        <v>-1326</v>
      </c>
      <c r="L168" s="159">
        <f>1044+282</f>
        <v>1326</v>
      </c>
      <c r="M168" s="159"/>
      <c r="N168" s="159"/>
      <c r="O168" s="159"/>
      <c r="P168" s="159"/>
      <c r="Q168" s="159"/>
      <c r="R168" s="159">
        <f t="shared" si="18"/>
        <v>0</v>
      </c>
      <c r="S168" s="159"/>
      <c r="T168" s="159"/>
      <c r="U168" s="159"/>
      <c r="W168" s="159"/>
      <c r="X168" s="165">
        <f t="shared" si="15"/>
        <v>0</v>
      </c>
      <c r="Y168" s="239">
        <f t="shared" si="16"/>
        <v>0</v>
      </c>
      <c r="Z168" s="674"/>
      <c r="AA168" s="353"/>
    </row>
    <row r="169" spans="1:27" ht="24" hidden="1" customHeight="1" x14ac:dyDescent="0.2">
      <c r="A169" s="82">
        <v>28</v>
      </c>
      <c r="B169" s="496" t="s">
        <v>422</v>
      </c>
      <c r="C169" s="28" t="s">
        <v>423</v>
      </c>
      <c r="D169" s="159"/>
      <c r="E169" s="159"/>
      <c r="F169" s="159">
        <f>-81-22</f>
        <v>-103</v>
      </c>
      <c r="G169" s="159"/>
      <c r="H169" s="159"/>
      <c r="I169" s="159"/>
      <c r="J169" s="159"/>
      <c r="K169" s="159"/>
      <c r="L169" s="159">
        <f>81+22</f>
        <v>103</v>
      </c>
      <c r="M169" s="159"/>
      <c r="N169" s="159"/>
      <c r="O169" s="159"/>
      <c r="P169" s="159"/>
      <c r="Q169" s="159"/>
      <c r="R169" s="159">
        <f t="shared" si="18"/>
        <v>0</v>
      </c>
      <c r="S169" s="159"/>
      <c r="T169" s="159"/>
      <c r="U169" s="159"/>
      <c r="W169" s="159"/>
      <c r="X169" s="165">
        <f t="shared" si="15"/>
        <v>0</v>
      </c>
      <c r="Y169" s="239">
        <f t="shared" si="16"/>
        <v>0</v>
      </c>
      <c r="Z169" s="674"/>
      <c r="AA169" s="353"/>
    </row>
    <row r="170" spans="1:27" ht="24" hidden="1" customHeight="1" x14ac:dyDescent="0.2">
      <c r="A170" s="82">
        <v>29</v>
      </c>
      <c r="B170" s="496" t="s">
        <v>416</v>
      </c>
      <c r="C170" s="28" t="s">
        <v>208</v>
      </c>
      <c r="D170" s="159"/>
      <c r="E170" s="159"/>
      <c r="F170" s="159"/>
      <c r="G170" s="159"/>
      <c r="H170" s="159"/>
      <c r="I170" s="159"/>
      <c r="J170" s="159"/>
      <c r="K170" s="159"/>
      <c r="L170" s="159">
        <f>-2756-744</f>
        <v>-3500</v>
      </c>
      <c r="M170" s="159"/>
      <c r="N170" s="159"/>
      <c r="O170" s="159"/>
      <c r="P170" s="159"/>
      <c r="Q170" s="159"/>
      <c r="R170" s="159">
        <f t="shared" si="18"/>
        <v>-3500</v>
      </c>
      <c r="S170" s="159"/>
      <c r="T170" s="159"/>
      <c r="U170" s="159"/>
      <c r="W170" s="159"/>
      <c r="X170" s="165">
        <f t="shared" si="15"/>
        <v>0</v>
      </c>
      <c r="Y170" s="239">
        <f t="shared" si="16"/>
        <v>-3500</v>
      </c>
      <c r="Z170" s="674">
        <f>3500</f>
        <v>3500</v>
      </c>
      <c r="AA170" s="353"/>
    </row>
    <row r="171" spans="1:27" ht="24" hidden="1" customHeight="1" x14ac:dyDescent="0.2">
      <c r="A171" s="82">
        <v>30</v>
      </c>
      <c r="B171" s="496" t="s">
        <v>428</v>
      </c>
      <c r="C171" s="28" t="s">
        <v>250</v>
      </c>
      <c r="D171" s="159"/>
      <c r="E171" s="159"/>
      <c r="F171" s="159"/>
      <c r="G171" s="159"/>
      <c r="H171" s="159"/>
      <c r="I171" s="159"/>
      <c r="J171" s="159">
        <f>100</f>
        <v>100</v>
      </c>
      <c r="K171" s="159">
        <f>-100</f>
        <v>-100</v>
      </c>
      <c r="L171" s="159"/>
      <c r="M171" s="159"/>
      <c r="N171" s="159"/>
      <c r="O171" s="159"/>
      <c r="P171" s="159"/>
      <c r="Q171" s="159"/>
      <c r="R171" s="159">
        <f t="shared" si="18"/>
        <v>0</v>
      </c>
      <c r="S171" s="159"/>
      <c r="T171" s="159"/>
      <c r="U171" s="159"/>
      <c r="W171" s="159"/>
      <c r="X171" s="165">
        <f t="shared" si="15"/>
        <v>0</v>
      </c>
      <c r="Y171" s="239">
        <f t="shared" si="16"/>
        <v>0</v>
      </c>
      <c r="Z171" s="674"/>
      <c r="AA171" s="353"/>
    </row>
    <row r="172" spans="1:27" ht="24" hidden="1" customHeight="1" x14ac:dyDescent="0.2">
      <c r="A172" s="82">
        <v>31</v>
      </c>
      <c r="B172" s="496" t="s">
        <v>429</v>
      </c>
      <c r="C172" s="41" t="s">
        <v>430</v>
      </c>
      <c r="D172" s="159"/>
      <c r="E172" s="159"/>
      <c r="F172" s="159"/>
      <c r="G172" s="159"/>
      <c r="H172" s="159"/>
      <c r="I172" s="159"/>
      <c r="J172" s="159"/>
      <c r="K172" s="159">
        <f>7398.148</f>
        <v>7398.1480000000001</v>
      </c>
      <c r="L172" s="159"/>
      <c r="M172" s="159"/>
      <c r="N172" s="159"/>
      <c r="O172" s="159"/>
      <c r="P172" s="159"/>
      <c r="Q172" s="159"/>
      <c r="R172" s="159">
        <f t="shared" si="18"/>
        <v>7398.1480000000001</v>
      </c>
      <c r="S172" s="159"/>
      <c r="T172" s="159"/>
      <c r="U172" s="159"/>
      <c r="W172" s="159"/>
      <c r="X172" s="165">
        <f t="shared" si="15"/>
        <v>0</v>
      </c>
      <c r="Y172" s="239">
        <f t="shared" si="16"/>
        <v>7398.1480000000001</v>
      </c>
      <c r="Z172" s="674"/>
      <c r="AA172" s="353"/>
    </row>
    <row r="173" spans="1:27" ht="24" hidden="1" customHeight="1" x14ac:dyDescent="0.2">
      <c r="A173" s="82">
        <v>32</v>
      </c>
      <c r="B173" s="496" t="s">
        <v>431</v>
      </c>
      <c r="C173" s="28" t="s">
        <v>434</v>
      </c>
      <c r="D173" s="159"/>
      <c r="E173" s="159"/>
      <c r="F173" s="159">
        <f>1664</f>
        <v>1664</v>
      </c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59">
        <f t="shared" si="18"/>
        <v>1664</v>
      </c>
      <c r="S173" s="159"/>
      <c r="T173" s="159"/>
      <c r="U173" s="159"/>
      <c r="W173" s="159"/>
      <c r="X173" s="165">
        <f t="shared" si="15"/>
        <v>0</v>
      </c>
      <c r="Y173" s="239">
        <f t="shared" si="16"/>
        <v>1664</v>
      </c>
      <c r="Z173" s="674"/>
      <c r="AA173" s="353"/>
    </row>
    <row r="174" spans="1:27" ht="24" hidden="1" customHeight="1" x14ac:dyDescent="0.2">
      <c r="A174" s="82">
        <v>33</v>
      </c>
      <c r="B174" s="496" t="s">
        <v>432</v>
      </c>
      <c r="C174" s="28" t="s">
        <v>435</v>
      </c>
      <c r="D174" s="159"/>
      <c r="E174" s="159"/>
      <c r="F174" s="159"/>
      <c r="G174" s="159"/>
      <c r="H174" s="159"/>
      <c r="I174" s="159"/>
      <c r="J174" s="159"/>
      <c r="K174" s="159">
        <f>317</f>
        <v>317</v>
      </c>
      <c r="L174" s="159"/>
      <c r="M174" s="159"/>
      <c r="N174" s="159"/>
      <c r="O174" s="159"/>
      <c r="P174" s="159"/>
      <c r="Q174" s="159"/>
      <c r="R174" s="159">
        <f t="shared" si="18"/>
        <v>317</v>
      </c>
      <c r="S174" s="159"/>
      <c r="T174" s="159"/>
      <c r="U174" s="159"/>
      <c r="W174" s="159"/>
      <c r="X174" s="165">
        <f t="shared" si="15"/>
        <v>0</v>
      </c>
      <c r="Y174" s="239">
        <f t="shared" si="16"/>
        <v>317</v>
      </c>
      <c r="Z174" s="674"/>
      <c r="AA174" s="353"/>
    </row>
    <row r="175" spans="1:27" ht="24" hidden="1" customHeight="1" x14ac:dyDescent="0.2">
      <c r="A175" s="82">
        <v>34</v>
      </c>
      <c r="B175" s="496" t="s">
        <v>433</v>
      </c>
      <c r="C175" s="28" t="s">
        <v>436</v>
      </c>
      <c r="D175" s="159"/>
      <c r="E175" s="159"/>
      <c r="F175" s="159"/>
      <c r="G175" s="159"/>
      <c r="H175" s="159"/>
      <c r="I175" s="159"/>
      <c r="J175" s="159"/>
      <c r="K175" s="159">
        <f>185</f>
        <v>185</v>
      </c>
      <c r="L175" s="159"/>
      <c r="M175" s="159"/>
      <c r="N175" s="159"/>
      <c r="O175" s="159"/>
      <c r="P175" s="159"/>
      <c r="Q175" s="159"/>
      <c r="R175" s="159">
        <f t="shared" si="18"/>
        <v>185</v>
      </c>
      <c r="S175" s="159"/>
      <c r="T175" s="164"/>
      <c r="U175" s="164"/>
      <c r="W175" s="159"/>
      <c r="X175" s="165">
        <f t="shared" si="15"/>
        <v>0</v>
      </c>
      <c r="Y175" s="239">
        <f t="shared" si="16"/>
        <v>185</v>
      </c>
      <c r="Z175" s="673"/>
      <c r="AA175" s="353"/>
    </row>
    <row r="176" spans="1:27" ht="24" hidden="1" customHeight="1" x14ac:dyDescent="0.2">
      <c r="A176" s="82">
        <v>35</v>
      </c>
      <c r="B176" s="681" t="s">
        <v>438</v>
      </c>
      <c r="C176" s="678" t="s">
        <v>437</v>
      </c>
      <c r="D176" s="159"/>
      <c r="E176" s="159"/>
      <c r="F176" s="159"/>
      <c r="G176" s="159"/>
      <c r="H176" s="159">
        <f>592</f>
        <v>592</v>
      </c>
      <c r="I176" s="159"/>
      <c r="J176" s="159"/>
      <c r="K176" s="159">
        <f>-1092</f>
        <v>-1092</v>
      </c>
      <c r="L176" s="159"/>
      <c r="M176" s="159"/>
      <c r="N176" s="159">
        <f>500</f>
        <v>500</v>
      </c>
      <c r="O176" s="159"/>
      <c r="P176" s="159"/>
      <c r="Q176" s="159"/>
      <c r="R176" s="159">
        <f t="shared" si="18"/>
        <v>0</v>
      </c>
      <c r="S176" s="159"/>
      <c r="T176" s="159"/>
      <c r="U176" s="159"/>
      <c r="V176" s="159"/>
      <c r="W176" s="159"/>
      <c r="X176" s="165">
        <f t="shared" si="15"/>
        <v>0</v>
      </c>
      <c r="Y176" s="239">
        <f t="shared" si="16"/>
        <v>0</v>
      </c>
      <c r="Z176" s="675"/>
      <c r="AA176" s="353"/>
    </row>
    <row r="177" spans="1:27" ht="24" hidden="1" customHeight="1" x14ac:dyDescent="0.2">
      <c r="A177" s="82">
        <v>36</v>
      </c>
      <c r="B177" s="496" t="s">
        <v>444</v>
      </c>
      <c r="C177" s="41" t="s">
        <v>445</v>
      </c>
      <c r="D177" s="159"/>
      <c r="E177" s="159"/>
      <c r="F177" s="159"/>
      <c r="G177" s="159"/>
      <c r="H177" s="159"/>
      <c r="I177" s="159"/>
      <c r="J177" s="159"/>
      <c r="K177" s="159">
        <f>-3366</f>
        <v>-3366</v>
      </c>
      <c r="L177" s="159">
        <f>2650+716</f>
        <v>3366</v>
      </c>
      <c r="M177" s="159"/>
      <c r="N177" s="159"/>
      <c r="O177" s="159"/>
      <c r="P177" s="159"/>
      <c r="Q177" s="159"/>
      <c r="R177" s="159">
        <f t="shared" si="18"/>
        <v>0</v>
      </c>
      <c r="S177" s="159"/>
      <c r="T177" s="159"/>
      <c r="U177" s="159"/>
      <c r="V177" s="159"/>
      <c r="W177" s="159"/>
      <c r="X177" s="165">
        <f>SUM(T177:W177)</f>
        <v>0</v>
      </c>
      <c r="Y177" s="239">
        <f>R177+X177</f>
        <v>0</v>
      </c>
      <c r="Z177" s="675"/>
      <c r="AA177" s="353"/>
    </row>
    <row r="178" spans="1:27" ht="24" hidden="1" customHeight="1" x14ac:dyDescent="0.2">
      <c r="A178" s="82">
        <v>37</v>
      </c>
      <c r="B178" s="496" t="s">
        <v>439</v>
      </c>
      <c r="C178" s="28" t="s">
        <v>440</v>
      </c>
      <c r="D178" s="159"/>
      <c r="E178" s="159"/>
      <c r="F178" s="159">
        <f>-2960.734</f>
        <v>-2960.7339999999999</v>
      </c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59">
        <f t="shared" si="18"/>
        <v>-2960.7339999999999</v>
      </c>
      <c r="S178" s="159"/>
      <c r="T178" s="159"/>
      <c r="U178" s="159"/>
      <c r="V178" s="159"/>
      <c r="W178" s="159"/>
      <c r="X178" s="165">
        <f t="shared" si="15"/>
        <v>0</v>
      </c>
      <c r="Y178" s="239">
        <f t="shared" si="16"/>
        <v>-2960.7339999999999</v>
      </c>
      <c r="Z178" s="675">
        <f>2960.734</f>
        <v>2960.7339999999999</v>
      </c>
      <c r="AA178" s="353"/>
    </row>
    <row r="179" spans="1:27" ht="24" hidden="1" customHeight="1" x14ac:dyDescent="0.2">
      <c r="A179" s="82">
        <v>38</v>
      </c>
      <c r="B179" s="496" t="s">
        <v>441</v>
      </c>
      <c r="C179" s="28" t="s">
        <v>208</v>
      </c>
      <c r="D179" s="159">
        <f>-2225.6</f>
        <v>-2225.6</v>
      </c>
      <c r="E179" s="159">
        <f>-600.912</f>
        <v>-600.91200000000003</v>
      </c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59">
        <f t="shared" si="18"/>
        <v>-2826.5119999999997</v>
      </c>
      <c r="S179" s="159"/>
      <c r="T179" s="159"/>
      <c r="U179" s="159"/>
      <c r="V179" s="159"/>
      <c r="W179" s="159"/>
      <c r="X179" s="165">
        <f t="shared" si="15"/>
        <v>0</v>
      </c>
      <c r="Y179" s="239">
        <f t="shared" si="16"/>
        <v>-2826.5119999999997</v>
      </c>
      <c r="Z179" s="675">
        <f>2826.512</f>
        <v>2826.5120000000002</v>
      </c>
      <c r="AA179" s="353"/>
    </row>
    <row r="180" spans="1:27" ht="24" hidden="1" customHeight="1" x14ac:dyDescent="0.2">
      <c r="A180" s="82">
        <v>39</v>
      </c>
      <c r="B180" s="488" t="s">
        <v>442</v>
      </c>
      <c r="C180" s="28" t="s">
        <v>208</v>
      </c>
      <c r="D180" s="159">
        <f>-270-2295.7</f>
        <v>-2565.6999999999998</v>
      </c>
      <c r="E180" s="159">
        <f>-692.739</f>
        <v>-692.73900000000003</v>
      </c>
      <c r="F180" s="159">
        <f>-381-32.165-236-72.685</f>
        <v>-721.84999999999991</v>
      </c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59">
        <f t="shared" si="18"/>
        <v>-3980.2889999999998</v>
      </c>
      <c r="S180" s="159"/>
      <c r="T180" s="159"/>
      <c r="U180" s="159"/>
      <c r="V180" s="159"/>
      <c r="W180" s="159"/>
      <c r="X180" s="165">
        <f t="shared" si="15"/>
        <v>0</v>
      </c>
      <c r="Y180" s="495">
        <f t="shared" si="16"/>
        <v>-3980.2889999999998</v>
      </c>
      <c r="Z180" s="675">
        <f>3980.289</f>
        <v>3980.2890000000002</v>
      </c>
      <c r="AA180" s="353"/>
    </row>
    <row r="181" spans="1:27" ht="24" hidden="1" customHeight="1" x14ac:dyDescent="0.2">
      <c r="A181" s="82">
        <v>40</v>
      </c>
      <c r="B181" s="488" t="s">
        <v>443</v>
      </c>
      <c r="C181" s="28" t="s">
        <v>208</v>
      </c>
      <c r="D181" s="159"/>
      <c r="E181" s="159"/>
      <c r="F181" s="159">
        <f>-675</f>
        <v>-675</v>
      </c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59">
        <f t="shared" si="18"/>
        <v>-675</v>
      </c>
      <c r="S181" s="159"/>
      <c r="T181" s="159"/>
      <c r="U181" s="159"/>
      <c r="V181" s="159"/>
      <c r="W181" s="159"/>
      <c r="X181" s="165">
        <f t="shared" si="15"/>
        <v>0</v>
      </c>
      <c r="Y181" s="239">
        <f t="shared" si="16"/>
        <v>-675</v>
      </c>
      <c r="Z181" s="675">
        <f>675</f>
        <v>675</v>
      </c>
      <c r="AA181" s="353"/>
    </row>
    <row r="182" spans="1:27" ht="24" hidden="1" customHeight="1" x14ac:dyDescent="0.2">
      <c r="A182" s="82">
        <v>41</v>
      </c>
      <c r="B182" s="489" t="s">
        <v>446</v>
      </c>
      <c r="C182" s="28" t="s">
        <v>384</v>
      </c>
      <c r="D182" s="159"/>
      <c r="E182" s="159"/>
      <c r="F182" s="159"/>
      <c r="G182" s="159"/>
      <c r="H182" s="159"/>
      <c r="I182" s="159"/>
      <c r="J182" s="159"/>
      <c r="K182" s="159">
        <f>-11825</f>
        <v>-11825</v>
      </c>
      <c r="L182" s="159"/>
      <c r="M182" s="159"/>
      <c r="N182" s="159"/>
      <c r="O182" s="159"/>
      <c r="P182" s="159"/>
      <c r="Q182" s="159">
        <f>11825</f>
        <v>11825</v>
      </c>
      <c r="R182" s="159">
        <f t="shared" si="18"/>
        <v>0</v>
      </c>
      <c r="S182" s="159"/>
      <c r="T182" s="159"/>
      <c r="U182" s="159"/>
      <c r="V182" s="159"/>
      <c r="W182" s="159"/>
      <c r="X182" s="165">
        <f t="shared" si="15"/>
        <v>0</v>
      </c>
      <c r="Y182" s="239">
        <f t="shared" si="16"/>
        <v>0</v>
      </c>
      <c r="Z182" s="675"/>
      <c r="AA182" s="353"/>
    </row>
    <row r="183" spans="1:27" ht="24" hidden="1" customHeight="1" x14ac:dyDescent="0.2">
      <c r="A183" s="82">
        <v>42</v>
      </c>
      <c r="B183" s="489" t="s">
        <v>447</v>
      </c>
      <c r="C183" s="33" t="s">
        <v>448</v>
      </c>
      <c r="D183" s="159"/>
      <c r="E183" s="159"/>
      <c r="F183" s="159"/>
      <c r="G183" s="159"/>
      <c r="H183" s="159"/>
      <c r="I183" s="159"/>
      <c r="J183" s="159"/>
      <c r="K183" s="159"/>
      <c r="L183" s="159">
        <f>4488+1212</f>
        <v>5700</v>
      </c>
      <c r="M183" s="159"/>
      <c r="N183" s="159"/>
      <c r="O183" s="159"/>
      <c r="P183" s="159"/>
      <c r="Q183" s="159"/>
      <c r="R183" s="159">
        <f t="shared" si="18"/>
        <v>5700</v>
      </c>
      <c r="S183" s="159"/>
      <c r="T183" s="159"/>
      <c r="U183" s="159"/>
      <c r="V183" s="159"/>
      <c r="W183" s="159"/>
      <c r="X183" s="165">
        <f t="shared" si="15"/>
        <v>0</v>
      </c>
      <c r="Y183" s="239">
        <f t="shared" si="16"/>
        <v>5700</v>
      </c>
      <c r="Z183" s="675">
        <f>-5700</f>
        <v>-5700</v>
      </c>
      <c r="AA183" s="353"/>
    </row>
    <row r="184" spans="1:27" ht="24" hidden="1" customHeight="1" x14ac:dyDescent="0.2">
      <c r="A184" s="82">
        <v>43</v>
      </c>
      <c r="B184" s="489" t="s">
        <v>450</v>
      </c>
      <c r="C184" s="41" t="s">
        <v>464</v>
      </c>
      <c r="D184" s="159"/>
      <c r="E184" s="159"/>
      <c r="F184" s="159">
        <f>-130-35</f>
        <v>-165</v>
      </c>
      <c r="G184" s="159"/>
      <c r="H184" s="159"/>
      <c r="I184" s="159"/>
      <c r="J184" s="159"/>
      <c r="K184" s="159"/>
      <c r="L184" s="159">
        <f>130+35</f>
        <v>165</v>
      </c>
      <c r="M184" s="159"/>
      <c r="N184" s="159"/>
      <c r="O184" s="159"/>
      <c r="P184" s="159"/>
      <c r="Q184" s="159"/>
      <c r="R184" s="159">
        <f t="shared" si="18"/>
        <v>0</v>
      </c>
      <c r="S184" s="159"/>
      <c r="T184" s="159"/>
      <c r="U184" s="159"/>
      <c r="V184" s="159"/>
      <c r="W184" s="159"/>
      <c r="X184" s="165">
        <f t="shared" si="15"/>
        <v>0</v>
      </c>
      <c r="Y184" s="239">
        <f t="shared" si="16"/>
        <v>0</v>
      </c>
      <c r="Z184" s="675"/>
      <c r="AA184" s="353"/>
    </row>
    <row r="185" spans="1:27" ht="24" hidden="1" customHeight="1" x14ac:dyDescent="0.2">
      <c r="A185" s="82">
        <v>44</v>
      </c>
      <c r="B185" s="488" t="s">
        <v>451</v>
      </c>
      <c r="C185" s="41" t="s">
        <v>238</v>
      </c>
      <c r="D185" s="159"/>
      <c r="E185" s="159"/>
      <c r="F185" s="159">
        <f>189</f>
        <v>189</v>
      </c>
      <c r="G185" s="159"/>
      <c r="H185" s="159"/>
      <c r="I185" s="159"/>
      <c r="J185" s="159"/>
      <c r="K185" s="159">
        <f>700</f>
        <v>700</v>
      </c>
      <c r="L185" s="159"/>
      <c r="M185" s="159"/>
      <c r="N185" s="159"/>
      <c r="O185" s="159"/>
      <c r="P185" s="159"/>
      <c r="Q185" s="159"/>
      <c r="R185" s="159">
        <f t="shared" si="18"/>
        <v>889</v>
      </c>
      <c r="S185" s="159"/>
      <c r="T185" s="159"/>
      <c r="U185" s="159"/>
      <c r="V185" s="159"/>
      <c r="W185" s="159"/>
      <c r="X185" s="165">
        <f t="shared" si="15"/>
        <v>0</v>
      </c>
      <c r="Y185" s="239">
        <f t="shared" si="16"/>
        <v>889</v>
      </c>
      <c r="Z185" s="675"/>
      <c r="AA185" s="353"/>
    </row>
    <row r="186" spans="1:27" ht="24" hidden="1" customHeight="1" x14ac:dyDescent="0.2">
      <c r="A186" s="82">
        <v>45</v>
      </c>
      <c r="B186" s="488" t="s">
        <v>452</v>
      </c>
      <c r="C186" s="28" t="s">
        <v>445</v>
      </c>
      <c r="D186" s="159"/>
      <c r="E186" s="159"/>
      <c r="F186" s="159"/>
      <c r="G186" s="159"/>
      <c r="H186" s="159"/>
      <c r="I186" s="159"/>
      <c r="J186" s="159"/>
      <c r="K186" s="159">
        <f>-76200</f>
        <v>-76200</v>
      </c>
      <c r="L186" s="159">
        <f>60000+16200</f>
        <v>76200</v>
      </c>
      <c r="M186" s="159"/>
      <c r="N186" s="159"/>
      <c r="O186" s="159"/>
      <c r="P186" s="159"/>
      <c r="Q186" s="159"/>
      <c r="R186" s="159">
        <f t="shared" si="18"/>
        <v>0</v>
      </c>
      <c r="S186" s="159"/>
      <c r="T186" s="159"/>
      <c r="U186" s="159"/>
      <c r="V186" s="159"/>
      <c r="W186" s="159"/>
      <c r="X186" s="165">
        <f t="shared" si="15"/>
        <v>0</v>
      </c>
      <c r="Y186" s="239">
        <f t="shared" si="16"/>
        <v>0</v>
      </c>
      <c r="Z186" s="675"/>
      <c r="AA186" s="353"/>
    </row>
    <row r="187" spans="1:27" ht="24" hidden="1" customHeight="1" x14ac:dyDescent="0.2">
      <c r="A187" s="82">
        <v>46</v>
      </c>
      <c r="B187" s="488" t="s">
        <v>454</v>
      </c>
      <c r="C187" s="28" t="s">
        <v>453</v>
      </c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>
        <f t="shared" si="18"/>
        <v>0</v>
      </c>
      <c r="S187" s="159"/>
      <c r="T187" s="164"/>
      <c r="U187" s="164"/>
      <c r="V187" s="164"/>
      <c r="W187" s="159"/>
      <c r="X187" s="165">
        <f t="shared" si="15"/>
        <v>0</v>
      </c>
      <c r="Y187" s="239">
        <f t="shared" si="16"/>
        <v>0</v>
      </c>
      <c r="Z187" s="328">
        <f>2021.653</f>
        <v>2021.653</v>
      </c>
      <c r="AA187" s="353"/>
    </row>
    <row r="188" spans="1:27" ht="24" hidden="1" customHeight="1" x14ac:dyDescent="0.2">
      <c r="A188" s="82">
        <v>47</v>
      </c>
      <c r="B188" s="488" t="s">
        <v>454</v>
      </c>
      <c r="C188" s="41" t="s">
        <v>457</v>
      </c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>
        <f t="shared" si="18"/>
        <v>0</v>
      </c>
      <c r="S188" s="159"/>
      <c r="T188" s="159"/>
      <c r="U188" s="159"/>
      <c r="V188" s="159"/>
      <c r="W188" s="159"/>
      <c r="X188" s="165">
        <f t="shared" si="15"/>
        <v>0</v>
      </c>
      <c r="Y188" s="239">
        <f t="shared" si="16"/>
        <v>0</v>
      </c>
      <c r="Z188" s="328">
        <f>5178.432</f>
        <v>5178.4319999999998</v>
      </c>
      <c r="AA188" s="353"/>
    </row>
    <row r="189" spans="1:27" ht="24" hidden="1" customHeight="1" x14ac:dyDescent="0.2">
      <c r="A189" s="82">
        <v>48</v>
      </c>
      <c r="B189" s="488" t="s">
        <v>454</v>
      </c>
      <c r="C189" s="41" t="s">
        <v>458</v>
      </c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>
        <f t="shared" si="18"/>
        <v>0</v>
      </c>
      <c r="S189" s="159"/>
      <c r="T189" s="159"/>
      <c r="U189" s="159"/>
      <c r="V189" s="159"/>
      <c r="W189" s="159"/>
      <c r="X189" s="165">
        <f t="shared" si="15"/>
        <v>0</v>
      </c>
      <c r="Y189" s="239">
        <f t="shared" si="16"/>
        <v>0</v>
      </c>
      <c r="Z189" s="328">
        <f>3859.403</f>
        <v>3859.4029999999998</v>
      </c>
      <c r="AA189" s="353"/>
    </row>
    <row r="190" spans="1:27" ht="24" hidden="1" customHeight="1" x14ac:dyDescent="0.2">
      <c r="A190" s="82">
        <v>49</v>
      </c>
      <c r="B190" s="488" t="s">
        <v>459</v>
      </c>
      <c r="C190" s="28" t="s">
        <v>460</v>
      </c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>
        <f t="shared" si="18"/>
        <v>0</v>
      </c>
      <c r="S190" s="159"/>
      <c r="T190" s="159"/>
      <c r="U190" s="159"/>
      <c r="V190" s="159"/>
      <c r="W190" s="159"/>
      <c r="X190" s="165">
        <f t="shared" si="15"/>
        <v>0</v>
      </c>
      <c r="Y190" s="239">
        <f t="shared" si="16"/>
        <v>0</v>
      </c>
      <c r="Z190" s="328">
        <f>7919.281</f>
        <v>7919.2809999999999</v>
      </c>
      <c r="AA190" s="353"/>
    </row>
    <row r="191" spans="1:27" ht="24" hidden="1" customHeight="1" x14ac:dyDescent="0.2">
      <c r="A191" s="82">
        <v>50</v>
      </c>
      <c r="B191" s="488" t="s">
        <v>461</v>
      </c>
      <c r="C191" s="28" t="s">
        <v>462</v>
      </c>
      <c r="D191" s="159"/>
      <c r="E191" s="159"/>
      <c r="F191" s="159">
        <f>87+23</f>
        <v>110</v>
      </c>
      <c r="G191" s="159"/>
      <c r="H191" s="159"/>
      <c r="I191" s="159"/>
      <c r="J191" s="159"/>
      <c r="K191" s="159">
        <f>-110</f>
        <v>-110</v>
      </c>
      <c r="L191" s="159"/>
      <c r="M191" s="159"/>
      <c r="N191" s="159"/>
      <c r="O191" s="159"/>
      <c r="P191" s="159"/>
      <c r="Q191" s="159"/>
      <c r="R191" s="159">
        <f t="shared" si="18"/>
        <v>0</v>
      </c>
      <c r="S191" s="159"/>
      <c r="T191" s="164"/>
      <c r="U191" s="164"/>
      <c r="V191" s="164"/>
      <c r="W191" s="159"/>
      <c r="X191" s="165">
        <f t="shared" si="15"/>
        <v>0</v>
      </c>
      <c r="Y191" s="239">
        <f t="shared" si="16"/>
        <v>0</v>
      </c>
      <c r="Z191" s="328"/>
      <c r="AA191" s="353"/>
    </row>
    <row r="192" spans="1:27" ht="24" hidden="1" customHeight="1" x14ac:dyDescent="0.2">
      <c r="A192" s="82">
        <v>51</v>
      </c>
      <c r="B192" s="488" t="s">
        <v>463</v>
      </c>
      <c r="C192" s="28" t="s">
        <v>465</v>
      </c>
      <c r="D192" s="159"/>
      <c r="E192" s="159"/>
      <c r="F192" s="159"/>
      <c r="G192" s="159"/>
      <c r="H192" s="159"/>
      <c r="I192" s="159"/>
      <c r="J192" s="159"/>
      <c r="K192" s="159">
        <f>225</f>
        <v>225</v>
      </c>
      <c r="L192" s="159"/>
      <c r="M192" s="159"/>
      <c r="N192" s="159"/>
      <c r="O192" s="159"/>
      <c r="P192" s="159"/>
      <c r="Q192" s="159"/>
      <c r="R192" s="159">
        <f t="shared" si="18"/>
        <v>225</v>
      </c>
      <c r="S192" s="159"/>
      <c r="T192" s="159"/>
      <c r="U192" s="159"/>
      <c r="V192" s="159"/>
      <c r="W192" s="159"/>
      <c r="X192" s="165">
        <f t="shared" si="15"/>
        <v>0</v>
      </c>
      <c r="Y192" s="239">
        <f t="shared" si="16"/>
        <v>225</v>
      </c>
      <c r="Z192" s="328"/>
      <c r="AA192" s="353"/>
    </row>
    <row r="193" spans="1:27" ht="24" hidden="1" customHeight="1" x14ac:dyDescent="0.2">
      <c r="A193" s="82">
        <v>52</v>
      </c>
      <c r="B193" s="496" t="s">
        <v>466</v>
      </c>
      <c r="C193" s="41" t="s">
        <v>467</v>
      </c>
      <c r="D193" s="159"/>
      <c r="E193" s="159"/>
      <c r="F193" s="159">
        <f>-360-98</f>
        <v>-458</v>
      </c>
      <c r="G193" s="159"/>
      <c r="H193" s="159"/>
      <c r="I193" s="159"/>
      <c r="J193" s="159"/>
      <c r="K193" s="159"/>
      <c r="L193" s="159">
        <f>180+49+180+49</f>
        <v>458</v>
      </c>
      <c r="M193" s="159"/>
      <c r="N193" s="159"/>
      <c r="O193" s="159"/>
      <c r="P193" s="159"/>
      <c r="Q193" s="159"/>
      <c r="R193" s="159">
        <f t="shared" si="18"/>
        <v>0</v>
      </c>
      <c r="S193" s="159"/>
      <c r="T193" s="164"/>
      <c r="U193" s="164"/>
      <c r="V193" s="164"/>
      <c r="W193" s="159"/>
      <c r="X193" s="165">
        <f t="shared" si="15"/>
        <v>0</v>
      </c>
      <c r="Y193" s="239">
        <f t="shared" si="16"/>
        <v>0</v>
      </c>
      <c r="Z193" s="328"/>
      <c r="AA193" s="353"/>
    </row>
    <row r="194" spans="1:27" ht="24" hidden="1" customHeight="1" x14ac:dyDescent="0.2">
      <c r="A194" s="82">
        <v>53</v>
      </c>
      <c r="B194" s="488" t="s">
        <v>468</v>
      </c>
      <c r="C194" s="28" t="s">
        <v>208</v>
      </c>
      <c r="D194" s="159"/>
      <c r="E194" s="159"/>
      <c r="F194" s="159"/>
      <c r="G194" s="159"/>
      <c r="H194" s="159"/>
      <c r="I194" s="159"/>
      <c r="J194" s="159"/>
      <c r="K194" s="159"/>
      <c r="L194" s="159">
        <f>-12205-3295</f>
        <v>-15500</v>
      </c>
      <c r="M194" s="159"/>
      <c r="N194" s="159"/>
      <c r="O194" s="159"/>
      <c r="P194" s="159"/>
      <c r="Q194" s="159"/>
      <c r="R194" s="159">
        <f t="shared" si="18"/>
        <v>-15500</v>
      </c>
      <c r="S194" s="159"/>
      <c r="T194" s="159"/>
      <c r="U194" s="159"/>
      <c r="V194" s="159"/>
      <c r="W194" s="159"/>
      <c r="X194" s="165">
        <f t="shared" si="15"/>
        <v>0</v>
      </c>
      <c r="Y194" s="239">
        <f t="shared" si="16"/>
        <v>-15500</v>
      </c>
      <c r="Z194" s="328">
        <f>15500</f>
        <v>15500</v>
      </c>
      <c r="AA194" s="353"/>
    </row>
    <row r="195" spans="1:27" ht="24" hidden="1" customHeight="1" x14ac:dyDescent="0.2">
      <c r="A195" s="82">
        <v>54</v>
      </c>
      <c r="B195" s="490" t="s">
        <v>470</v>
      </c>
      <c r="C195" s="33" t="s">
        <v>250</v>
      </c>
      <c r="D195" s="159"/>
      <c r="E195" s="159"/>
      <c r="F195" s="159"/>
      <c r="G195" s="159"/>
      <c r="H195" s="159"/>
      <c r="I195" s="159"/>
      <c r="J195" s="159"/>
      <c r="K195" s="159">
        <f>-500</f>
        <v>-500</v>
      </c>
      <c r="L195" s="159"/>
      <c r="M195" s="159"/>
      <c r="N195" s="159">
        <f>500</f>
        <v>500</v>
      </c>
      <c r="O195" s="159"/>
      <c r="P195" s="159"/>
      <c r="Q195" s="159"/>
      <c r="R195" s="159">
        <f t="shared" si="18"/>
        <v>0</v>
      </c>
      <c r="S195" s="159"/>
      <c r="T195" s="159"/>
      <c r="U195" s="159"/>
      <c r="V195" s="159"/>
      <c r="W195" s="159"/>
      <c r="X195" s="165">
        <f t="shared" si="15"/>
        <v>0</v>
      </c>
      <c r="Y195" s="239">
        <f t="shared" si="16"/>
        <v>0</v>
      </c>
      <c r="Z195" s="328"/>
      <c r="AA195" s="353"/>
    </row>
    <row r="196" spans="1:27" ht="24" hidden="1" customHeight="1" x14ac:dyDescent="0.2">
      <c r="A196" s="82">
        <v>55</v>
      </c>
      <c r="B196" s="232" t="s">
        <v>474</v>
      </c>
      <c r="C196" s="28" t="s">
        <v>473</v>
      </c>
      <c r="D196" s="159"/>
      <c r="E196" s="159"/>
      <c r="F196" s="159"/>
      <c r="G196" s="159"/>
      <c r="H196" s="159"/>
      <c r="I196" s="159">
        <f>7228</f>
        <v>7228</v>
      </c>
      <c r="J196" s="159"/>
      <c r="K196" s="159">
        <f>-7228</f>
        <v>-7228</v>
      </c>
      <c r="L196" s="159"/>
      <c r="M196" s="159"/>
      <c r="N196" s="159"/>
      <c r="O196" s="159"/>
      <c r="P196" s="159"/>
      <c r="Q196" s="159"/>
      <c r="R196" s="159">
        <f t="shared" si="18"/>
        <v>0</v>
      </c>
      <c r="S196" s="159"/>
      <c r="T196" s="159"/>
      <c r="U196" s="159"/>
      <c r="V196" s="159"/>
      <c r="W196" s="159"/>
      <c r="X196" s="165">
        <f t="shared" si="15"/>
        <v>0</v>
      </c>
      <c r="Y196" s="239">
        <f t="shared" si="16"/>
        <v>0</v>
      </c>
      <c r="Z196" s="328"/>
      <c r="AA196" s="353"/>
    </row>
    <row r="197" spans="1:27" ht="24" hidden="1" customHeight="1" x14ac:dyDescent="0.2">
      <c r="A197" s="82">
        <v>56</v>
      </c>
      <c r="B197" s="232" t="s">
        <v>476</v>
      </c>
      <c r="C197" s="28" t="s">
        <v>475</v>
      </c>
      <c r="D197" s="159"/>
      <c r="E197" s="159"/>
      <c r="F197" s="159"/>
      <c r="G197" s="159"/>
      <c r="H197" s="159"/>
      <c r="I197" s="159"/>
      <c r="J197" s="159"/>
      <c r="K197" s="159">
        <f>-7874</f>
        <v>-7874</v>
      </c>
      <c r="L197" s="159">
        <f>6200+1674</f>
        <v>7874</v>
      </c>
      <c r="M197" s="159"/>
      <c r="N197" s="159"/>
      <c r="O197" s="159"/>
      <c r="P197" s="159"/>
      <c r="Q197" s="159"/>
      <c r="R197" s="159">
        <f t="shared" si="18"/>
        <v>0</v>
      </c>
      <c r="S197" s="159"/>
      <c r="T197" s="159"/>
      <c r="U197" s="159"/>
      <c r="V197" s="159"/>
      <c r="W197" s="159"/>
      <c r="X197" s="165">
        <f t="shared" si="15"/>
        <v>0</v>
      </c>
      <c r="Y197" s="239">
        <f t="shared" si="16"/>
        <v>0</v>
      </c>
      <c r="Z197" s="328"/>
      <c r="AA197" s="353"/>
    </row>
    <row r="198" spans="1:27" ht="24" hidden="1" customHeight="1" x14ac:dyDescent="0.2">
      <c r="A198" s="82">
        <v>57</v>
      </c>
      <c r="B198" s="232" t="s">
        <v>485</v>
      </c>
      <c r="C198" s="28" t="s">
        <v>486</v>
      </c>
      <c r="D198" s="159"/>
      <c r="E198" s="159"/>
      <c r="F198" s="159"/>
      <c r="G198" s="159"/>
      <c r="H198" s="159"/>
      <c r="I198" s="159"/>
      <c r="J198" s="159"/>
      <c r="K198" s="159">
        <f>-3809</f>
        <v>-3809</v>
      </c>
      <c r="L198" s="159"/>
      <c r="M198" s="159"/>
      <c r="N198" s="159"/>
      <c r="O198" s="159"/>
      <c r="P198" s="159"/>
      <c r="Q198" s="159"/>
      <c r="R198" s="159">
        <f t="shared" si="18"/>
        <v>-3809</v>
      </c>
      <c r="S198" s="159"/>
      <c r="T198" s="159"/>
      <c r="U198" s="159"/>
      <c r="V198" s="159"/>
      <c r="W198" s="159"/>
      <c r="X198" s="165">
        <f>SUM(T198:W198)</f>
        <v>0</v>
      </c>
      <c r="Y198" s="239">
        <f>R198+X198</f>
        <v>-3809</v>
      </c>
      <c r="Z198" s="328">
        <f>3809</f>
        <v>3809</v>
      </c>
      <c r="AA198" s="353"/>
    </row>
    <row r="199" spans="1:27" ht="24" hidden="1" customHeight="1" x14ac:dyDescent="0.2">
      <c r="A199" s="82">
        <v>58</v>
      </c>
      <c r="B199" s="232" t="s">
        <v>480</v>
      </c>
      <c r="C199" s="33" t="s">
        <v>479</v>
      </c>
      <c r="D199" s="159"/>
      <c r="E199" s="159"/>
      <c r="F199" s="159"/>
      <c r="G199" s="159"/>
      <c r="H199" s="159"/>
      <c r="I199" s="159"/>
      <c r="J199" s="159"/>
      <c r="K199" s="159">
        <f>-13566</f>
        <v>-13566</v>
      </c>
      <c r="L199" s="159"/>
      <c r="M199" s="159"/>
      <c r="N199" s="159"/>
      <c r="O199" s="159"/>
      <c r="P199" s="159"/>
      <c r="Q199" s="159"/>
      <c r="R199" s="159">
        <f t="shared" si="18"/>
        <v>-13566</v>
      </c>
      <c r="S199" s="159"/>
      <c r="T199" s="159"/>
      <c r="U199" s="159"/>
      <c r="V199" s="159"/>
      <c r="W199" s="159"/>
      <c r="X199" s="165">
        <f t="shared" si="15"/>
        <v>0</v>
      </c>
      <c r="Y199" s="239">
        <f t="shared" si="16"/>
        <v>-13566</v>
      </c>
      <c r="Z199" s="328">
        <f>13566</f>
        <v>13566</v>
      </c>
      <c r="AA199" s="353"/>
    </row>
    <row r="200" spans="1:27" ht="24" hidden="1" customHeight="1" x14ac:dyDescent="0.2">
      <c r="A200" s="82">
        <v>59</v>
      </c>
      <c r="B200" s="45" t="s">
        <v>482</v>
      </c>
      <c r="C200" s="33" t="s">
        <v>481</v>
      </c>
      <c r="D200" s="159"/>
      <c r="E200" s="159"/>
      <c r="F200" s="159">
        <f>-528-143</f>
        <v>-671</v>
      </c>
      <c r="G200" s="159"/>
      <c r="H200" s="159"/>
      <c r="I200" s="159"/>
      <c r="J200" s="159">
        <f>671</f>
        <v>671</v>
      </c>
      <c r="K200" s="159"/>
      <c r="L200" s="159"/>
      <c r="M200" s="159"/>
      <c r="N200" s="159"/>
      <c r="O200" s="159"/>
      <c r="P200" s="159"/>
      <c r="Q200" s="159"/>
      <c r="R200" s="159">
        <f t="shared" si="18"/>
        <v>0</v>
      </c>
      <c r="S200" s="159"/>
      <c r="T200" s="159"/>
      <c r="U200" s="159"/>
      <c r="V200" s="159"/>
      <c r="W200" s="159"/>
      <c r="X200" s="165">
        <f t="shared" si="15"/>
        <v>0</v>
      </c>
      <c r="Y200" s="239">
        <f t="shared" si="16"/>
        <v>0</v>
      </c>
      <c r="Z200" s="328"/>
      <c r="AA200" s="353"/>
    </row>
    <row r="201" spans="1:27" ht="24" hidden="1" customHeight="1" x14ac:dyDescent="0.2">
      <c r="A201" s="82">
        <v>60</v>
      </c>
      <c r="B201" s="232" t="s">
        <v>483</v>
      </c>
      <c r="C201" s="28" t="s">
        <v>484</v>
      </c>
      <c r="D201" s="159"/>
      <c r="E201" s="159"/>
      <c r="F201" s="159"/>
      <c r="G201" s="159"/>
      <c r="H201" s="159"/>
      <c r="I201" s="159"/>
      <c r="J201" s="159"/>
      <c r="K201" s="159">
        <f>-4319</f>
        <v>-4319</v>
      </c>
      <c r="L201" s="159">
        <f>1950+527+1450+392</f>
        <v>4319</v>
      </c>
      <c r="M201" s="159"/>
      <c r="N201" s="159"/>
      <c r="O201" s="159"/>
      <c r="P201" s="159"/>
      <c r="Q201" s="159"/>
      <c r="R201" s="159">
        <f t="shared" si="18"/>
        <v>0</v>
      </c>
      <c r="S201" s="159"/>
      <c r="T201" s="159"/>
      <c r="U201" s="159"/>
      <c r="V201" s="159"/>
      <c r="W201" s="159"/>
      <c r="X201" s="165">
        <f t="shared" si="15"/>
        <v>0</v>
      </c>
      <c r="Y201" s="239">
        <f t="shared" si="16"/>
        <v>0</v>
      </c>
      <c r="Z201" s="328"/>
      <c r="AA201" s="353"/>
    </row>
    <row r="202" spans="1:27" ht="24" hidden="1" customHeight="1" x14ac:dyDescent="0.2">
      <c r="A202" s="82">
        <v>61</v>
      </c>
      <c r="B202" s="232" t="s">
        <v>487</v>
      </c>
      <c r="C202" s="28" t="s">
        <v>493</v>
      </c>
      <c r="D202" s="159"/>
      <c r="E202" s="159">
        <f>40+30</f>
        <v>70</v>
      </c>
      <c r="F202" s="159">
        <f>-164+64+30</f>
        <v>-70</v>
      </c>
      <c r="G202" s="159"/>
      <c r="H202" s="159"/>
      <c r="I202" s="159"/>
      <c r="J202" s="159"/>
      <c r="K202" s="159"/>
      <c r="L202" s="159"/>
      <c r="M202" s="159"/>
      <c r="N202" s="159"/>
      <c r="O202" s="159"/>
      <c r="P202" s="159"/>
      <c r="Q202" s="159"/>
      <c r="R202" s="159">
        <f t="shared" si="18"/>
        <v>0</v>
      </c>
      <c r="S202" s="159"/>
      <c r="T202" s="159"/>
      <c r="U202" s="159"/>
      <c r="V202" s="159"/>
      <c r="W202" s="159"/>
      <c r="X202" s="165">
        <f>SUM(T202:W202)</f>
        <v>0</v>
      </c>
      <c r="Y202" s="239">
        <f>R202+X202</f>
        <v>0</v>
      </c>
      <c r="Z202" s="328"/>
      <c r="AA202" s="353"/>
    </row>
    <row r="203" spans="1:27" ht="24" hidden="1" customHeight="1" x14ac:dyDescent="0.2">
      <c r="A203" s="82">
        <v>62</v>
      </c>
      <c r="B203" s="32" t="s">
        <v>488</v>
      </c>
      <c r="C203" s="28" t="s">
        <v>208</v>
      </c>
      <c r="D203" s="159"/>
      <c r="E203" s="159"/>
      <c r="F203" s="159"/>
      <c r="G203" s="159"/>
      <c r="H203" s="159"/>
      <c r="I203" s="159"/>
      <c r="J203" s="159"/>
      <c r="K203" s="159"/>
      <c r="L203" s="159">
        <f>-6614-1786</f>
        <v>-8400</v>
      </c>
      <c r="M203" s="159"/>
      <c r="N203" s="159"/>
      <c r="O203" s="159"/>
      <c r="P203" s="159"/>
      <c r="Q203" s="159"/>
      <c r="R203" s="159">
        <f t="shared" si="18"/>
        <v>-8400</v>
      </c>
      <c r="S203" s="159"/>
      <c r="T203" s="159"/>
      <c r="U203" s="159"/>
      <c r="V203" s="159"/>
      <c r="W203" s="159"/>
      <c r="X203" s="165">
        <f t="shared" si="15"/>
        <v>0</v>
      </c>
      <c r="Y203" s="239">
        <f t="shared" si="16"/>
        <v>-8400</v>
      </c>
      <c r="Z203" s="328">
        <f>8400</f>
        <v>8400</v>
      </c>
      <c r="AA203" s="353"/>
    </row>
    <row r="204" spans="1:27" ht="24" hidden="1" customHeight="1" x14ac:dyDescent="0.2">
      <c r="A204" s="82">
        <v>63</v>
      </c>
      <c r="B204" s="32" t="s">
        <v>489</v>
      </c>
      <c r="C204" s="28" t="s">
        <v>208</v>
      </c>
      <c r="D204" s="159"/>
      <c r="E204" s="159"/>
      <c r="F204" s="159"/>
      <c r="G204" s="159"/>
      <c r="H204" s="159"/>
      <c r="I204" s="159"/>
      <c r="J204" s="159"/>
      <c r="K204" s="159"/>
      <c r="L204" s="159">
        <f>-4000-1080</f>
        <v>-5080</v>
      </c>
      <c r="M204" s="159"/>
      <c r="N204" s="159"/>
      <c r="O204" s="159"/>
      <c r="P204" s="159"/>
      <c r="Q204" s="159"/>
      <c r="R204" s="159">
        <f t="shared" si="18"/>
        <v>-5080</v>
      </c>
      <c r="S204" s="159"/>
      <c r="T204" s="159"/>
      <c r="U204" s="159"/>
      <c r="V204" s="159"/>
      <c r="W204" s="159"/>
      <c r="X204" s="165">
        <f t="shared" si="15"/>
        <v>0</v>
      </c>
      <c r="Y204" s="239">
        <f t="shared" si="16"/>
        <v>-5080</v>
      </c>
      <c r="Z204" s="328">
        <f>5080</f>
        <v>5080</v>
      </c>
      <c r="AA204" s="353"/>
    </row>
    <row r="205" spans="1:27" ht="24" hidden="1" customHeight="1" x14ac:dyDescent="0.2">
      <c r="A205" s="82">
        <v>64</v>
      </c>
      <c r="B205" s="32" t="s">
        <v>490</v>
      </c>
      <c r="C205" s="28" t="s">
        <v>208</v>
      </c>
      <c r="D205" s="159"/>
      <c r="E205" s="159"/>
      <c r="F205" s="159"/>
      <c r="G205" s="159"/>
      <c r="H205" s="159"/>
      <c r="I205" s="159"/>
      <c r="J205" s="159"/>
      <c r="K205" s="159"/>
      <c r="L205" s="159">
        <f>-2047-553</f>
        <v>-2600</v>
      </c>
      <c r="M205" s="159"/>
      <c r="N205" s="159"/>
      <c r="O205" s="159"/>
      <c r="P205" s="159"/>
      <c r="Q205" s="159"/>
      <c r="R205" s="159">
        <f t="shared" si="18"/>
        <v>-2600</v>
      </c>
      <c r="S205" s="159"/>
      <c r="T205" s="159"/>
      <c r="U205" s="159"/>
      <c r="V205" s="159"/>
      <c r="W205" s="159"/>
      <c r="X205" s="165">
        <f t="shared" si="15"/>
        <v>0</v>
      </c>
      <c r="Y205" s="239">
        <f t="shared" si="16"/>
        <v>-2600</v>
      </c>
      <c r="Z205" s="328">
        <f>2600</f>
        <v>2600</v>
      </c>
      <c r="AA205" s="353"/>
    </row>
    <row r="206" spans="1:27" ht="24" hidden="1" customHeight="1" x14ac:dyDescent="0.2">
      <c r="A206" s="82">
        <v>65</v>
      </c>
      <c r="B206" s="231" t="s">
        <v>491</v>
      </c>
      <c r="C206" s="28" t="s">
        <v>492</v>
      </c>
      <c r="D206" s="159"/>
      <c r="E206" s="159"/>
      <c r="F206" s="159"/>
      <c r="G206" s="159"/>
      <c r="H206" s="159"/>
      <c r="I206" s="159"/>
      <c r="J206" s="159"/>
      <c r="K206" s="159">
        <f>-490</f>
        <v>-490</v>
      </c>
      <c r="L206" s="159"/>
      <c r="M206" s="159"/>
      <c r="N206" s="159"/>
      <c r="O206" s="159"/>
      <c r="P206" s="159"/>
      <c r="Q206" s="159"/>
      <c r="R206" s="159">
        <f t="shared" si="18"/>
        <v>-490</v>
      </c>
      <c r="S206" s="159"/>
      <c r="T206" s="159"/>
      <c r="U206" s="159"/>
      <c r="V206" s="159"/>
      <c r="W206" s="159"/>
      <c r="X206" s="165">
        <f t="shared" si="15"/>
        <v>0</v>
      </c>
      <c r="Y206" s="239">
        <f t="shared" si="16"/>
        <v>-490</v>
      </c>
      <c r="Z206" s="328">
        <f>490</f>
        <v>490</v>
      </c>
      <c r="AA206" s="353"/>
    </row>
    <row r="207" spans="1:27" ht="24" hidden="1" customHeight="1" x14ac:dyDescent="0.2">
      <c r="A207" s="82">
        <v>66</v>
      </c>
      <c r="B207" s="31" t="s">
        <v>494</v>
      </c>
      <c r="C207" s="41" t="s">
        <v>495</v>
      </c>
      <c r="D207" s="164"/>
      <c r="E207" s="164"/>
      <c r="F207" s="159">
        <f>9</f>
        <v>9</v>
      </c>
      <c r="G207" s="159"/>
      <c r="H207" s="159"/>
      <c r="I207" s="159"/>
      <c r="J207" s="159"/>
      <c r="K207" s="159"/>
      <c r="L207" s="159">
        <f>-7-2</f>
        <v>-9</v>
      </c>
      <c r="M207" s="159"/>
      <c r="N207" s="159"/>
      <c r="O207" s="159"/>
      <c r="P207" s="159"/>
      <c r="Q207" s="159"/>
      <c r="R207" s="159">
        <f t="shared" si="18"/>
        <v>0</v>
      </c>
      <c r="S207" s="159"/>
      <c r="T207" s="159"/>
      <c r="U207" s="159"/>
      <c r="V207" s="159"/>
      <c r="W207" s="159"/>
      <c r="X207" s="165">
        <f t="shared" si="15"/>
        <v>0</v>
      </c>
      <c r="Y207" s="239">
        <f t="shared" si="16"/>
        <v>0</v>
      </c>
      <c r="Z207" s="328"/>
      <c r="AA207" s="353"/>
    </row>
    <row r="208" spans="1:27" ht="24" hidden="1" customHeight="1" x14ac:dyDescent="0.2">
      <c r="A208" s="82">
        <v>67</v>
      </c>
      <c r="B208" s="229" t="s">
        <v>496</v>
      </c>
      <c r="C208" s="41" t="s">
        <v>497</v>
      </c>
      <c r="D208" s="159"/>
      <c r="E208" s="159"/>
      <c r="F208" s="159"/>
      <c r="G208" s="159"/>
      <c r="H208" s="159"/>
      <c r="I208" s="159"/>
      <c r="J208" s="159"/>
      <c r="K208" s="159"/>
      <c r="L208" s="159">
        <f>-3396-917</f>
        <v>-4313</v>
      </c>
      <c r="M208" s="159">
        <f>3396+917</f>
        <v>4313</v>
      </c>
      <c r="N208" s="159"/>
      <c r="O208" s="159"/>
      <c r="P208" s="159"/>
      <c r="Q208" s="159"/>
      <c r="R208" s="159">
        <f t="shared" si="18"/>
        <v>0</v>
      </c>
      <c r="S208" s="159"/>
      <c r="T208" s="159"/>
      <c r="U208" s="159"/>
      <c r="V208" s="159"/>
      <c r="W208" s="159"/>
      <c r="X208" s="165">
        <f t="shared" si="15"/>
        <v>0</v>
      </c>
      <c r="Y208" s="239">
        <f t="shared" si="16"/>
        <v>0</v>
      </c>
      <c r="Z208" s="328"/>
      <c r="AA208" s="353"/>
    </row>
    <row r="209" spans="1:27" ht="24" hidden="1" customHeight="1" x14ac:dyDescent="0.2">
      <c r="A209" s="82">
        <v>68</v>
      </c>
      <c r="B209" s="695" t="s">
        <v>499</v>
      </c>
      <c r="C209" s="41" t="s">
        <v>498</v>
      </c>
      <c r="D209" s="159"/>
      <c r="E209" s="159"/>
      <c r="F209" s="159"/>
      <c r="G209" s="159"/>
      <c r="H209" s="159"/>
      <c r="I209" s="159"/>
      <c r="J209" s="159"/>
      <c r="K209" s="159">
        <f>14119.329</f>
        <v>14119.329</v>
      </c>
      <c r="L209" s="159"/>
      <c r="M209" s="159"/>
      <c r="N209" s="159"/>
      <c r="O209" s="159"/>
      <c r="P209" s="159"/>
      <c r="Q209" s="159"/>
      <c r="R209" s="159">
        <f t="shared" si="18"/>
        <v>14119.329</v>
      </c>
      <c r="S209" s="159"/>
      <c r="T209" s="159"/>
      <c r="U209" s="159"/>
      <c r="V209" s="159"/>
      <c r="W209" s="159"/>
      <c r="X209" s="165">
        <f t="shared" si="15"/>
        <v>0</v>
      </c>
      <c r="Y209" s="239">
        <f t="shared" si="16"/>
        <v>14119.329</v>
      </c>
      <c r="Z209" s="328"/>
      <c r="AA209" s="353"/>
    </row>
    <row r="210" spans="1:27" ht="24" hidden="1" customHeight="1" x14ac:dyDescent="0.2">
      <c r="A210" s="82"/>
      <c r="B210" s="31"/>
      <c r="C210" s="41"/>
      <c r="D210" s="159"/>
      <c r="E210" s="159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59"/>
      <c r="S210" s="159"/>
      <c r="T210" s="159"/>
      <c r="U210" s="159"/>
      <c r="V210" s="159"/>
      <c r="W210" s="159"/>
      <c r="X210" s="165"/>
      <c r="Y210" s="239"/>
      <c r="Z210" s="328"/>
      <c r="AA210" s="353"/>
    </row>
    <row r="211" spans="1:27" ht="24" hidden="1" customHeight="1" x14ac:dyDescent="0.2">
      <c r="A211" s="82"/>
      <c r="B211" s="106"/>
      <c r="C211" s="28"/>
      <c r="D211" s="159"/>
      <c r="E211" s="159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59"/>
      <c r="S211" s="159"/>
      <c r="T211" s="159"/>
      <c r="U211" s="159"/>
      <c r="V211" s="159"/>
      <c r="W211" s="159"/>
      <c r="X211" s="165">
        <f t="shared" si="15"/>
        <v>0</v>
      </c>
      <c r="Y211" s="239">
        <f t="shared" si="16"/>
        <v>0</v>
      </c>
      <c r="Z211" s="328"/>
      <c r="AA211" s="353"/>
    </row>
    <row r="212" spans="1:27" ht="24" hidden="1" customHeight="1" x14ac:dyDescent="0.2">
      <c r="A212" s="82"/>
      <c r="B212" s="84"/>
      <c r="C212" s="41"/>
      <c r="D212" s="159"/>
      <c r="E212" s="159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59"/>
      <c r="S212" s="159"/>
      <c r="T212" s="159"/>
      <c r="U212" s="159"/>
      <c r="V212" s="159"/>
      <c r="W212" s="159"/>
      <c r="X212" s="165">
        <f t="shared" si="15"/>
        <v>0</v>
      </c>
      <c r="Y212" s="239">
        <f t="shared" si="16"/>
        <v>0</v>
      </c>
      <c r="Z212" s="328"/>
      <c r="AA212" s="353"/>
    </row>
    <row r="213" spans="1:27" ht="24" hidden="1" customHeight="1" x14ac:dyDescent="0.2">
      <c r="A213" s="82"/>
      <c r="B213" s="31"/>
      <c r="C213" s="41"/>
      <c r="D213" s="159"/>
      <c r="E213" s="159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59"/>
      <c r="S213" s="159"/>
      <c r="T213" s="159"/>
      <c r="U213" s="159"/>
      <c r="V213" s="159"/>
      <c r="W213" s="159"/>
      <c r="X213" s="165">
        <f t="shared" si="15"/>
        <v>0</v>
      </c>
      <c r="Y213" s="239">
        <f t="shared" si="16"/>
        <v>0</v>
      </c>
      <c r="Z213" s="328"/>
      <c r="AA213" s="353"/>
    </row>
    <row r="214" spans="1:27" ht="24" hidden="1" customHeight="1" x14ac:dyDescent="0.2">
      <c r="A214" s="82"/>
      <c r="B214" s="31"/>
      <c r="C214" s="41"/>
      <c r="D214" s="159"/>
      <c r="E214" s="159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59"/>
      <c r="S214" s="159"/>
      <c r="T214" s="159"/>
      <c r="U214" s="159"/>
      <c r="V214" s="159"/>
      <c r="W214" s="159"/>
      <c r="X214" s="165">
        <f t="shared" si="15"/>
        <v>0</v>
      </c>
      <c r="Y214" s="239">
        <f t="shared" si="16"/>
        <v>0</v>
      </c>
      <c r="Z214" s="328"/>
      <c r="AA214" s="353"/>
    </row>
    <row r="215" spans="1:27" ht="24" hidden="1" customHeight="1" x14ac:dyDescent="0.2">
      <c r="A215" s="82"/>
      <c r="B215" s="31"/>
      <c r="C215" s="41"/>
      <c r="D215" s="159"/>
      <c r="E215" s="159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59"/>
      <c r="S215" s="159"/>
      <c r="T215" s="159"/>
      <c r="U215" s="159"/>
      <c r="V215" s="159"/>
      <c r="W215" s="159"/>
      <c r="X215" s="165">
        <f t="shared" si="15"/>
        <v>0</v>
      </c>
      <c r="Y215" s="239">
        <f t="shared" si="16"/>
        <v>0</v>
      </c>
      <c r="Z215" s="328"/>
      <c r="AA215" s="353"/>
    </row>
    <row r="216" spans="1:27" ht="24" hidden="1" customHeight="1" x14ac:dyDescent="0.2">
      <c r="A216" s="82"/>
      <c r="B216" s="30"/>
      <c r="C216" s="28"/>
      <c r="D216" s="159"/>
      <c r="E216" s="159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59"/>
      <c r="S216" s="159"/>
      <c r="T216" s="159"/>
      <c r="U216" s="159"/>
      <c r="V216" s="159"/>
      <c r="W216" s="159"/>
      <c r="X216" s="165">
        <f t="shared" si="15"/>
        <v>0</v>
      </c>
      <c r="Y216" s="239">
        <f t="shared" si="16"/>
        <v>0</v>
      </c>
      <c r="Z216" s="328"/>
      <c r="AA216" s="353"/>
    </row>
    <row r="217" spans="1:27" ht="24" hidden="1" customHeight="1" x14ac:dyDescent="0.2">
      <c r="A217" s="130"/>
      <c r="B217" s="106"/>
      <c r="C217" s="107"/>
      <c r="D217" s="168"/>
      <c r="E217" s="168"/>
      <c r="F217" s="168"/>
      <c r="G217" s="168"/>
      <c r="H217" s="168"/>
      <c r="I217" s="168"/>
      <c r="J217" s="168"/>
      <c r="K217" s="168"/>
      <c r="L217" s="168"/>
      <c r="M217" s="168"/>
      <c r="N217" s="168"/>
      <c r="O217" s="168"/>
      <c r="P217" s="168"/>
      <c r="Q217" s="168"/>
      <c r="R217" s="168"/>
      <c r="S217" s="168"/>
      <c r="T217" s="168"/>
      <c r="U217" s="168"/>
      <c r="V217" s="168"/>
      <c r="W217" s="168"/>
      <c r="X217" s="472">
        <f t="shared" si="15"/>
        <v>0</v>
      </c>
      <c r="Y217" s="368">
        <f t="shared" si="16"/>
        <v>0</v>
      </c>
      <c r="Z217" s="382"/>
      <c r="AA217" s="353"/>
    </row>
    <row r="218" spans="1:27" ht="24" hidden="1" customHeight="1" x14ac:dyDescent="0.2">
      <c r="A218" s="82"/>
      <c r="B218" s="84"/>
      <c r="C218" s="41"/>
      <c r="D218" s="159"/>
      <c r="E218" s="159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59"/>
      <c r="S218" s="159"/>
      <c r="T218" s="159"/>
      <c r="U218" s="159"/>
      <c r="V218" s="159"/>
      <c r="W218" s="159"/>
      <c r="X218" s="165">
        <f t="shared" si="15"/>
        <v>0</v>
      </c>
      <c r="Y218" s="239">
        <f t="shared" si="16"/>
        <v>0</v>
      </c>
      <c r="Z218" s="328"/>
      <c r="AA218" s="353"/>
    </row>
    <row r="219" spans="1:27" ht="24" hidden="1" customHeight="1" x14ac:dyDescent="0.2">
      <c r="A219" s="82"/>
      <c r="B219" s="31"/>
      <c r="C219" s="41" t="s">
        <v>68</v>
      </c>
      <c r="D219" s="159"/>
      <c r="E219" s="159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59"/>
      <c r="S219" s="159"/>
      <c r="T219" s="159"/>
      <c r="U219" s="159"/>
      <c r="V219" s="159"/>
      <c r="W219" s="159"/>
      <c r="X219" s="165">
        <f t="shared" ref="X219:X343" si="21">SUM(T219:W219)</f>
        <v>0</v>
      </c>
      <c r="Y219" s="239">
        <f t="shared" ref="Y219:Y343" si="22">R219+X219</f>
        <v>0</v>
      </c>
      <c r="Z219" s="328"/>
      <c r="AA219" s="353"/>
    </row>
    <row r="220" spans="1:27" ht="17.25" hidden="1" customHeight="1" thickBot="1" x14ac:dyDescent="0.25">
      <c r="A220" s="82"/>
      <c r="B220" s="106"/>
      <c r="C220" s="107"/>
      <c r="D220" s="108"/>
      <c r="E220" s="108"/>
      <c r="F220" s="72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9"/>
      <c r="Y220" s="369"/>
      <c r="Z220" s="383"/>
      <c r="AA220" s="345"/>
    </row>
    <row r="221" spans="1:27" ht="24.95" hidden="1" customHeight="1" thickTop="1" thickBot="1" x14ac:dyDescent="0.25">
      <c r="A221" s="42"/>
      <c r="B221" s="111" t="s">
        <v>185</v>
      </c>
      <c r="C221" s="44" t="s">
        <v>19</v>
      </c>
      <c r="D221" s="492">
        <f t="shared" ref="D221:Q221" si="23">SUM(D142:D220)</f>
        <v>-13141.3</v>
      </c>
      <c r="E221" s="492">
        <f t="shared" si="23"/>
        <v>-3468.1510000000003</v>
      </c>
      <c r="F221" s="492">
        <f t="shared" si="23"/>
        <v>-3683.0039999999999</v>
      </c>
      <c r="G221" s="492">
        <f t="shared" si="23"/>
        <v>0</v>
      </c>
      <c r="H221" s="492">
        <f t="shared" si="23"/>
        <v>592</v>
      </c>
      <c r="I221" s="492">
        <f t="shared" si="23"/>
        <v>8383</v>
      </c>
      <c r="J221" s="492">
        <f t="shared" si="23"/>
        <v>-189</v>
      </c>
      <c r="K221" s="492">
        <f t="shared" si="23"/>
        <v>-145438.52300000002</v>
      </c>
      <c r="L221" s="492">
        <f t="shared" si="23"/>
        <v>85155</v>
      </c>
      <c r="M221" s="492">
        <f t="shared" si="23"/>
        <v>9113</v>
      </c>
      <c r="N221" s="492">
        <f t="shared" si="23"/>
        <v>1000</v>
      </c>
      <c r="O221" s="492">
        <f t="shared" si="23"/>
        <v>0</v>
      </c>
      <c r="P221" s="492">
        <f t="shared" si="23"/>
        <v>0</v>
      </c>
      <c r="Q221" s="492">
        <f t="shared" si="23"/>
        <v>16288</v>
      </c>
      <c r="R221" s="492">
        <f t="shared" si="18"/>
        <v>-45388.978000000003</v>
      </c>
      <c r="S221" s="492"/>
      <c r="T221" s="492">
        <f>SUM(T142:T220)</f>
        <v>0</v>
      </c>
      <c r="U221" s="492">
        <f>SUM(U142:U220)</f>
        <v>0</v>
      </c>
      <c r="V221" s="492">
        <f>SUM(V142:V220)</f>
        <v>0</v>
      </c>
      <c r="W221" s="492">
        <f>SUM(W142:W220)</f>
        <v>0</v>
      </c>
      <c r="X221" s="493">
        <f t="shared" si="21"/>
        <v>0</v>
      </c>
      <c r="Y221" s="493">
        <f t="shared" si="22"/>
        <v>-45388.978000000003</v>
      </c>
      <c r="Z221" s="494">
        <f>SUM(Z142:Z220)</f>
        <v>97493.942999999999</v>
      </c>
      <c r="AA221" s="354"/>
    </row>
    <row r="222" spans="1:27" ht="16.5" hidden="1" customHeight="1" thickTop="1" x14ac:dyDescent="0.2">
      <c r="A222" s="82"/>
      <c r="B222" s="31"/>
      <c r="C222" s="41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59">
        <f t="shared" si="18"/>
        <v>0</v>
      </c>
      <c r="S222" s="159"/>
      <c r="T222" s="159"/>
      <c r="U222" s="159"/>
      <c r="V222" s="159"/>
      <c r="W222" s="159"/>
      <c r="X222" s="165">
        <f t="shared" si="21"/>
        <v>0</v>
      </c>
      <c r="Y222" s="239">
        <f t="shared" si="22"/>
        <v>0</v>
      </c>
      <c r="Z222" s="328"/>
      <c r="AA222" s="353"/>
    </row>
    <row r="223" spans="1:27" ht="16.5" hidden="1" customHeight="1" x14ac:dyDescent="0.2">
      <c r="A223" s="82"/>
      <c r="B223" s="32"/>
      <c r="C223" s="41"/>
      <c r="D223" s="159"/>
      <c r="E223" s="159"/>
      <c r="F223" s="159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59">
        <f t="shared" si="18"/>
        <v>0</v>
      </c>
      <c r="S223" s="159"/>
      <c r="T223" s="159"/>
      <c r="U223" s="159"/>
      <c r="V223" s="159"/>
      <c r="W223" s="159"/>
      <c r="X223" s="165">
        <f t="shared" si="21"/>
        <v>0</v>
      </c>
      <c r="Y223" s="239">
        <f t="shared" si="22"/>
        <v>0</v>
      </c>
      <c r="Z223" s="328"/>
      <c r="AA223" s="353"/>
    </row>
    <row r="224" spans="1:27" ht="16.5" hidden="1" customHeight="1" x14ac:dyDescent="0.2">
      <c r="A224" s="82"/>
      <c r="B224" s="31"/>
      <c r="C224" s="41"/>
      <c r="D224" s="159"/>
      <c r="E224" s="159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59">
        <f t="shared" si="18"/>
        <v>0</v>
      </c>
      <c r="S224" s="159"/>
      <c r="T224" s="159"/>
      <c r="U224" s="159"/>
      <c r="V224" s="159"/>
      <c r="W224" s="159"/>
      <c r="X224" s="165">
        <f t="shared" si="21"/>
        <v>0</v>
      </c>
      <c r="Y224" s="239">
        <f t="shared" si="22"/>
        <v>0</v>
      </c>
      <c r="Z224" s="328"/>
      <c r="AA224" s="353"/>
    </row>
    <row r="225" spans="1:28" ht="16.5" hidden="1" customHeight="1" x14ac:dyDescent="0.2">
      <c r="A225" s="82"/>
      <c r="B225" s="31"/>
      <c r="C225" s="41"/>
      <c r="D225" s="159"/>
      <c r="E225" s="159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59">
        <f t="shared" si="18"/>
        <v>0</v>
      </c>
      <c r="S225" s="159"/>
      <c r="T225" s="159"/>
      <c r="U225" s="159"/>
      <c r="V225" s="159"/>
      <c r="W225" s="159"/>
      <c r="X225" s="165">
        <f t="shared" si="21"/>
        <v>0</v>
      </c>
      <c r="Y225" s="239">
        <f t="shared" si="22"/>
        <v>0</v>
      </c>
      <c r="Z225" s="328"/>
      <c r="AA225" s="353"/>
    </row>
    <row r="226" spans="1:28" ht="16.5" hidden="1" customHeight="1" x14ac:dyDescent="0.2">
      <c r="A226" s="82"/>
      <c r="B226" s="32"/>
      <c r="C226" s="41"/>
      <c r="D226" s="159"/>
      <c r="E226" s="159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59">
        <f t="shared" ref="R226:R343" si="24">SUM(D226:Q226)</f>
        <v>0</v>
      </c>
      <c r="S226" s="159"/>
      <c r="T226" s="159"/>
      <c r="U226" s="159"/>
      <c r="V226" s="159"/>
      <c r="W226" s="159"/>
      <c r="X226" s="165">
        <f t="shared" si="21"/>
        <v>0</v>
      </c>
      <c r="Y226" s="239">
        <f t="shared" si="22"/>
        <v>0</v>
      </c>
      <c r="Z226" s="328"/>
      <c r="AA226" s="353"/>
    </row>
    <row r="227" spans="1:28" ht="16.5" hidden="1" customHeight="1" x14ac:dyDescent="0.2">
      <c r="A227" s="82"/>
      <c r="B227" s="31"/>
      <c r="C227" s="41"/>
      <c r="D227" s="159"/>
      <c r="E227" s="159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59">
        <f t="shared" si="24"/>
        <v>0</v>
      </c>
      <c r="S227" s="159"/>
      <c r="T227" s="159"/>
      <c r="U227" s="159"/>
      <c r="V227" s="159"/>
      <c r="W227" s="159"/>
      <c r="X227" s="165">
        <f t="shared" si="21"/>
        <v>0</v>
      </c>
      <c r="Y227" s="239">
        <f t="shared" si="22"/>
        <v>0</v>
      </c>
      <c r="Z227" s="328"/>
      <c r="AA227" s="353"/>
    </row>
    <row r="228" spans="1:28" ht="16.5" hidden="1" customHeight="1" x14ac:dyDescent="0.2">
      <c r="A228" s="82"/>
      <c r="B228" s="31"/>
      <c r="C228" s="41"/>
      <c r="D228" s="159"/>
      <c r="E228" s="159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59">
        <f t="shared" si="24"/>
        <v>0</v>
      </c>
      <c r="S228" s="159"/>
      <c r="T228" s="159"/>
      <c r="U228" s="159"/>
      <c r="V228" s="159"/>
      <c r="W228" s="159"/>
      <c r="X228" s="165">
        <f t="shared" si="21"/>
        <v>0</v>
      </c>
      <c r="Y228" s="239">
        <f t="shared" si="22"/>
        <v>0</v>
      </c>
      <c r="Z228" s="328"/>
      <c r="AA228" s="353"/>
    </row>
    <row r="229" spans="1:28" ht="17.25" hidden="1" customHeight="1" thickBot="1" x14ac:dyDescent="0.25">
      <c r="A229" s="82"/>
      <c r="B229" s="31"/>
      <c r="C229" s="41"/>
      <c r="D229" s="159"/>
      <c r="E229" s="159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59">
        <f t="shared" si="24"/>
        <v>0</v>
      </c>
      <c r="S229" s="159"/>
      <c r="T229" s="159"/>
      <c r="U229" s="159"/>
      <c r="V229" s="159"/>
      <c r="W229" s="159"/>
      <c r="X229" s="165">
        <f t="shared" si="21"/>
        <v>0</v>
      </c>
      <c r="Y229" s="239">
        <f t="shared" si="22"/>
        <v>0</v>
      </c>
      <c r="Z229" s="328"/>
      <c r="AA229" s="353"/>
    </row>
    <row r="230" spans="1:28" ht="18.75" hidden="1" customHeight="1" thickTop="1" thickBot="1" x14ac:dyDescent="0.25">
      <c r="A230" s="110"/>
      <c r="B230" s="112" t="s">
        <v>62</v>
      </c>
      <c r="C230" s="44"/>
      <c r="D230" s="166">
        <f t="shared" ref="D230:I230" si="25">SUM(D222:D226)</f>
        <v>0</v>
      </c>
      <c r="E230" s="166">
        <f t="shared" si="25"/>
        <v>0</v>
      </c>
      <c r="F230" s="166">
        <f t="shared" si="25"/>
        <v>0</v>
      </c>
      <c r="G230" s="166">
        <f t="shared" si="25"/>
        <v>0</v>
      </c>
      <c r="H230" s="166">
        <f t="shared" si="25"/>
        <v>0</v>
      </c>
      <c r="I230" s="166">
        <f t="shared" si="25"/>
        <v>0</v>
      </c>
      <c r="J230" s="166">
        <f>SUM(J222:J226)</f>
        <v>0</v>
      </c>
      <c r="K230" s="166">
        <f t="shared" ref="K230:W230" si="26">SUM(K222:K226)</f>
        <v>0</v>
      </c>
      <c r="L230" s="166">
        <f t="shared" si="26"/>
        <v>0</v>
      </c>
      <c r="M230" s="166">
        <f t="shared" si="26"/>
        <v>0</v>
      </c>
      <c r="N230" s="166">
        <f t="shared" si="26"/>
        <v>0</v>
      </c>
      <c r="O230" s="166">
        <f t="shared" si="26"/>
        <v>0</v>
      </c>
      <c r="P230" s="166">
        <f t="shared" si="26"/>
        <v>0</v>
      </c>
      <c r="Q230" s="166">
        <f t="shared" si="26"/>
        <v>0</v>
      </c>
      <c r="R230" s="166">
        <f t="shared" si="24"/>
        <v>0</v>
      </c>
      <c r="S230" s="166"/>
      <c r="T230" s="166">
        <f t="shared" si="26"/>
        <v>0</v>
      </c>
      <c r="U230" s="166">
        <f>SUM(U222:U226)</f>
        <v>0</v>
      </c>
      <c r="V230" s="166">
        <f>SUM(V222:V226)</f>
        <v>0</v>
      </c>
      <c r="W230" s="166">
        <f t="shared" si="26"/>
        <v>0</v>
      </c>
      <c r="X230" s="169">
        <f t="shared" si="21"/>
        <v>0</v>
      </c>
      <c r="Y230" s="169">
        <f t="shared" si="22"/>
        <v>0</v>
      </c>
      <c r="Z230" s="272">
        <f>SUM(Z222:Z226)</f>
        <v>0</v>
      </c>
      <c r="AA230" s="354"/>
    </row>
    <row r="231" spans="1:28" ht="24.95" hidden="1" customHeight="1" thickTop="1" thickBot="1" x14ac:dyDescent="0.25">
      <c r="A231" s="42"/>
      <c r="B231" s="701" t="s">
        <v>501</v>
      </c>
      <c r="C231" s="44" t="s">
        <v>157</v>
      </c>
      <c r="D231" s="259">
        <f t="shared" ref="D231:Q231" si="27">D141+D221+D230</f>
        <v>129063.7</v>
      </c>
      <c r="E231" s="259">
        <f t="shared" si="27"/>
        <v>35760.849000000002</v>
      </c>
      <c r="F231" s="259">
        <f t="shared" si="27"/>
        <v>4707733.8320000004</v>
      </c>
      <c r="G231" s="259">
        <f t="shared" si="27"/>
        <v>237721.74</v>
      </c>
      <c r="H231" s="259">
        <f t="shared" si="27"/>
        <v>8592</v>
      </c>
      <c r="I231" s="259">
        <f t="shared" si="27"/>
        <v>56238</v>
      </c>
      <c r="J231" s="259">
        <f t="shared" si="27"/>
        <v>654993</v>
      </c>
      <c r="K231" s="259">
        <f t="shared" si="27"/>
        <v>2010438.0350000001</v>
      </c>
      <c r="L231" s="259">
        <f t="shared" si="27"/>
        <v>3833501</v>
      </c>
      <c r="M231" s="259">
        <f t="shared" si="27"/>
        <v>61771</v>
      </c>
      <c r="N231" s="259">
        <f t="shared" si="27"/>
        <v>69837</v>
      </c>
      <c r="O231" s="259">
        <f t="shared" si="27"/>
        <v>13183</v>
      </c>
      <c r="P231" s="259">
        <f t="shared" si="27"/>
        <v>0</v>
      </c>
      <c r="Q231" s="259">
        <f t="shared" si="27"/>
        <v>498483</v>
      </c>
      <c r="R231" s="259">
        <f t="shared" si="24"/>
        <v>12317316.155999999</v>
      </c>
      <c r="S231" s="259"/>
      <c r="T231" s="259">
        <f>T141+T221+T230</f>
        <v>0</v>
      </c>
      <c r="U231" s="259">
        <f>U141+U221+U230</f>
        <v>4550000</v>
      </c>
      <c r="V231" s="259">
        <f>V141+V221+V230</f>
        <v>54061.391000000003</v>
      </c>
      <c r="W231" s="259">
        <f>W141+W221+W230</f>
        <v>0</v>
      </c>
      <c r="X231" s="259">
        <f t="shared" si="21"/>
        <v>4604061.3909999998</v>
      </c>
      <c r="Y231" s="259">
        <f t="shared" si="22"/>
        <v>16921377.546999998</v>
      </c>
      <c r="Z231" s="235">
        <f>Z141+Z221+Z230</f>
        <v>6356737.3550000004</v>
      </c>
      <c r="AA231" s="352"/>
      <c r="AB231" s="85">
        <f>Y231+Z231</f>
        <v>23278114.901999999</v>
      </c>
    </row>
    <row r="232" spans="1:28" ht="24.95" hidden="1" customHeight="1" thickTop="1" x14ac:dyDescent="0.2">
      <c r="A232" s="187"/>
      <c r="B232" s="188" t="s">
        <v>188</v>
      </c>
      <c r="C232" s="136" t="s">
        <v>18</v>
      </c>
      <c r="D232" s="236">
        <f t="shared" ref="D232:W232" si="28">D231</f>
        <v>129063.7</v>
      </c>
      <c r="E232" s="236">
        <f t="shared" si="28"/>
        <v>35760.849000000002</v>
      </c>
      <c r="F232" s="236">
        <f t="shared" si="28"/>
        <v>4707733.8320000004</v>
      </c>
      <c r="G232" s="236">
        <f t="shared" si="28"/>
        <v>237721.74</v>
      </c>
      <c r="H232" s="236">
        <f t="shared" si="28"/>
        <v>8592</v>
      </c>
      <c r="I232" s="236">
        <f t="shared" si="28"/>
        <v>56238</v>
      </c>
      <c r="J232" s="236">
        <f t="shared" si="28"/>
        <v>654993</v>
      </c>
      <c r="K232" s="236">
        <f t="shared" si="28"/>
        <v>2010438.0350000001</v>
      </c>
      <c r="L232" s="236">
        <f t="shared" si="28"/>
        <v>3833501</v>
      </c>
      <c r="M232" s="236">
        <f t="shared" si="28"/>
        <v>61771</v>
      </c>
      <c r="N232" s="236">
        <f t="shared" si="28"/>
        <v>69837</v>
      </c>
      <c r="O232" s="236">
        <f t="shared" si="28"/>
        <v>13183</v>
      </c>
      <c r="P232" s="236">
        <f t="shared" si="28"/>
        <v>0</v>
      </c>
      <c r="Q232" s="236">
        <f t="shared" si="28"/>
        <v>498483</v>
      </c>
      <c r="R232" s="236">
        <f t="shared" si="24"/>
        <v>12317316.155999999</v>
      </c>
      <c r="S232" s="236"/>
      <c r="T232" s="236">
        <f t="shared" si="28"/>
        <v>0</v>
      </c>
      <c r="U232" s="236">
        <f t="shared" si="28"/>
        <v>4550000</v>
      </c>
      <c r="V232" s="236">
        <f t="shared" si="28"/>
        <v>54061.391000000003</v>
      </c>
      <c r="W232" s="236">
        <f t="shared" si="28"/>
        <v>0</v>
      </c>
      <c r="X232" s="487">
        <f t="shared" si="21"/>
        <v>4604061.3909999998</v>
      </c>
      <c r="Y232" s="370">
        <f t="shared" si="22"/>
        <v>16921377.546999998</v>
      </c>
      <c r="Z232" s="384">
        <f>Z231</f>
        <v>6356737.3550000004</v>
      </c>
      <c r="AA232" s="346"/>
    </row>
    <row r="233" spans="1:28" ht="24.95" hidden="1" customHeight="1" x14ac:dyDescent="0.2">
      <c r="A233" s="213"/>
      <c r="B233" s="188"/>
      <c r="C233" s="592"/>
      <c r="D233" s="716"/>
      <c r="E233" s="716"/>
      <c r="F233" s="716"/>
      <c r="G233" s="716"/>
      <c r="H233" s="716"/>
      <c r="I233" s="716"/>
      <c r="J233" s="716"/>
      <c r="K233" s="716"/>
      <c r="L233" s="716"/>
      <c r="M233" s="716"/>
      <c r="N233" s="716"/>
      <c r="O233" s="716"/>
      <c r="P233" s="716"/>
      <c r="Q233" s="716"/>
      <c r="R233" s="716"/>
      <c r="S233" s="716"/>
      <c r="T233" s="716"/>
      <c r="U233" s="716"/>
      <c r="V233" s="716"/>
      <c r="W233" s="716"/>
      <c r="X233" s="717"/>
      <c r="Y233" s="371"/>
      <c r="Z233" s="718"/>
      <c r="AA233" s="346"/>
    </row>
    <row r="234" spans="1:28" ht="24.95" hidden="1" customHeight="1" x14ac:dyDescent="0.2">
      <c r="A234" s="82">
        <v>1</v>
      </c>
      <c r="B234" s="120" t="s">
        <v>503</v>
      </c>
      <c r="C234" s="28" t="s">
        <v>504</v>
      </c>
      <c r="D234" s="164"/>
      <c r="E234" s="164"/>
      <c r="F234" s="159">
        <f>25000+6750</f>
        <v>31750</v>
      </c>
      <c r="G234" s="159"/>
      <c r="H234" s="159"/>
      <c r="I234" s="159"/>
      <c r="J234" s="159"/>
      <c r="K234" s="159">
        <f>-31750</f>
        <v>-31750</v>
      </c>
      <c r="L234" s="159"/>
      <c r="M234" s="159"/>
      <c r="N234" s="159"/>
      <c r="O234" s="159"/>
      <c r="P234" s="159"/>
      <c r="Q234" s="159"/>
      <c r="R234" s="159">
        <f t="shared" si="24"/>
        <v>0</v>
      </c>
      <c r="S234" s="159"/>
      <c r="T234" s="159"/>
      <c r="U234" s="159"/>
      <c r="V234" s="159"/>
      <c r="W234" s="159"/>
      <c r="X234" s="165">
        <f t="shared" si="21"/>
        <v>0</v>
      </c>
      <c r="Y234" s="239">
        <f t="shared" si="22"/>
        <v>0</v>
      </c>
      <c r="Z234" s="328"/>
      <c r="AA234" s="353"/>
    </row>
    <row r="235" spans="1:28" ht="24.95" hidden="1" customHeight="1" x14ac:dyDescent="0.2">
      <c r="A235" s="82">
        <v>2</v>
      </c>
      <c r="B235" s="120" t="s">
        <v>506</v>
      </c>
      <c r="C235" s="28" t="s">
        <v>505</v>
      </c>
      <c r="D235" s="164"/>
      <c r="E235" s="164"/>
      <c r="F235" s="159">
        <f>-3500-945</f>
        <v>-4445</v>
      </c>
      <c r="G235" s="159"/>
      <c r="H235" s="159"/>
      <c r="I235" s="159"/>
      <c r="J235" s="159"/>
      <c r="K235" s="159"/>
      <c r="L235" s="159">
        <f>3500+945</f>
        <v>4445</v>
      </c>
      <c r="M235" s="159"/>
      <c r="N235" s="159"/>
      <c r="O235" s="159"/>
      <c r="P235" s="159"/>
      <c r="Q235" s="159"/>
      <c r="R235" s="159">
        <f t="shared" si="24"/>
        <v>0</v>
      </c>
      <c r="S235" s="159"/>
      <c r="T235" s="159"/>
      <c r="U235" s="159"/>
      <c r="V235" s="159"/>
      <c r="W235" s="159"/>
      <c r="X235" s="165">
        <f t="shared" si="21"/>
        <v>0</v>
      </c>
      <c r="Y235" s="239">
        <f t="shared" si="22"/>
        <v>0</v>
      </c>
      <c r="Z235" s="328"/>
      <c r="AA235" s="353"/>
    </row>
    <row r="236" spans="1:28" ht="24.95" hidden="1" customHeight="1" x14ac:dyDescent="0.2">
      <c r="A236" s="82">
        <v>3</v>
      </c>
      <c r="B236" s="120" t="s">
        <v>507</v>
      </c>
      <c r="C236" s="28" t="s">
        <v>508</v>
      </c>
      <c r="D236" s="164"/>
      <c r="E236" s="164"/>
      <c r="F236" s="159"/>
      <c r="G236" s="159"/>
      <c r="H236" s="159"/>
      <c r="I236" s="159"/>
      <c r="J236" s="159"/>
      <c r="K236" s="159">
        <f>-1524</f>
        <v>-1524</v>
      </c>
      <c r="L236" s="159"/>
      <c r="M236" s="159">
        <f>1200+324</f>
        <v>1524</v>
      </c>
      <c r="N236" s="159"/>
      <c r="O236" s="159"/>
      <c r="P236" s="159"/>
      <c r="Q236" s="159"/>
      <c r="R236" s="159">
        <f t="shared" si="24"/>
        <v>0</v>
      </c>
      <c r="S236" s="159"/>
      <c r="T236" s="159"/>
      <c r="U236" s="159"/>
      <c r="V236" s="159"/>
      <c r="W236" s="159"/>
      <c r="X236" s="165">
        <f t="shared" si="21"/>
        <v>0</v>
      </c>
      <c r="Y236" s="239">
        <f t="shared" si="22"/>
        <v>0</v>
      </c>
      <c r="Z236" s="328"/>
      <c r="AA236" s="353"/>
    </row>
    <row r="237" spans="1:28" ht="24.95" hidden="1" customHeight="1" x14ac:dyDescent="0.2">
      <c r="A237" s="82">
        <v>4</v>
      </c>
      <c r="B237" s="120" t="s">
        <v>511</v>
      </c>
      <c r="C237" s="28" t="s">
        <v>512</v>
      </c>
      <c r="D237" s="164"/>
      <c r="E237" s="164"/>
      <c r="F237" s="159">
        <f>-2024-350-95+2024</f>
        <v>-445</v>
      </c>
      <c r="G237" s="159"/>
      <c r="H237" s="159"/>
      <c r="I237" s="159"/>
      <c r="J237" s="159"/>
      <c r="K237" s="159"/>
      <c r="L237" s="159">
        <f>-7497+7847+95</f>
        <v>445</v>
      </c>
      <c r="M237" s="159"/>
      <c r="N237" s="159"/>
      <c r="O237" s="159"/>
      <c r="P237" s="159"/>
      <c r="Q237" s="159"/>
      <c r="R237" s="159">
        <f t="shared" si="24"/>
        <v>0</v>
      </c>
      <c r="S237" s="159"/>
      <c r="T237" s="159"/>
      <c r="U237" s="159"/>
      <c r="V237" s="159"/>
      <c r="W237" s="159"/>
      <c r="X237" s="165">
        <f t="shared" si="21"/>
        <v>0</v>
      </c>
      <c r="Y237" s="239">
        <f t="shared" si="22"/>
        <v>0</v>
      </c>
      <c r="Z237" s="328"/>
      <c r="AA237" s="353"/>
    </row>
    <row r="238" spans="1:28" ht="24.95" hidden="1" customHeight="1" x14ac:dyDescent="0.2">
      <c r="A238" s="82">
        <v>5</v>
      </c>
      <c r="B238" s="120" t="s">
        <v>533</v>
      </c>
      <c r="C238" s="28" t="s">
        <v>534</v>
      </c>
      <c r="D238" s="164"/>
      <c r="E238" s="164"/>
      <c r="F238" s="159"/>
      <c r="G238" s="159"/>
      <c r="H238" s="159"/>
      <c r="I238" s="159"/>
      <c r="J238" s="159"/>
      <c r="K238" s="159">
        <f>-205</f>
        <v>-205</v>
      </c>
      <c r="L238" s="159"/>
      <c r="M238" s="159"/>
      <c r="N238" s="159"/>
      <c r="O238" s="159"/>
      <c r="P238" s="159"/>
      <c r="Q238" s="159"/>
      <c r="R238" s="159">
        <f t="shared" si="24"/>
        <v>-205</v>
      </c>
      <c r="S238" s="159"/>
      <c r="T238" s="159"/>
      <c r="U238" s="159"/>
      <c r="V238" s="159"/>
      <c r="W238" s="159"/>
      <c r="X238" s="165">
        <f t="shared" si="21"/>
        <v>0</v>
      </c>
      <c r="Y238" s="239">
        <f t="shared" si="22"/>
        <v>-205</v>
      </c>
      <c r="Z238" s="328">
        <f>205</f>
        <v>205</v>
      </c>
      <c r="AA238" s="353"/>
    </row>
    <row r="239" spans="1:28" ht="24.95" hidden="1" customHeight="1" x14ac:dyDescent="0.2">
      <c r="A239" s="82">
        <v>6</v>
      </c>
      <c r="B239" s="120" t="s">
        <v>513</v>
      </c>
      <c r="C239" s="28" t="s">
        <v>515</v>
      </c>
      <c r="D239" s="164"/>
      <c r="E239" s="164"/>
      <c r="F239" s="159"/>
      <c r="G239" s="159"/>
      <c r="H239" s="159"/>
      <c r="I239" s="159"/>
      <c r="J239" s="159">
        <f>85</f>
        <v>85</v>
      </c>
      <c r="K239" s="159">
        <f>-85</f>
        <v>-85</v>
      </c>
      <c r="L239" s="159"/>
      <c r="M239" s="159"/>
      <c r="N239" s="159"/>
      <c r="O239" s="159"/>
      <c r="P239" s="159"/>
      <c r="Q239" s="159"/>
      <c r="R239" s="159">
        <f t="shared" si="24"/>
        <v>0</v>
      </c>
      <c r="S239" s="159"/>
      <c r="T239" s="159"/>
      <c r="U239" s="159"/>
      <c r="V239" s="159"/>
      <c r="W239" s="159"/>
      <c r="X239" s="165">
        <f t="shared" si="21"/>
        <v>0</v>
      </c>
      <c r="Y239" s="239">
        <f t="shared" si="22"/>
        <v>0</v>
      </c>
      <c r="Z239" s="328"/>
      <c r="AA239" s="353"/>
    </row>
    <row r="240" spans="1:28" ht="24.95" hidden="1" customHeight="1" x14ac:dyDescent="0.2">
      <c r="A240" s="82">
        <v>7</v>
      </c>
      <c r="B240" s="322" t="s">
        <v>514</v>
      </c>
      <c r="C240" s="28" t="s">
        <v>516</v>
      </c>
      <c r="D240" s="164"/>
      <c r="E240" s="164"/>
      <c r="F240" s="159"/>
      <c r="G240" s="159"/>
      <c r="H240" s="159"/>
      <c r="I240" s="159"/>
      <c r="J240" s="159"/>
      <c r="K240" s="159">
        <f>-5000</f>
        <v>-5000</v>
      </c>
      <c r="L240" s="159"/>
      <c r="M240" s="159"/>
      <c r="N240" s="159"/>
      <c r="O240" s="159"/>
      <c r="P240" s="159"/>
      <c r="Q240" s="159"/>
      <c r="R240" s="159">
        <f t="shared" si="24"/>
        <v>-5000</v>
      </c>
      <c r="S240" s="159"/>
      <c r="T240" s="159"/>
      <c r="U240" s="159"/>
      <c r="V240" s="159"/>
      <c r="W240" s="159"/>
      <c r="X240" s="165">
        <f t="shared" si="21"/>
        <v>0</v>
      </c>
      <c r="Y240" s="239">
        <f t="shared" si="22"/>
        <v>-5000</v>
      </c>
      <c r="Z240" s="328">
        <f>5000</f>
        <v>5000</v>
      </c>
      <c r="AA240" s="353"/>
    </row>
    <row r="241" spans="1:27" ht="24.95" hidden="1" customHeight="1" x14ac:dyDescent="0.2">
      <c r="A241" s="82">
        <v>8</v>
      </c>
      <c r="B241" s="322" t="s">
        <v>518</v>
      </c>
      <c r="C241" s="28" t="s">
        <v>519</v>
      </c>
      <c r="D241" s="164"/>
      <c r="E241" s="164"/>
      <c r="F241" s="159"/>
      <c r="G241" s="159"/>
      <c r="H241" s="159"/>
      <c r="I241" s="159"/>
      <c r="J241" s="159"/>
      <c r="K241" s="159"/>
      <c r="L241" s="159">
        <f>3150+850</f>
        <v>4000</v>
      </c>
      <c r="M241" s="159"/>
      <c r="N241" s="159"/>
      <c r="O241" s="159"/>
      <c r="P241" s="159"/>
      <c r="Q241" s="159"/>
      <c r="R241" s="159">
        <f t="shared" si="24"/>
        <v>4000</v>
      </c>
      <c r="S241" s="159"/>
      <c r="T241" s="159"/>
      <c r="U241" s="159"/>
      <c r="V241" s="159"/>
      <c r="W241" s="159"/>
      <c r="X241" s="165">
        <f t="shared" si="21"/>
        <v>0</v>
      </c>
      <c r="Y241" s="239">
        <f t="shared" si="22"/>
        <v>4000</v>
      </c>
      <c r="Z241" s="328">
        <f>-4000</f>
        <v>-4000</v>
      </c>
      <c r="AA241" s="353"/>
    </row>
    <row r="242" spans="1:27" ht="24.95" hidden="1" customHeight="1" x14ac:dyDescent="0.2">
      <c r="A242" s="82">
        <v>9</v>
      </c>
      <c r="B242" s="27" t="s">
        <v>523</v>
      </c>
      <c r="C242" s="28" t="s">
        <v>527</v>
      </c>
      <c r="D242" s="164"/>
      <c r="E242" s="164"/>
      <c r="F242" s="159"/>
      <c r="G242" s="159"/>
      <c r="H242" s="159"/>
      <c r="I242" s="159"/>
      <c r="J242" s="159">
        <f>1318</f>
        <v>1318</v>
      </c>
      <c r="K242" s="159">
        <f>-1318</f>
        <v>-1318</v>
      </c>
      <c r="L242" s="159"/>
      <c r="M242" s="159"/>
      <c r="N242" s="159"/>
      <c r="O242" s="159"/>
      <c r="P242" s="159"/>
      <c r="Q242" s="159"/>
      <c r="R242" s="159">
        <f t="shared" si="24"/>
        <v>0</v>
      </c>
      <c r="S242" s="159"/>
      <c r="T242" s="159"/>
      <c r="U242" s="159"/>
      <c r="V242" s="159"/>
      <c r="W242" s="159"/>
      <c r="X242" s="165">
        <f t="shared" si="21"/>
        <v>0</v>
      </c>
      <c r="Y242" s="239">
        <f t="shared" si="22"/>
        <v>0</v>
      </c>
      <c r="Z242" s="328"/>
      <c r="AA242" s="353"/>
    </row>
    <row r="243" spans="1:27" ht="24.95" hidden="1" customHeight="1" x14ac:dyDescent="0.2">
      <c r="A243" s="82">
        <v>10</v>
      </c>
      <c r="B243" s="30" t="s">
        <v>524</v>
      </c>
      <c r="C243" s="28" t="s">
        <v>525</v>
      </c>
      <c r="D243" s="159"/>
      <c r="E243" s="159"/>
      <c r="F243" s="159">
        <f>50400+6151</f>
        <v>56551</v>
      </c>
      <c r="G243" s="159"/>
      <c r="H243" s="159"/>
      <c r="I243" s="159"/>
      <c r="J243" s="159"/>
      <c r="K243" s="159">
        <f>-56551</f>
        <v>-56551</v>
      </c>
      <c r="L243" s="159"/>
      <c r="M243" s="159"/>
      <c r="N243" s="159"/>
      <c r="O243" s="159"/>
      <c r="P243" s="159"/>
      <c r="Q243" s="159"/>
      <c r="R243" s="159">
        <f t="shared" si="24"/>
        <v>0</v>
      </c>
      <c r="S243" s="159"/>
      <c r="T243" s="159"/>
      <c r="U243" s="159"/>
      <c r="V243" s="159"/>
      <c r="W243" s="159"/>
      <c r="X243" s="165">
        <f t="shared" si="21"/>
        <v>0</v>
      </c>
      <c r="Y243" s="239">
        <f t="shared" si="22"/>
        <v>0</v>
      </c>
      <c r="Z243" s="328"/>
      <c r="AA243" s="353"/>
    </row>
    <row r="244" spans="1:27" ht="24.95" hidden="1" customHeight="1" x14ac:dyDescent="0.2">
      <c r="A244" s="82">
        <v>11</v>
      </c>
      <c r="B244" s="230" t="s">
        <v>526</v>
      </c>
      <c r="C244" s="88" t="s">
        <v>515</v>
      </c>
      <c r="D244" s="159"/>
      <c r="E244" s="159"/>
      <c r="F244" s="159"/>
      <c r="G244" s="159"/>
      <c r="H244" s="159"/>
      <c r="I244" s="159"/>
      <c r="J244" s="159">
        <f>150</f>
        <v>150</v>
      </c>
      <c r="K244" s="159">
        <f>-150</f>
        <v>-150</v>
      </c>
      <c r="L244" s="159"/>
      <c r="M244" s="159"/>
      <c r="N244" s="159"/>
      <c r="O244" s="159"/>
      <c r="P244" s="159"/>
      <c r="Q244" s="159"/>
      <c r="R244" s="159">
        <f t="shared" si="24"/>
        <v>0</v>
      </c>
      <c r="S244" s="159"/>
      <c r="T244" s="159"/>
      <c r="U244" s="159"/>
      <c r="V244" s="159"/>
      <c r="W244" s="159"/>
      <c r="X244" s="165">
        <f t="shared" si="21"/>
        <v>0</v>
      </c>
      <c r="Y244" s="239">
        <f t="shared" si="22"/>
        <v>0</v>
      </c>
      <c r="Z244" s="328"/>
      <c r="AA244" s="353"/>
    </row>
    <row r="245" spans="1:27" ht="24.95" hidden="1" customHeight="1" x14ac:dyDescent="0.2">
      <c r="A245" s="82">
        <v>12</v>
      </c>
      <c r="B245" s="30" t="s">
        <v>528</v>
      </c>
      <c r="C245" s="28" t="s">
        <v>535</v>
      </c>
      <c r="D245" s="159"/>
      <c r="E245" s="159"/>
      <c r="F245" s="159"/>
      <c r="G245" s="159"/>
      <c r="H245" s="159"/>
      <c r="I245" s="159"/>
      <c r="J245" s="159"/>
      <c r="K245" s="159"/>
      <c r="L245" s="159"/>
      <c r="M245" s="159"/>
      <c r="N245" s="159"/>
      <c r="O245" s="159"/>
      <c r="P245" s="159"/>
      <c r="Q245" s="159"/>
      <c r="R245" s="159">
        <f t="shared" si="24"/>
        <v>0</v>
      </c>
      <c r="S245" s="159"/>
      <c r="T245" s="159"/>
      <c r="U245" s="159"/>
      <c r="V245" s="159"/>
      <c r="W245" s="159"/>
      <c r="X245" s="165">
        <f t="shared" si="21"/>
        <v>0</v>
      </c>
      <c r="Y245" s="239">
        <f t="shared" si="22"/>
        <v>0</v>
      </c>
      <c r="Z245" s="328">
        <f>2011.147</f>
        <v>2011.1469999999999</v>
      </c>
      <c r="AA245" s="353"/>
    </row>
    <row r="246" spans="1:27" ht="24.95" hidden="1" customHeight="1" x14ac:dyDescent="0.2">
      <c r="A246" s="82">
        <v>13</v>
      </c>
      <c r="B246" s="30" t="s">
        <v>528</v>
      </c>
      <c r="C246" s="28" t="s">
        <v>458</v>
      </c>
      <c r="D246" s="159"/>
      <c r="E246" s="159"/>
      <c r="F246" s="159"/>
      <c r="G246" s="159"/>
      <c r="H246" s="159"/>
      <c r="I246" s="159"/>
      <c r="J246" s="159"/>
      <c r="K246" s="159"/>
      <c r="L246" s="159"/>
      <c r="M246" s="159"/>
      <c r="N246" s="159"/>
      <c r="O246" s="159"/>
      <c r="P246" s="159"/>
      <c r="Q246" s="159"/>
      <c r="R246" s="159">
        <f t="shared" si="24"/>
        <v>0</v>
      </c>
      <c r="S246" s="159"/>
      <c r="T246" s="159"/>
      <c r="U246" s="159"/>
      <c r="V246" s="159"/>
      <c r="W246" s="159"/>
      <c r="X246" s="165">
        <f t="shared" si="21"/>
        <v>0</v>
      </c>
      <c r="Y246" s="239">
        <f t="shared" si="22"/>
        <v>0</v>
      </c>
      <c r="Z246" s="328">
        <v>3727.9580000000001</v>
      </c>
      <c r="AA246" s="353"/>
    </row>
    <row r="247" spans="1:27" ht="24.95" hidden="1" customHeight="1" x14ac:dyDescent="0.2">
      <c r="A247" s="82">
        <v>14</v>
      </c>
      <c r="B247" s="30" t="s">
        <v>528</v>
      </c>
      <c r="C247" s="28" t="s">
        <v>536</v>
      </c>
      <c r="D247" s="159"/>
      <c r="E247" s="159"/>
      <c r="F247" s="159"/>
      <c r="G247" s="159"/>
      <c r="H247" s="159"/>
      <c r="I247" s="159"/>
      <c r="J247" s="159"/>
      <c r="K247" s="159"/>
      <c r="L247" s="159"/>
      <c r="M247" s="159"/>
      <c r="N247" s="159"/>
      <c r="O247" s="159"/>
      <c r="P247" s="159"/>
      <c r="Q247" s="159"/>
      <c r="R247" s="159">
        <f t="shared" si="24"/>
        <v>0</v>
      </c>
      <c r="S247" s="159"/>
      <c r="T247" s="159"/>
      <c r="U247" s="159"/>
      <c r="V247" s="159"/>
      <c r="W247" s="159"/>
      <c r="X247" s="165">
        <f t="shared" si="21"/>
        <v>0</v>
      </c>
      <c r="Y247" s="239">
        <f t="shared" si="22"/>
        <v>0</v>
      </c>
      <c r="Z247" s="328">
        <v>5061.0680000000002</v>
      </c>
      <c r="AA247" s="353"/>
    </row>
    <row r="248" spans="1:27" ht="24.95" hidden="1" customHeight="1" x14ac:dyDescent="0.2">
      <c r="A248" s="82">
        <v>15</v>
      </c>
      <c r="B248" s="30" t="s">
        <v>538</v>
      </c>
      <c r="C248" s="28" t="s">
        <v>539</v>
      </c>
      <c r="D248" s="159"/>
      <c r="E248" s="159"/>
      <c r="F248" s="159"/>
      <c r="G248" s="159"/>
      <c r="H248" s="159"/>
      <c r="I248" s="159"/>
      <c r="J248" s="159"/>
      <c r="K248" s="159"/>
      <c r="L248" s="159"/>
      <c r="M248" s="159"/>
      <c r="N248" s="159"/>
      <c r="O248" s="159"/>
      <c r="P248" s="159"/>
      <c r="Q248" s="159"/>
      <c r="R248" s="159">
        <f t="shared" si="24"/>
        <v>0</v>
      </c>
      <c r="S248" s="159"/>
      <c r="T248" s="159"/>
      <c r="U248" s="159"/>
      <c r="V248" s="159"/>
      <c r="W248" s="159"/>
      <c r="X248" s="165">
        <f>SUM(T248:W248)</f>
        <v>0</v>
      </c>
      <c r="Y248" s="239">
        <f>R248+X248</f>
        <v>0</v>
      </c>
      <c r="Z248" s="328">
        <f>7983.7</f>
        <v>7983.7</v>
      </c>
      <c r="AA248" s="353"/>
    </row>
    <row r="249" spans="1:27" ht="24.95" hidden="1" customHeight="1" x14ac:dyDescent="0.2">
      <c r="A249" s="82">
        <v>16</v>
      </c>
      <c r="B249" s="30" t="s">
        <v>540</v>
      </c>
      <c r="C249" s="28" t="s">
        <v>541</v>
      </c>
      <c r="D249" s="159"/>
      <c r="E249" s="159"/>
      <c r="F249" s="159">
        <f>-536.07</f>
        <v>-536.07000000000005</v>
      </c>
      <c r="G249" s="159"/>
      <c r="H249" s="159"/>
      <c r="I249" s="159"/>
      <c r="J249" s="159"/>
      <c r="K249" s="159"/>
      <c r="L249" s="159"/>
      <c r="M249" s="159"/>
      <c r="N249" s="159"/>
      <c r="O249" s="159"/>
      <c r="P249" s="159"/>
      <c r="Q249" s="159"/>
      <c r="R249" s="159">
        <f t="shared" si="24"/>
        <v>-536.07000000000005</v>
      </c>
      <c r="S249" s="159"/>
      <c r="T249" s="159"/>
      <c r="U249" s="159"/>
      <c r="V249" s="159"/>
      <c r="W249" s="159"/>
      <c r="X249" s="165">
        <f>SUM(T249:W249)</f>
        <v>0</v>
      </c>
      <c r="Y249" s="239">
        <f>R249+X249</f>
        <v>-536.07000000000005</v>
      </c>
      <c r="Z249" s="328">
        <f>6711.918+536.07</f>
        <v>7247.9879999999994</v>
      </c>
      <c r="AA249" s="353"/>
    </row>
    <row r="250" spans="1:27" ht="24.95" hidden="1" customHeight="1" x14ac:dyDescent="0.2">
      <c r="A250" s="82">
        <v>17</v>
      </c>
      <c r="B250" s="230" t="s">
        <v>530</v>
      </c>
      <c r="C250" s="28" t="s">
        <v>531</v>
      </c>
      <c r="D250" s="159"/>
      <c r="E250" s="159"/>
      <c r="F250" s="159"/>
      <c r="G250" s="159"/>
      <c r="H250" s="159"/>
      <c r="I250" s="159"/>
      <c r="J250" s="159"/>
      <c r="K250" s="159">
        <f>21143.873</f>
        <v>21143.873</v>
      </c>
      <c r="L250" s="159"/>
      <c r="M250" s="159"/>
      <c r="N250" s="159"/>
      <c r="O250" s="159"/>
      <c r="P250" s="159"/>
      <c r="Q250" s="159"/>
      <c r="R250" s="159">
        <f t="shared" si="24"/>
        <v>21143.873</v>
      </c>
      <c r="S250" s="159"/>
      <c r="T250" s="159"/>
      <c r="U250" s="159"/>
      <c r="V250" s="159"/>
      <c r="W250" s="159"/>
      <c r="X250" s="165">
        <f t="shared" si="21"/>
        <v>0</v>
      </c>
      <c r="Y250" s="239">
        <f t="shared" si="22"/>
        <v>21143.873</v>
      </c>
      <c r="Z250" s="328"/>
      <c r="AA250" s="353"/>
    </row>
    <row r="251" spans="1:27" ht="24.95" hidden="1" customHeight="1" x14ac:dyDescent="0.2">
      <c r="A251" s="82">
        <v>18</v>
      </c>
      <c r="B251" s="45" t="s">
        <v>544</v>
      </c>
      <c r="C251" s="88" t="s">
        <v>543</v>
      </c>
      <c r="D251" s="159"/>
      <c r="E251" s="159"/>
      <c r="F251" s="159">
        <f>78</f>
        <v>78</v>
      </c>
      <c r="G251" s="159"/>
      <c r="H251" s="159"/>
      <c r="I251" s="159"/>
      <c r="J251" s="159"/>
      <c r="K251" s="159"/>
      <c r="L251" s="159">
        <f>-4488-1212+4427+1195</f>
        <v>-78</v>
      </c>
      <c r="M251" s="159"/>
      <c r="N251" s="159"/>
      <c r="O251" s="159"/>
      <c r="P251" s="159"/>
      <c r="Q251" s="159"/>
      <c r="R251" s="159">
        <f t="shared" si="24"/>
        <v>0</v>
      </c>
      <c r="S251" s="159"/>
      <c r="T251" s="159"/>
      <c r="U251" s="159"/>
      <c r="V251" s="159"/>
      <c r="W251" s="159"/>
      <c r="X251" s="165">
        <f t="shared" si="21"/>
        <v>0</v>
      </c>
      <c r="Y251" s="239">
        <f t="shared" si="22"/>
        <v>0</v>
      </c>
      <c r="Z251" s="328"/>
      <c r="AA251" s="353"/>
    </row>
    <row r="252" spans="1:27" ht="24.95" hidden="1" customHeight="1" x14ac:dyDescent="0.2">
      <c r="A252" s="82">
        <v>19</v>
      </c>
      <c r="B252" s="45" t="s">
        <v>546</v>
      </c>
      <c r="C252" s="28" t="s">
        <v>545</v>
      </c>
      <c r="D252" s="159"/>
      <c r="E252" s="159"/>
      <c r="F252" s="159"/>
      <c r="G252" s="159">
        <f>4.455</f>
        <v>4.4550000000000001</v>
      </c>
      <c r="H252" s="159"/>
      <c r="I252" s="159"/>
      <c r="J252" s="159"/>
      <c r="K252" s="159">
        <f>574.875</f>
        <v>574.875</v>
      </c>
      <c r="L252" s="159"/>
      <c r="M252" s="159"/>
      <c r="N252" s="159"/>
      <c r="O252" s="159"/>
      <c r="P252" s="159"/>
      <c r="Q252" s="159"/>
      <c r="R252" s="159">
        <f t="shared" si="24"/>
        <v>579.33000000000004</v>
      </c>
      <c r="S252" s="159"/>
      <c r="T252" s="159"/>
      <c r="U252" s="159"/>
      <c r="V252" s="159"/>
      <c r="W252" s="159"/>
      <c r="X252" s="165">
        <f t="shared" si="21"/>
        <v>0</v>
      </c>
      <c r="Y252" s="239">
        <f t="shared" si="22"/>
        <v>579.33000000000004</v>
      </c>
      <c r="Z252" s="328"/>
      <c r="AA252" s="353"/>
    </row>
    <row r="253" spans="1:27" ht="24.95" hidden="1" customHeight="1" x14ac:dyDescent="0.2">
      <c r="A253" s="82">
        <v>20</v>
      </c>
      <c r="B253" s="722" t="s">
        <v>549</v>
      </c>
      <c r="C253" s="723" t="s">
        <v>547</v>
      </c>
      <c r="D253" s="159"/>
      <c r="E253" s="159"/>
      <c r="F253" s="159">
        <f>-6595</f>
        <v>-6595</v>
      </c>
      <c r="G253" s="159"/>
      <c r="H253" s="159"/>
      <c r="I253" s="159"/>
      <c r="J253" s="159"/>
      <c r="K253" s="159"/>
      <c r="L253" s="159"/>
      <c r="M253" s="159"/>
      <c r="N253" s="159"/>
      <c r="O253" s="159"/>
      <c r="P253" s="159"/>
      <c r="Q253" s="159"/>
      <c r="R253" s="159">
        <f t="shared" si="24"/>
        <v>-6595</v>
      </c>
      <c r="S253" s="159"/>
      <c r="T253" s="159"/>
      <c r="U253" s="159"/>
      <c r="V253" s="159"/>
      <c r="W253" s="159"/>
      <c r="X253" s="165">
        <f t="shared" si="21"/>
        <v>0</v>
      </c>
      <c r="Y253" s="239">
        <f t="shared" si="22"/>
        <v>-6595</v>
      </c>
      <c r="Z253" s="328">
        <f>6595</f>
        <v>6595</v>
      </c>
      <c r="AA253" s="353"/>
    </row>
    <row r="254" spans="1:27" ht="24.95" hidden="1" customHeight="1" x14ac:dyDescent="0.2">
      <c r="A254" s="82">
        <v>21</v>
      </c>
      <c r="B254" s="45" t="s">
        <v>550</v>
      </c>
      <c r="C254" s="28" t="s">
        <v>551</v>
      </c>
      <c r="D254" s="159"/>
      <c r="E254" s="159"/>
      <c r="F254" s="159">
        <f>5715</f>
        <v>5715</v>
      </c>
      <c r="G254" s="159"/>
      <c r="H254" s="159"/>
      <c r="I254" s="159"/>
      <c r="J254" s="159">
        <f>-5715</f>
        <v>-5715</v>
      </c>
      <c r="K254" s="159"/>
      <c r="L254" s="159"/>
      <c r="M254" s="159"/>
      <c r="N254" s="159"/>
      <c r="O254" s="159"/>
      <c r="P254" s="159"/>
      <c r="Q254" s="159"/>
      <c r="R254" s="159">
        <f t="shared" si="24"/>
        <v>0</v>
      </c>
      <c r="S254" s="159"/>
      <c r="T254" s="159"/>
      <c r="U254" s="159"/>
      <c r="V254" s="159"/>
      <c r="W254" s="159"/>
      <c r="X254" s="165">
        <f t="shared" si="21"/>
        <v>0</v>
      </c>
      <c r="Y254" s="239">
        <f t="shared" si="22"/>
        <v>0</v>
      </c>
      <c r="Z254" s="328"/>
      <c r="AA254" s="353"/>
    </row>
    <row r="255" spans="1:27" ht="24.95" hidden="1" customHeight="1" x14ac:dyDescent="0.2">
      <c r="A255" s="82">
        <v>22</v>
      </c>
      <c r="B255" s="45" t="s">
        <v>552</v>
      </c>
      <c r="C255" s="33" t="s">
        <v>553</v>
      </c>
      <c r="D255" s="159"/>
      <c r="E255" s="159"/>
      <c r="F255" s="159"/>
      <c r="G255" s="159"/>
      <c r="H255" s="159"/>
      <c r="I255" s="159"/>
      <c r="J255" s="159"/>
      <c r="K255" s="159">
        <f>-758</f>
        <v>-758</v>
      </c>
      <c r="L255" s="159"/>
      <c r="M255" s="159"/>
      <c r="N255" s="159"/>
      <c r="O255" s="159"/>
      <c r="P255" s="159"/>
      <c r="Q255" s="159">
        <f>758</f>
        <v>758</v>
      </c>
      <c r="R255" s="159">
        <f t="shared" si="24"/>
        <v>0</v>
      </c>
      <c r="S255" s="159"/>
      <c r="T255" s="159"/>
      <c r="U255" s="159"/>
      <c r="V255" s="159"/>
      <c r="W255" s="159"/>
      <c r="X255" s="165">
        <f t="shared" si="21"/>
        <v>0</v>
      </c>
      <c r="Y255" s="239">
        <f t="shared" si="22"/>
        <v>0</v>
      </c>
      <c r="Z255" s="328"/>
      <c r="AA255" s="353"/>
    </row>
    <row r="256" spans="1:27" ht="24.95" hidden="1" customHeight="1" x14ac:dyDescent="0.2">
      <c r="A256" s="82">
        <v>23</v>
      </c>
      <c r="B256" s="45" t="s">
        <v>554</v>
      </c>
      <c r="C256" s="28" t="s">
        <v>555</v>
      </c>
      <c r="D256" s="159"/>
      <c r="E256" s="159"/>
      <c r="F256" s="159">
        <f>-278-75</f>
        <v>-353</v>
      </c>
      <c r="G256" s="159"/>
      <c r="H256" s="159"/>
      <c r="I256" s="159"/>
      <c r="J256" s="159"/>
      <c r="K256" s="159"/>
      <c r="L256" s="159">
        <f>278+75</f>
        <v>353</v>
      </c>
      <c r="M256" s="159"/>
      <c r="N256" s="159"/>
      <c r="O256" s="159"/>
      <c r="P256" s="159"/>
      <c r="Q256" s="159"/>
      <c r="R256" s="159">
        <f t="shared" si="24"/>
        <v>0</v>
      </c>
      <c r="S256" s="159"/>
      <c r="T256" s="159"/>
      <c r="U256" s="159"/>
      <c r="V256" s="159"/>
      <c r="W256" s="159"/>
      <c r="X256" s="165">
        <f t="shared" si="21"/>
        <v>0</v>
      </c>
      <c r="Y256" s="239">
        <f t="shared" si="22"/>
        <v>0</v>
      </c>
      <c r="Z256" s="328"/>
      <c r="AA256" s="353"/>
    </row>
    <row r="257" spans="1:27" ht="24.95" hidden="1" customHeight="1" x14ac:dyDescent="0.2">
      <c r="A257" s="82">
        <v>24</v>
      </c>
      <c r="B257" s="45" t="s">
        <v>556</v>
      </c>
      <c r="C257" s="33" t="s">
        <v>557</v>
      </c>
      <c r="D257" s="159"/>
      <c r="E257" s="159"/>
      <c r="F257" s="159">
        <f>189</f>
        <v>189</v>
      </c>
      <c r="G257" s="159"/>
      <c r="H257" s="159"/>
      <c r="I257" s="159"/>
      <c r="J257" s="159"/>
      <c r="K257" s="159">
        <f>700</f>
        <v>700</v>
      </c>
      <c r="L257" s="159"/>
      <c r="M257" s="159"/>
      <c r="N257" s="159"/>
      <c r="O257" s="159"/>
      <c r="P257" s="159"/>
      <c r="Q257" s="159"/>
      <c r="R257" s="159">
        <f t="shared" si="24"/>
        <v>889</v>
      </c>
      <c r="S257" s="159"/>
      <c r="T257" s="159"/>
      <c r="U257" s="159"/>
      <c r="V257" s="159"/>
      <c r="W257" s="159"/>
      <c r="X257" s="165">
        <f t="shared" si="21"/>
        <v>0</v>
      </c>
      <c r="Y257" s="239">
        <f t="shared" si="22"/>
        <v>889</v>
      </c>
      <c r="Z257" s="328"/>
      <c r="AA257" s="353"/>
    </row>
    <row r="258" spans="1:27" ht="24.95" hidden="1" customHeight="1" x14ac:dyDescent="0.2">
      <c r="A258" s="82">
        <v>25</v>
      </c>
      <c r="B258" s="45" t="s">
        <v>559</v>
      </c>
      <c r="C258" s="33" t="s">
        <v>558</v>
      </c>
      <c r="D258" s="159"/>
      <c r="E258" s="159"/>
      <c r="F258" s="159">
        <f>1366+369</f>
        <v>1735</v>
      </c>
      <c r="G258" s="159"/>
      <c r="H258" s="159"/>
      <c r="I258" s="159"/>
      <c r="K258" s="159">
        <f>-1735</f>
        <v>-1735</v>
      </c>
      <c r="L258" s="159"/>
      <c r="M258" s="159"/>
      <c r="N258" s="159"/>
      <c r="P258" s="159"/>
      <c r="Q258" s="159"/>
      <c r="R258" s="159">
        <f>SUM(D258:Q258)</f>
        <v>0</v>
      </c>
      <c r="S258" s="159"/>
      <c r="T258" s="159"/>
      <c r="U258" s="159"/>
      <c r="V258" s="159"/>
      <c r="W258" s="159"/>
      <c r="X258" s="165">
        <f t="shared" si="21"/>
        <v>0</v>
      </c>
      <c r="Y258" s="239">
        <f t="shared" si="22"/>
        <v>0</v>
      </c>
      <c r="Z258" s="328"/>
      <c r="AA258" s="353"/>
    </row>
    <row r="259" spans="1:27" ht="24.95" hidden="1" customHeight="1" x14ac:dyDescent="0.2">
      <c r="A259" s="82">
        <v>26</v>
      </c>
      <c r="B259" s="232" t="s">
        <v>560</v>
      </c>
      <c r="C259" s="28" t="s">
        <v>561</v>
      </c>
      <c r="D259" s="159"/>
      <c r="E259" s="159"/>
      <c r="F259" s="159">
        <f>350</f>
        <v>350</v>
      </c>
      <c r="G259" s="159"/>
      <c r="H259" s="159"/>
      <c r="I259" s="159"/>
      <c r="J259" s="159">
        <f>-350</f>
        <v>-350</v>
      </c>
      <c r="K259" s="159"/>
      <c r="L259" s="159"/>
      <c r="M259" s="159"/>
      <c r="N259" s="159"/>
      <c r="O259" s="159"/>
      <c r="P259" s="159"/>
      <c r="Q259" s="159"/>
      <c r="R259" s="159">
        <f t="shared" si="24"/>
        <v>0</v>
      </c>
      <c r="S259" s="159"/>
      <c r="T259" s="159"/>
      <c r="U259" s="159"/>
      <c r="V259" s="159"/>
      <c r="W259" s="159"/>
      <c r="X259" s="165">
        <f t="shared" si="21"/>
        <v>0</v>
      </c>
      <c r="Y259" s="239">
        <f t="shared" si="22"/>
        <v>0</v>
      </c>
      <c r="Z259" s="328"/>
      <c r="AA259" s="353"/>
    </row>
    <row r="260" spans="1:27" ht="24.95" hidden="1" customHeight="1" x14ac:dyDescent="0.2">
      <c r="A260" s="82">
        <v>27</v>
      </c>
      <c r="B260" s="45" t="s">
        <v>562</v>
      </c>
      <c r="C260" s="28" t="s">
        <v>208</v>
      </c>
      <c r="D260" s="159"/>
      <c r="E260" s="159"/>
      <c r="F260" s="159"/>
      <c r="G260" s="159"/>
      <c r="H260" s="159"/>
      <c r="I260" s="159"/>
      <c r="J260" s="159">
        <f>-300</f>
        <v>-300</v>
      </c>
      <c r="K260" s="159"/>
      <c r="L260" s="159"/>
      <c r="M260" s="159"/>
      <c r="N260" s="159"/>
      <c r="O260" s="159"/>
      <c r="P260" s="159"/>
      <c r="Q260" s="159"/>
      <c r="R260" s="159">
        <f t="shared" si="24"/>
        <v>-300</v>
      </c>
      <c r="S260" s="159"/>
      <c r="T260" s="159"/>
      <c r="U260" s="159"/>
      <c r="V260" s="159"/>
      <c r="W260" s="159"/>
      <c r="X260" s="165">
        <f t="shared" si="21"/>
        <v>0</v>
      </c>
      <c r="Y260" s="239">
        <f t="shared" si="22"/>
        <v>-300</v>
      </c>
      <c r="Z260" s="328">
        <f>300</f>
        <v>300</v>
      </c>
      <c r="AA260" s="353"/>
    </row>
    <row r="261" spans="1:27" ht="24.95" hidden="1" customHeight="1" x14ac:dyDescent="0.2">
      <c r="A261" s="82">
        <v>28</v>
      </c>
      <c r="B261" s="45" t="s">
        <v>563</v>
      </c>
      <c r="C261" s="28" t="s">
        <v>208</v>
      </c>
      <c r="D261" s="159"/>
      <c r="E261" s="159"/>
      <c r="F261" s="159">
        <f>1200</f>
        <v>1200</v>
      </c>
      <c r="G261" s="159"/>
      <c r="H261" s="159"/>
      <c r="I261" s="159"/>
      <c r="J261" s="159">
        <f>-1200</f>
        <v>-1200</v>
      </c>
      <c r="K261" s="159"/>
      <c r="L261" s="159"/>
      <c r="M261" s="159"/>
      <c r="N261" s="159"/>
      <c r="O261" s="159"/>
      <c r="P261" s="159"/>
      <c r="Q261" s="159"/>
      <c r="R261" s="159">
        <f t="shared" si="24"/>
        <v>0</v>
      </c>
      <c r="S261" s="159"/>
      <c r="T261" s="159"/>
      <c r="U261" s="159"/>
      <c r="V261" s="159"/>
      <c r="W261" s="159"/>
      <c r="X261" s="165">
        <f t="shared" si="21"/>
        <v>0</v>
      </c>
      <c r="Y261" s="239">
        <f t="shared" si="22"/>
        <v>0</v>
      </c>
      <c r="Z261" s="328"/>
      <c r="AA261" s="353"/>
    </row>
    <row r="262" spans="1:27" ht="24.95" hidden="1" customHeight="1" x14ac:dyDescent="0.2">
      <c r="A262" s="82">
        <v>29</v>
      </c>
      <c r="B262" s="45" t="s">
        <v>564</v>
      </c>
      <c r="C262" s="28" t="s">
        <v>208</v>
      </c>
      <c r="D262" s="159"/>
      <c r="E262" s="159"/>
      <c r="F262" s="159"/>
      <c r="G262" s="159"/>
      <c r="H262" s="159"/>
      <c r="I262" s="159"/>
      <c r="J262" s="159">
        <f>-350</f>
        <v>-350</v>
      </c>
      <c r="K262" s="159"/>
      <c r="L262" s="159"/>
      <c r="M262" s="159"/>
      <c r="N262" s="159"/>
      <c r="O262" s="159"/>
      <c r="P262" s="159"/>
      <c r="Q262" s="159"/>
      <c r="R262" s="159">
        <f t="shared" si="24"/>
        <v>-350</v>
      </c>
      <c r="S262" s="159"/>
      <c r="T262" s="159"/>
      <c r="U262" s="159"/>
      <c r="V262" s="159"/>
      <c r="W262" s="159"/>
      <c r="X262" s="165">
        <f t="shared" si="21"/>
        <v>0</v>
      </c>
      <c r="Y262" s="239">
        <f t="shared" si="22"/>
        <v>-350</v>
      </c>
      <c r="Z262" s="328">
        <f>350</f>
        <v>350</v>
      </c>
      <c r="AA262" s="353"/>
    </row>
    <row r="263" spans="1:27" ht="24.95" hidden="1" customHeight="1" x14ac:dyDescent="0.2">
      <c r="A263" s="82">
        <v>30</v>
      </c>
      <c r="B263" s="529" t="s">
        <v>565</v>
      </c>
      <c r="C263" s="28" t="s">
        <v>208</v>
      </c>
      <c r="D263" s="159"/>
      <c r="E263" s="159"/>
      <c r="F263" s="159">
        <f>1650</f>
        <v>1650</v>
      </c>
      <c r="G263" s="159"/>
      <c r="H263" s="159"/>
      <c r="I263" s="159"/>
      <c r="J263" s="159">
        <f>-1650</f>
        <v>-1650</v>
      </c>
      <c r="K263" s="159"/>
      <c r="L263" s="159"/>
      <c r="M263" s="159"/>
      <c r="N263" s="159"/>
      <c r="O263" s="159"/>
      <c r="P263" s="159"/>
      <c r="Q263" s="159"/>
      <c r="R263" s="159">
        <f t="shared" si="24"/>
        <v>0</v>
      </c>
      <c r="S263" s="159"/>
      <c r="T263" s="159"/>
      <c r="U263" s="159"/>
      <c r="V263" s="159"/>
      <c r="W263" s="159"/>
      <c r="X263" s="165">
        <f t="shared" si="21"/>
        <v>0</v>
      </c>
      <c r="Y263" s="239">
        <f t="shared" si="22"/>
        <v>0</v>
      </c>
      <c r="Z263" s="328"/>
      <c r="AA263" s="353"/>
    </row>
    <row r="264" spans="1:27" ht="24.95" hidden="1" customHeight="1" x14ac:dyDescent="0.2">
      <c r="A264" s="82">
        <v>31</v>
      </c>
      <c r="B264" s="45" t="s">
        <v>566</v>
      </c>
      <c r="C264" s="28" t="s">
        <v>208</v>
      </c>
      <c r="D264" s="159"/>
      <c r="E264" s="159"/>
      <c r="F264" s="159">
        <f>-1228-332</f>
        <v>-1560</v>
      </c>
      <c r="G264" s="159"/>
      <c r="H264" s="159"/>
      <c r="I264" s="159"/>
      <c r="J264" s="159"/>
      <c r="K264" s="159"/>
      <c r="L264" s="159"/>
      <c r="M264" s="159"/>
      <c r="N264" s="159"/>
      <c r="O264" s="159"/>
      <c r="P264" s="159"/>
      <c r="Q264" s="159"/>
      <c r="R264" s="159">
        <f t="shared" si="24"/>
        <v>-1560</v>
      </c>
      <c r="S264" s="159"/>
      <c r="T264" s="159"/>
      <c r="U264" s="159"/>
      <c r="V264" s="159"/>
      <c r="W264" s="159"/>
      <c r="X264" s="165">
        <f t="shared" si="21"/>
        <v>0</v>
      </c>
      <c r="Y264" s="239">
        <f t="shared" si="22"/>
        <v>-1560</v>
      </c>
      <c r="Z264" s="328">
        <f>1560</f>
        <v>1560</v>
      </c>
      <c r="AA264" s="353"/>
    </row>
    <row r="265" spans="1:27" ht="24.95" hidden="1" customHeight="1" x14ac:dyDescent="0.2">
      <c r="A265" s="82">
        <v>32</v>
      </c>
      <c r="B265" s="230" t="s">
        <v>567</v>
      </c>
      <c r="C265" s="28" t="s">
        <v>208</v>
      </c>
      <c r="D265" s="159"/>
      <c r="E265" s="159"/>
      <c r="F265" s="159"/>
      <c r="G265" s="159"/>
      <c r="H265" s="159"/>
      <c r="I265" s="159"/>
      <c r="J265" s="159"/>
      <c r="K265" s="159"/>
      <c r="L265" s="159">
        <f>-2929-791</f>
        <v>-3720</v>
      </c>
      <c r="M265" s="159"/>
      <c r="N265" s="159"/>
      <c r="O265" s="159"/>
      <c r="P265" s="159"/>
      <c r="Q265" s="159"/>
      <c r="R265" s="159">
        <f t="shared" si="24"/>
        <v>-3720</v>
      </c>
      <c r="S265" s="159"/>
      <c r="T265" s="159"/>
      <c r="U265" s="159"/>
      <c r="V265" s="159"/>
      <c r="W265" s="159"/>
      <c r="X265" s="165">
        <f t="shared" si="21"/>
        <v>0</v>
      </c>
      <c r="Y265" s="239">
        <f t="shared" si="22"/>
        <v>-3720</v>
      </c>
      <c r="Z265" s="328">
        <f>3720</f>
        <v>3720</v>
      </c>
      <c r="AA265" s="353"/>
    </row>
    <row r="266" spans="1:27" ht="24.95" hidden="1" customHeight="1" x14ac:dyDescent="0.2">
      <c r="A266" s="82">
        <v>33</v>
      </c>
      <c r="B266" s="45" t="s">
        <v>568</v>
      </c>
      <c r="C266" s="28" t="s">
        <v>515</v>
      </c>
      <c r="D266" s="159"/>
      <c r="E266" s="159"/>
      <c r="F266" s="159"/>
      <c r="G266" s="159"/>
      <c r="H266" s="159"/>
      <c r="I266" s="159"/>
      <c r="J266" s="159">
        <f>130</f>
        <v>130</v>
      </c>
      <c r="K266" s="159">
        <f>-130</f>
        <v>-130</v>
      </c>
      <c r="L266" s="159"/>
      <c r="M266" s="159"/>
      <c r="N266" s="159"/>
      <c r="O266" s="159"/>
      <c r="P266" s="159"/>
      <c r="Q266" s="159"/>
      <c r="R266" s="159">
        <f t="shared" si="24"/>
        <v>0</v>
      </c>
      <c r="S266" s="159"/>
      <c r="T266" s="159"/>
      <c r="U266" s="159"/>
      <c r="V266" s="159"/>
      <c r="W266" s="159"/>
      <c r="X266" s="165">
        <f t="shared" si="21"/>
        <v>0</v>
      </c>
      <c r="Y266" s="239">
        <f t="shared" si="22"/>
        <v>0</v>
      </c>
      <c r="Z266" s="328"/>
      <c r="AA266" s="353"/>
    </row>
    <row r="267" spans="1:27" ht="24.95" hidden="1" customHeight="1" x14ac:dyDescent="0.2">
      <c r="A267" s="82">
        <v>34</v>
      </c>
      <c r="B267" s="45" t="s">
        <v>569</v>
      </c>
      <c r="C267" s="28" t="s">
        <v>570</v>
      </c>
      <c r="D267" s="159"/>
      <c r="E267" s="159"/>
      <c r="F267" s="159"/>
      <c r="G267" s="159"/>
      <c r="H267" s="159"/>
      <c r="I267" s="159"/>
      <c r="J267" s="159">
        <f>150</f>
        <v>150</v>
      </c>
      <c r="K267" s="159">
        <f>-150</f>
        <v>-150</v>
      </c>
      <c r="L267" s="159"/>
      <c r="M267" s="159"/>
      <c r="N267" s="159"/>
      <c r="O267" s="159"/>
      <c r="P267" s="159"/>
      <c r="Q267" s="159"/>
      <c r="R267" s="159">
        <f t="shared" si="24"/>
        <v>0</v>
      </c>
      <c r="S267" s="159"/>
      <c r="T267" s="159"/>
      <c r="U267" s="159"/>
      <c r="V267" s="159"/>
      <c r="W267" s="159"/>
      <c r="X267" s="165">
        <f t="shared" si="21"/>
        <v>0</v>
      </c>
      <c r="Y267" s="239">
        <f t="shared" si="22"/>
        <v>0</v>
      </c>
      <c r="Z267" s="328"/>
      <c r="AA267" s="353"/>
    </row>
    <row r="268" spans="1:27" ht="24.95" hidden="1" customHeight="1" x14ac:dyDescent="0.2">
      <c r="A268" s="82">
        <v>35</v>
      </c>
      <c r="B268" s="230" t="s">
        <v>571</v>
      </c>
      <c r="C268" s="28" t="s">
        <v>572</v>
      </c>
      <c r="D268" s="159"/>
      <c r="E268" s="159"/>
      <c r="F268" s="159">
        <f>100</f>
        <v>100</v>
      </c>
      <c r="G268" s="159"/>
      <c r="H268" s="159"/>
      <c r="I268" s="159"/>
      <c r="J268" s="159">
        <f>-100</f>
        <v>-100</v>
      </c>
      <c r="K268" s="159"/>
      <c r="L268" s="159"/>
      <c r="M268" s="159"/>
      <c r="N268" s="159"/>
      <c r="O268" s="159"/>
      <c r="P268" s="159"/>
      <c r="Q268" s="159"/>
      <c r="R268" s="159">
        <f t="shared" si="24"/>
        <v>0</v>
      </c>
      <c r="S268" s="159"/>
      <c r="T268" s="159"/>
      <c r="U268" s="159"/>
      <c r="V268" s="159"/>
      <c r="W268" s="159"/>
      <c r="X268" s="165">
        <f t="shared" si="21"/>
        <v>0</v>
      </c>
      <c r="Y268" s="239">
        <f t="shared" si="22"/>
        <v>0</v>
      </c>
      <c r="Z268" s="328"/>
      <c r="AA268" s="353"/>
    </row>
    <row r="269" spans="1:27" ht="24.95" hidden="1" customHeight="1" x14ac:dyDescent="0.2">
      <c r="A269" s="82">
        <v>36</v>
      </c>
      <c r="B269" s="230" t="s">
        <v>573</v>
      </c>
      <c r="C269" s="731" t="s">
        <v>570</v>
      </c>
      <c r="D269" s="159"/>
      <c r="E269" s="159"/>
      <c r="F269" s="159"/>
      <c r="G269" s="159"/>
      <c r="H269" s="159"/>
      <c r="I269" s="159"/>
      <c r="J269" s="159">
        <f>300</f>
        <v>300</v>
      </c>
      <c r="K269" s="159">
        <f>-300</f>
        <v>-300</v>
      </c>
      <c r="L269" s="159"/>
      <c r="M269" s="159"/>
      <c r="N269" s="159"/>
      <c r="O269" s="159"/>
      <c r="P269" s="159"/>
      <c r="Q269" s="159"/>
      <c r="R269" s="159">
        <f t="shared" si="24"/>
        <v>0</v>
      </c>
      <c r="S269" s="159"/>
      <c r="T269" s="159"/>
      <c r="U269" s="159"/>
      <c r="V269" s="159"/>
      <c r="W269" s="159"/>
      <c r="X269" s="165">
        <f t="shared" si="21"/>
        <v>0</v>
      </c>
      <c r="Y269" s="239">
        <f t="shared" si="22"/>
        <v>0</v>
      </c>
      <c r="Z269" s="328"/>
      <c r="AA269" s="353"/>
    </row>
    <row r="270" spans="1:27" ht="24.95" hidden="1" customHeight="1" x14ac:dyDescent="0.2">
      <c r="A270" s="82">
        <v>37</v>
      </c>
      <c r="B270" s="729" t="s">
        <v>576</v>
      </c>
      <c r="C270" s="730" t="s">
        <v>208</v>
      </c>
      <c r="D270" s="159"/>
      <c r="E270" s="159"/>
      <c r="F270" s="159">
        <f>-10967-2961</f>
        <v>-13928</v>
      </c>
      <c r="G270" s="159"/>
      <c r="H270" s="159"/>
      <c r="I270" s="159"/>
      <c r="J270" s="159"/>
      <c r="K270" s="159"/>
      <c r="L270" s="159"/>
      <c r="M270" s="159"/>
      <c r="N270" s="159"/>
      <c r="O270" s="159"/>
      <c r="P270" s="159"/>
      <c r="Q270" s="159"/>
      <c r="R270" s="159">
        <f t="shared" si="24"/>
        <v>-13928</v>
      </c>
      <c r="S270" s="159"/>
      <c r="T270" s="159"/>
      <c r="U270" s="159"/>
      <c r="V270" s="159"/>
      <c r="W270" s="159"/>
      <c r="X270" s="165">
        <f t="shared" si="21"/>
        <v>0</v>
      </c>
      <c r="Y270" s="239">
        <f t="shared" si="22"/>
        <v>-13928</v>
      </c>
      <c r="Z270" s="328">
        <f>13928</f>
        <v>13928</v>
      </c>
      <c r="AA270" s="353"/>
    </row>
    <row r="271" spans="1:27" ht="24.95" hidden="1" customHeight="1" x14ac:dyDescent="0.2">
      <c r="A271" s="82">
        <v>38</v>
      </c>
      <c r="B271" s="230" t="s">
        <v>597</v>
      </c>
      <c r="C271" s="28" t="s">
        <v>208</v>
      </c>
      <c r="D271" s="159">
        <f>-1200-1800</f>
        <v>-3000</v>
      </c>
      <c r="E271" s="159">
        <f>-810</f>
        <v>-810</v>
      </c>
      <c r="F271" s="159"/>
      <c r="G271" s="159"/>
      <c r="H271" s="159"/>
      <c r="I271" s="159"/>
      <c r="J271" s="159"/>
      <c r="K271" s="159"/>
      <c r="L271" s="159"/>
      <c r="M271" s="159"/>
      <c r="N271" s="159"/>
      <c r="O271" s="159"/>
      <c r="P271" s="159"/>
      <c r="Q271" s="159"/>
      <c r="R271" s="159">
        <f t="shared" si="24"/>
        <v>-3810</v>
      </c>
      <c r="S271" s="159"/>
      <c r="T271" s="159"/>
      <c r="U271" s="159"/>
      <c r="V271" s="159"/>
      <c r="W271" s="159"/>
      <c r="X271" s="165">
        <f>SUM(T271:W271)</f>
        <v>0</v>
      </c>
      <c r="Y271" s="239">
        <f>R271+X271</f>
        <v>-3810</v>
      </c>
      <c r="Z271" s="328">
        <f>3810</f>
        <v>3810</v>
      </c>
      <c r="AA271" s="353"/>
    </row>
    <row r="272" spans="1:27" ht="24.95" hidden="1" customHeight="1" x14ac:dyDescent="0.2">
      <c r="A272" s="82">
        <v>39</v>
      </c>
      <c r="B272" s="30" t="s">
        <v>580</v>
      </c>
      <c r="C272" s="28" t="s">
        <v>579</v>
      </c>
      <c r="D272" s="159"/>
      <c r="E272" s="159"/>
      <c r="F272" s="159">
        <f>-2652-641+31+246</f>
        <v>-3016</v>
      </c>
      <c r="G272" s="159"/>
      <c r="H272" s="159"/>
      <c r="I272" s="159"/>
      <c r="J272" s="159"/>
      <c r="K272" s="159"/>
      <c r="L272" s="159">
        <f>2375+641</f>
        <v>3016</v>
      </c>
      <c r="M272" s="159"/>
      <c r="N272" s="159"/>
      <c r="O272" s="159"/>
      <c r="P272" s="159"/>
      <c r="Q272" s="159"/>
      <c r="R272" s="159">
        <f t="shared" si="24"/>
        <v>0</v>
      </c>
      <c r="S272" s="159"/>
      <c r="T272" s="159"/>
      <c r="U272" s="159"/>
      <c r="V272" s="159"/>
      <c r="W272" s="159"/>
      <c r="X272" s="165">
        <f t="shared" si="21"/>
        <v>0</v>
      </c>
      <c r="Y272" s="239">
        <f t="shared" si="22"/>
        <v>0</v>
      </c>
      <c r="Z272" s="328"/>
      <c r="AA272" s="353"/>
    </row>
    <row r="273" spans="1:27" ht="24.95" hidden="1" customHeight="1" x14ac:dyDescent="0.2">
      <c r="A273" s="82">
        <v>40</v>
      </c>
      <c r="B273" s="230" t="s">
        <v>581</v>
      </c>
      <c r="C273" s="28" t="s">
        <v>557</v>
      </c>
      <c r="D273" s="159"/>
      <c r="E273" s="159"/>
      <c r="F273" s="159">
        <f>324</f>
        <v>324</v>
      </c>
      <c r="G273" s="159"/>
      <c r="H273" s="159"/>
      <c r="I273" s="159"/>
      <c r="J273" s="159"/>
      <c r="K273" s="159">
        <f>1200</f>
        <v>1200</v>
      </c>
      <c r="L273" s="159"/>
      <c r="M273" s="159"/>
      <c r="N273" s="159"/>
      <c r="O273" s="159"/>
      <c r="P273" s="159"/>
      <c r="Q273" s="159"/>
      <c r="R273" s="159">
        <f t="shared" si="24"/>
        <v>1524</v>
      </c>
      <c r="S273" s="159"/>
      <c r="T273" s="159"/>
      <c r="U273" s="159"/>
      <c r="V273" s="159"/>
      <c r="W273" s="159"/>
      <c r="X273" s="165">
        <f t="shared" si="21"/>
        <v>0</v>
      </c>
      <c r="Y273" s="239">
        <f t="shared" si="22"/>
        <v>1524</v>
      </c>
      <c r="Z273" s="328"/>
      <c r="AA273" s="353"/>
    </row>
    <row r="274" spans="1:27" ht="24.95" hidden="1" customHeight="1" x14ac:dyDescent="0.2">
      <c r="A274" s="82">
        <v>41</v>
      </c>
      <c r="B274" s="230" t="s">
        <v>582</v>
      </c>
      <c r="C274" s="28" t="s">
        <v>583</v>
      </c>
      <c r="D274" s="159"/>
      <c r="E274" s="159"/>
      <c r="F274" s="159"/>
      <c r="G274" s="159"/>
      <c r="H274" s="159"/>
      <c r="I274" s="159"/>
      <c r="J274" s="159"/>
      <c r="K274" s="159">
        <f>-10097</f>
        <v>-10097</v>
      </c>
      <c r="L274" s="159">
        <f>7950+2147</f>
        <v>10097</v>
      </c>
      <c r="M274" s="159"/>
      <c r="N274" s="159"/>
      <c r="O274" s="159"/>
      <c r="P274" s="159"/>
      <c r="Q274" s="159"/>
      <c r="R274" s="159">
        <f t="shared" si="24"/>
        <v>0</v>
      </c>
      <c r="S274" s="159"/>
      <c r="T274" s="159"/>
      <c r="U274" s="159"/>
      <c r="V274" s="159"/>
      <c r="W274" s="159"/>
      <c r="X274" s="165">
        <f t="shared" ref="X274:X279" si="29">SUM(T274:W274)</f>
        <v>0</v>
      </c>
      <c r="Y274" s="239">
        <f t="shared" ref="Y274:Y279" si="30">R274+X274</f>
        <v>0</v>
      </c>
      <c r="Z274" s="328"/>
      <c r="AA274" s="353"/>
    </row>
    <row r="275" spans="1:27" ht="24.95" hidden="1" customHeight="1" x14ac:dyDescent="0.2">
      <c r="A275" s="82">
        <v>42</v>
      </c>
      <c r="B275" s="230" t="s">
        <v>584</v>
      </c>
      <c r="C275" s="28" t="s">
        <v>553</v>
      </c>
      <c r="D275" s="159"/>
      <c r="E275" s="159"/>
      <c r="F275" s="159"/>
      <c r="G275" s="159"/>
      <c r="H275" s="159"/>
      <c r="I275" s="159"/>
      <c r="J275" s="159"/>
      <c r="K275" s="159">
        <f>-3886</f>
        <v>-3886</v>
      </c>
      <c r="L275" s="159"/>
      <c r="M275" s="159"/>
      <c r="N275" s="159"/>
      <c r="O275" s="159"/>
      <c r="P275" s="159"/>
      <c r="Q275" s="159">
        <f>3886</f>
        <v>3886</v>
      </c>
      <c r="R275" s="159">
        <f t="shared" si="24"/>
        <v>0</v>
      </c>
      <c r="S275" s="159"/>
      <c r="T275" s="159"/>
      <c r="U275" s="159"/>
      <c r="V275" s="159"/>
      <c r="W275" s="159"/>
      <c r="X275" s="165">
        <f t="shared" si="29"/>
        <v>0</v>
      </c>
      <c r="Y275" s="239">
        <f t="shared" si="30"/>
        <v>0</v>
      </c>
      <c r="Z275" s="328"/>
      <c r="AA275" s="353"/>
    </row>
    <row r="276" spans="1:27" ht="24.95" hidden="1" customHeight="1" x14ac:dyDescent="0.2">
      <c r="A276" s="82">
        <v>43</v>
      </c>
      <c r="B276" s="230" t="s">
        <v>585</v>
      </c>
      <c r="C276" s="28" t="s">
        <v>586</v>
      </c>
      <c r="D276" s="159"/>
      <c r="E276" s="159"/>
      <c r="F276" s="159"/>
      <c r="G276" s="159"/>
      <c r="H276" s="159"/>
      <c r="I276" s="159"/>
      <c r="J276" s="159"/>
      <c r="K276" s="159">
        <f>-50000-1500</f>
        <v>-51500</v>
      </c>
      <c r="L276" s="159"/>
      <c r="M276" s="159"/>
      <c r="N276" s="159"/>
      <c r="O276" s="159"/>
      <c r="P276" s="159"/>
      <c r="Q276" s="159">
        <f>50000+1500</f>
        <v>51500</v>
      </c>
      <c r="R276" s="159">
        <f t="shared" si="24"/>
        <v>0</v>
      </c>
      <c r="S276" s="159"/>
      <c r="T276" s="159"/>
      <c r="U276" s="159"/>
      <c r="V276" s="159"/>
      <c r="W276" s="159"/>
      <c r="X276" s="165">
        <f t="shared" si="29"/>
        <v>0</v>
      </c>
      <c r="Y276" s="239">
        <f t="shared" si="30"/>
        <v>0</v>
      </c>
      <c r="Z276" s="328"/>
      <c r="AA276" s="353"/>
    </row>
    <row r="277" spans="1:27" ht="24.95" hidden="1" customHeight="1" x14ac:dyDescent="0.2">
      <c r="A277" s="82">
        <v>44</v>
      </c>
      <c r="B277" s="230" t="s">
        <v>588</v>
      </c>
      <c r="C277" s="28" t="s">
        <v>587</v>
      </c>
      <c r="D277" s="159"/>
      <c r="E277" s="159"/>
      <c r="F277" s="159">
        <f>630+170</f>
        <v>800</v>
      </c>
      <c r="G277" s="159"/>
      <c r="H277" s="159"/>
      <c r="I277" s="159"/>
      <c r="J277" s="159"/>
      <c r="K277" s="159"/>
      <c r="L277" s="159"/>
      <c r="M277" s="159"/>
      <c r="N277" s="159"/>
      <c r="O277" s="159"/>
      <c r="P277" s="159"/>
      <c r="Q277" s="159"/>
      <c r="R277" s="159">
        <f t="shared" si="24"/>
        <v>800</v>
      </c>
      <c r="S277" s="159"/>
      <c r="T277" s="159"/>
      <c r="U277" s="159"/>
      <c r="V277" s="159"/>
      <c r="W277" s="159"/>
      <c r="X277" s="165">
        <f t="shared" si="29"/>
        <v>0</v>
      </c>
      <c r="Y277" s="239">
        <f t="shared" si="30"/>
        <v>800</v>
      </c>
      <c r="Z277" s="328"/>
      <c r="AA277" s="353"/>
    </row>
    <row r="278" spans="1:27" ht="24.95" hidden="1" customHeight="1" x14ac:dyDescent="0.2">
      <c r="A278" s="82">
        <v>45</v>
      </c>
      <c r="B278" s="230" t="s">
        <v>589</v>
      </c>
      <c r="C278" s="28" t="s">
        <v>590</v>
      </c>
      <c r="D278" s="159"/>
      <c r="E278" s="159"/>
      <c r="F278" s="159">
        <f>-1445</f>
        <v>-1445</v>
      </c>
      <c r="G278" s="159"/>
      <c r="H278" s="159"/>
      <c r="I278" s="159"/>
      <c r="J278" s="159"/>
      <c r="K278" s="159"/>
      <c r="L278" s="159">
        <f>1138+307</f>
        <v>1445</v>
      </c>
      <c r="M278" s="159"/>
      <c r="N278" s="159"/>
      <c r="O278" s="159"/>
      <c r="P278" s="159"/>
      <c r="Q278" s="159"/>
      <c r="R278" s="159">
        <f t="shared" si="24"/>
        <v>0</v>
      </c>
      <c r="S278" s="159"/>
      <c r="T278" s="159"/>
      <c r="U278" s="159"/>
      <c r="V278" s="159"/>
      <c r="W278" s="159"/>
      <c r="X278" s="165">
        <f t="shared" si="29"/>
        <v>0</v>
      </c>
      <c r="Y278" s="239">
        <f t="shared" si="30"/>
        <v>0</v>
      </c>
      <c r="Z278" s="328"/>
      <c r="AA278" s="353"/>
    </row>
    <row r="279" spans="1:27" ht="24.95" hidden="1" customHeight="1" x14ac:dyDescent="0.2">
      <c r="A279" s="82">
        <v>46</v>
      </c>
      <c r="B279" s="230" t="s">
        <v>591</v>
      </c>
      <c r="C279" s="28" t="s">
        <v>592</v>
      </c>
      <c r="D279" s="159">
        <f>236.22</f>
        <v>236.22</v>
      </c>
      <c r="E279" s="159">
        <f>63.78</f>
        <v>63.78</v>
      </c>
      <c r="F279" s="159">
        <f>101+19</f>
        <v>120</v>
      </c>
      <c r="G279" s="159"/>
      <c r="H279" s="159"/>
      <c r="I279" s="159"/>
      <c r="J279" s="159">
        <f>-420</f>
        <v>-420</v>
      </c>
      <c r="K279" s="159"/>
      <c r="L279" s="159"/>
      <c r="M279" s="159"/>
      <c r="N279" s="159"/>
      <c r="O279" s="159"/>
      <c r="P279" s="159"/>
      <c r="Q279" s="159"/>
      <c r="R279" s="159">
        <f t="shared" si="24"/>
        <v>0</v>
      </c>
      <c r="S279" s="159"/>
      <c r="T279" s="159"/>
      <c r="U279" s="159"/>
      <c r="V279" s="159"/>
      <c r="W279" s="159"/>
      <c r="X279" s="165">
        <f t="shared" si="29"/>
        <v>0</v>
      </c>
      <c r="Y279" s="239">
        <f t="shared" si="30"/>
        <v>0</v>
      </c>
      <c r="Z279" s="328"/>
      <c r="AA279" s="353"/>
    </row>
    <row r="280" spans="1:27" ht="24.95" hidden="1" customHeight="1" x14ac:dyDescent="0.2">
      <c r="A280" s="82">
        <v>47</v>
      </c>
      <c r="B280" s="230" t="s">
        <v>598</v>
      </c>
      <c r="C280" s="28" t="s">
        <v>208</v>
      </c>
      <c r="D280" s="159"/>
      <c r="E280" s="159"/>
      <c r="F280" s="159"/>
      <c r="G280" s="159"/>
      <c r="H280" s="159"/>
      <c r="I280" s="159"/>
      <c r="J280" s="159"/>
      <c r="K280" s="159">
        <f>-686</f>
        <v>-686</v>
      </c>
      <c r="L280" s="159"/>
      <c r="M280" s="159"/>
      <c r="N280" s="159"/>
      <c r="O280" s="159"/>
      <c r="P280" s="159"/>
      <c r="Q280" s="159"/>
      <c r="R280" s="159">
        <f t="shared" si="24"/>
        <v>-686</v>
      </c>
      <c r="S280" s="159"/>
      <c r="T280" s="159"/>
      <c r="U280" s="159"/>
      <c r="V280" s="159"/>
      <c r="W280" s="159"/>
      <c r="X280" s="165">
        <f>SUM(T280:W280)</f>
        <v>0</v>
      </c>
      <c r="Y280" s="239">
        <f>R280+X280</f>
        <v>-686</v>
      </c>
      <c r="Z280" s="328">
        <f>686</f>
        <v>686</v>
      </c>
      <c r="AA280" s="353"/>
    </row>
    <row r="281" spans="1:27" ht="24.95" hidden="1" customHeight="1" x14ac:dyDescent="0.2">
      <c r="A281" s="82">
        <v>48</v>
      </c>
      <c r="B281" s="230" t="s">
        <v>599</v>
      </c>
      <c r="C281" s="28" t="s">
        <v>208</v>
      </c>
      <c r="D281" s="159">
        <f>-2004-232</f>
        <v>-2236</v>
      </c>
      <c r="E281" s="159">
        <f>-603.72</f>
        <v>-603.72</v>
      </c>
      <c r="F281" s="159"/>
      <c r="G281" s="159"/>
      <c r="H281" s="159"/>
      <c r="I281" s="159"/>
      <c r="J281" s="159"/>
      <c r="K281" s="159"/>
      <c r="L281" s="159"/>
      <c r="M281" s="159"/>
      <c r="N281" s="159"/>
      <c r="O281" s="159"/>
      <c r="P281" s="159"/>
      <c r="Q281" s="159"/>
      <c r="R281" s="159">
        <f t="shared" si="24"/>
        <v>-2839.7200000000003</v>
      </c>
      <c r="S281" s="159"/>
      <c r="T281" s="159"/>
      <c r="U281" s="159"/>
      <c r="V281" s="159"/>
      <c r="W281" s="159"/>
      <c r="X281" s="165">
        <f>SUM(T281:W281)</f>
        <v>0</v>
      </c>
      <c r="Y281" s="239">
        <f>R281+X281</f>
        <v>-2839.7200000000003</v>
      </c>
      <c r="Z281" s="328">
        <f>2839.72</f>
        <v>2839.72</v>
      </c>
      <c r="AA281" s="353"/>
    </row>
    <row r="282" spans="1:27" ht="24.95" hidden="1" customHeight="1" x14ac:dyDescent="0.2">
      <c r="A282" s="82">
        <v>49</v>
      </c>
      <c r="B282" s="30" t="s">
        <v>577</v>
      </c>
      <c r="C282" s="28" t="s">
        <v>578</v>
      </c>
      <c r="D282" s="159"/>
      <c r="E282" s="159"/>
      <c r="F282" s="159"/>
      <c r="G282" s="159"/>
      <c r="H282" s="159"/>
      <c r="I282" s="159"/>
      <c r="J282" s="159"/>
      <c r="K282" s="159"/>
      <c r="L282" s="159"/>
      <c r="M282" s="159"/>
      <c r="N282" s="159"/>
      <c r="O282" s="159"/>
      <c r="P282" s="159"/>
      <c r="Q282" s="159"/>
      <c r="R282" s="159">
        <f t="shared" si="24"/>
        <v>0</v>
      </c>
      <c r="S282" s="159"/>
      <c r="T282" s="159"/>
      <c r="U282" s="608">
        <v>2100000</v>
      </c>
      <c r="V282" s="159"/>
      <c r="W282" s="159"/>
      <c r="X282" s="610">
        <f t="shared" si="21"/>
        <v>2100000</v>
      </c>
      <c r="Y282" s="239">
        <f t="shared" si="22"/>
        <v>2100000</v>
      </c>
      <c r="Z282" s="328"/>
      <c r="AA282" s="353"/>
    </row>
    <row r="283" spans="1:27" ht="24.95" hidden="1" customHeight="1" x14ac:dyDescent="0.2">
      <c r="A283" s="82">
        <v>50</v>
      </c>
      <c r="B283" s="30" t="s">
        <v>593</v>
      </c>
      <c r="C283" s="28" t="s">
        <v>379</v>
      </c>
      <c r="D283" s="159"/>
      <c r="E283" s="159"/>
      <c r="F283" s="159"/>
      <c r="G283" s="159"/>
      <c r="H283" s="159"/>
      <c r="I283" s="159"/>
      <c r="J283" s="159"/>
      <c r="K283" s="159">
        <f>-2083</f>
        <v>-2083</v>
      </c>
      <c r="L283" s="159"/>
      <c r="M283" s="159"/>
      <c r="N283" s="159"/>
      <c r="O283" s="159"/>
      <c r="P283" s="159"/>
      <c r="Q283" s="159">
        <f>2083</f>
        <v>2083</v>
      </c>
      <c r="R283" s="159">
        <f t="shared" si="24"/>
        <v>0</v>
      </c>
      <c r="S283" s="159"/>
      <c r="T283" s="159"/>
      <c r="U283" s="159"/>
      <c r="V283" s="159"/>
      <c r="W283" s="159"/>
      <c r="X283" s="165">
        <f t="shared" si="21"/>
        <v>0</v>
      </c>
      <c r="Y283" s="239">
        <f t="shared" si="22"/>
        <v>0</v>
      </c>
      <c r="Z283" s="328"/>
      <c r="AA283" s="353"/>
    </row>
    <row r="284" spans="1:27" ht="24.95" hidden="1" customHeight="1" x14ac:dyDescent="0.2">
      <c r="A284" s="82">
        <v>51</v>
      </c>
      <c r="B284" s="30" t="s">
        <v>594</v>
      </c>
      <c r="C284" s="28" t="s">
        <v>570</v>
      </c>
      <c r="D284" s="159"/>
      <c r="E284" s="159"/>
      <c r="F284" s="159"/>
      <c r="G284" s="159"/>
      <c r="H284" s="159"/>
      <c r="I284" s="159"/>
      <c r="J284" s="159">
        <f>50</f>
        <v>50</v>
      </c>
      <c r="K284" s="159">
        <f>-50</f>
        <v>-50</v>
      </c>
      <c r="L284" s="159"/>
      <c r="M284" s="159"/>
      <c r="N284" s="159"/>
      <c r="O284" s="159"/>
      <c r="P284" s="159"/>
      <c r="Q284" s="159"/>
      <c r="R284" s="159">
        <f t="shared" si="24"/>
        <v>0</v>
      </c>
      <c r="S284" s="159"/>
      <c r="T284" s="159"/>
      <c r="U284" s="159"/>
      <c r="V284" s="159"/>
      <c r="W284" s="159"/>
      <c r="X284" s="165">
        <f t="shared" si="21"/>
        <v>0</v>
      </c>
      <c r="Y284" s="239">
        <f t="shared" si="22"/>
        <v>0</v>
      </c>
      <c r="Z284" s="328"/>
      <c r="AA284" s="353"/>
    </row>
    <row r="285" spans="1:27" ht="24.95" hidden="1" customHeight="1" x14ac:dyDescent="0.2">
      <c r="A285" s="82">
        <v>52</v>
      </c>
      <c r="B285" s="230" t="s">
        <v>595</v>
      </c>
      <c r="C285" s="28" t="s">
        <v>596</v>
      </c>
      <c r="D285" s="159"/>
      <c r="E285" s="159"/>
      <c r="F285" s="159">
        <f>5900+1593</f>
        <v>7493</v>
      </c>
      <c r="G285" s="159"/>
      <c r="H285" s="159"/>
      <c r="I285" s="159"/>
      <c r="J285" s="159"/>
      <c r="K285" s="159">
        <f>-7493</f>
        <v>-7493</v>
      </c>
      <c r="L285" s="159"/>
      <c r="M285" s="159"/>
      <c r="N285" s="159"/>
      <c r="O285" s="159"/>
      <c r="P285" s="159"/>
      <c r="Q285" s="159"/>
      <c r="R285" s="159">
        <f t="shared" si="24"/>
        <v>0</v>
      </c>
      <c r="S285" s="159"/>
      <c r="T285" s="159"/>
      <c r="U285" s="159"/>
      <c r="V285" s="159"/>
      <c r="W285" s="159"/>
      <c r="X285" s="165">
        <f t="shared" si="21"/>
        <v>0</v>
      </c>
      <c r="Y285" s="239">
        <f t="shared" si="22"/>
        <v>0</v>
      </c>
      <c r="Z285" s="328"/>
      <c r="AA285" s="353"/>
    </row>
    <row r="286" spans="1:27" ht="24.95" hidden="1" customHeight="1" x14ac:dyDescent="0.2">
      <c r="A286" s="82">
        <v>53</v>
      </c>
      <c r="B286" s="30" t="s">
        <v>600</v>
      </c>
      <c r="C286" s="28" t="s">
        <v>208</v>
      </c>
      <c r="D286" s="159">
        <f>-10000-1374-3200-2600</f>
        <v>-17174</v>
      </c>
      <c r="E286" s="159">
        <f>-4906.98</f>
        <v>-4906.9799999999996</v>
      </c>
      <c r="F286" s="159"/>
      <c r="G286" s="159"/>
      <c r="H286" s="159"/>
      <c r="I286" s="159"/>
      <c r="J286" s="159"/>
      <c r="K286" s="159">
        <f>-15304.923</f>
        <v>-15304.923000000001</v>
      </c>
      <c r="L286" s="159"/>
      <c r="M286" s="159"/>
      <c r="N286" s="159"/>
      <c r="O286" s="159"/>
      <c r="P286" s="159"/>
      <c r="Q286" s="159"/>
      <c r="R286" s="159">
        <f t="shared" si="24"/>
        <v>-37385.902999999998</v>
      </c>
      <c r="S286" s="159"/>
      <c r="T286" s="159"/>
      <c r="U286" s="159"/>
      <c r="V286" s="159"/>
      <c r="W286" s="159"/>
      <c r="X286" s="165">
        <f t="shared" si="21"/>
        <v>0</v>
      </c>
      <c r="Y286" s="239">
        <f t="shared" si="22"/>
        <v>-37385.902999999998</v>
      </c>
      <c r="Z286" s="328">
        <f>37385.903</f>
        <v>37385.902999999998</v>
      </c>
      <c r="AA286" s="353"/>
    </row>
    <row r="287" spans="1:27" ht="24.95" hidden="1" customHeight="1" x14ac:dyDescent="0.2">
      <c r="A287" s="82">
        <v>54</v>
      </c>
      <c r="B287" s="230" t="s">
        <v>602</v>
      </c>
      <c r="C287" s="28" t="s">
        <v>601</v>
      </c>
      <c r="D287" s="159"/>
      <c r="E287" s="159"/>
      <c r="F287" s="159">
        <f>305</f>
        <v>305</v>
      </c>
      <c r="G287" s="159"/>
      <c r="H287" s="159"/>
      <c r="I287" s="159"/>
      <c r="J287" s="159">
        <f>-305</f>
        <v>-305</v>
      </c>
      <c r="K287" s="159"/>
      <c r="L287" s="159"/>
      <c r="M287" s="159"/>
      <c r="N287" s="159"/>
      <c r="O287" s="159"/>
      <c r="P287" s="159"/>
      <c r="Q287" s="159"/>
      <c r="R287" s="159">
        <f t="shared" si="24"/>
        <v>0</v>
      </c>
      <c r="S287" s="159"/>
      <c r="T287" s="159"/>
      <c r="U287" s="159"/>
      <c r="V287" s="159"/>
      <c r="W287" s="159"/>
      <c r="X287" s="165">
        <f t="shared" si="21"/>
        <v>0</v>
      </c>
      <c r="Y287" s="239">
        <f t="shared" si="22"/>
        <v>0</v>
      </c>
      <c r="Z287" s="328"/>
      <c r="AA287" s="353"/>
    </row>
    <row r="288" spans="1:27" ht="24.95" hidden="1" customHeight="1" x14ac:dyDescent="0.2">
      <c r="A288" s="82">
        <v>55</v>
      </c>
      <c r="B288" s="30" t="s">
        <v>603</v>
      </c>
      <c r="C288" s="28" t="s">
        <v>604</v>
      </c>
      <c r="D288" s="159"/>
      <c r="E288" s="159"/>
      <c r="F288" s="159">
        <f>1445+391</f>
        <v>1836</v>
      </c>
      <c r="G288" s="159"/>
      <c r="H288" s="159"/>
      <c r="I288" s="159"/>
      <c r="J288" s="159"/>
      <c r="K288" s="159">
        <f>-1836</f>
        <v>-1836</v>
      </c>
      <c r="L288" s="159"/>
      <c r="M288" s="159"/>
      <c r="N288" s="159"/>
      <c r="O288" s="159"/>
      <c r="P288" s="159"/>
      <c r="Q288" s="159"/>
      <c r="R288" s="159">
        <f t="shared" si="24"/>
        <v>0</v>
      </c>
      <c r="S288" s="159"/>
      <c r="T288" s="159"/>
      <c r="U288" s="159"/>
      <c r="V288" s="159"/>
      <c r="W288" s="159"/>
      <c r="X288" s="165">
        <f t="shared" si="21"/>
        <v>0</v>
      </c>
      <c r="Y288" s="239">
        <f t="shared" si="22"/>
        <v>0</v>
      </c>
      <c r="Z288" s="328"/>
      <c r="AA288" s="353"/>
    </row>
    <row r="289" spans="1:27" ht="24.95" hidden="1" customHeight="1" x14ac:dyDescent="0.2">
      <c r="A289" s="82">
        <v>56</v>
      </c>
      <c r="B289" s="734" t="s">
        <v>606</v>
      </c>
      <c r="C289" s="28" t="s">
        <v>605</v>
      </c>
      <c r="D289" s="159"/>
      <c r="E289" s="159"/>
      <c r="F289" s="159">
        <f>-67.541-148.73-699.554-52.005-1466.411</f>
        <v>-2434.241</v>
      </c>
      <c r="G289" s="159"/>
      <c r="H289" s="159"/>
      <c r="I289" s="159"/>
      <c r="J289" s="355"/>
      <c r="K289" s="159"/>
      <c r="L289" s="159">
        <f>67.541+148.73+699.554+52.005+1466.411</f>
        <v>2434.241</v>
      </c>
      <c r="M289" s="159"/>
      <c r="N289" s="159"/>
      <c r="O289" s="159"/>
      <c r="P289" s="159"/>
      <c r="Q289" s="159"/>
      <c r="R289" s="159">
        <f t="shared" si="24"/>
        <v>0</v>
      </c>
      <c r="S289" s="159"/>
      <c r="T289" s="159"/>
      <c r="U289" s="159"/>
      <c r="V289" s="159"/>
      <c r="W289" s="159"/>
      <c r="X289" s="165">
        <f t="shared" si="21"/>
        <v>0</v>
      </c>
      <c r="Y289" s="239">
        <f t="shared" si="22"/>
        <v>0</v>
      </c>
      <c r="Z289" s="328"/>
      <c r="AA289" s="353"/>
    </row>
    <row r="290" spans="1:27" ht="24.95" hidden="1" customHeight="1" x14ac:dyDescent="0.2">
      <c r="A290" s="82">
        <v>57</v>
      </c>
      <c r="B290" s="30" t="s">
        <v>603</v>
      </c>
      <c r="C290" s="28" t="s">
        <v>208</v>
      </c>
      <c r="D290" s="159"/>
      <c r="E290" s="159"/>
      <c r="F290" s="159"/>
      <c r="G290" s="159"/>
      <c r="H290" s="159"/>
      <c r="I290" s="159"/>
      <c r="K290" s="159"/>
      <c r="L290" s="159">
        <f>-591-159</f>
        <v>-750</v>
      </c>
      <c r="M290" s="159"/>
      <c r="N290" s="159"/>
      <c r="O290" s="159"/>
      <c r="P290" s="159"/>
      <c r="Q290" s="159"/>
      <c r="R290" s="159">
        <f t="shared" si="24"/>
        <v>-750</v>
      </c>
      <c r="S290" s="159"/>
      <c r="T290" s="159"/>
      <c r="U290" s="159"/>
      <c r="V290" s="159"/>
      <c r="W290" s="159"/>
      <c r="X290" s="165">
        <f t="shared" si="21"/>
        <v>0</v>
      </c>
      <c r="Y290" s="239">
        <f t="shared" si="22"/>
        <v>-750</v>
      </c>
      <c r="Z290" s="328">
        <f>750</f>
        <v>750</v>
      </c>
      <c r="AA290" s="353"/>
    </row>
    <row r="291" spans="1:27" ht="24.95" hidden="1" customHeight="1" x14ac:dyDescent="0.2">
      <c r="A291" s="82">
        <v>58</v>
      </c>
      <c r="B291" s="30" t="s">
        <v>607</v>
      </c>
      <c r="C291" s="28" t="s">
        <v>208</v>
      </c>
      <c r="D291" s="159">
        <f>-2350</f>
        <v>-2350</v>
      </c>
      <c r="E291" s="159">
        <f>-634.5</f>
        <v>-634.5</v>
      </c>
      <c r="F291" s="159"/>
      <c r="G291" s="159"/>
      <c r="H291" s="159"/>
      <c r="I291" s="159"/>
      <c r="K291" s="159"/>
      <c r="L291" s="159"/>
      <c r="M291" s="159"/>
      <c r="N291" s="159"/>
      <c r="O291" s="159"/>
      <c r="P291" s="159"/>
      <c r="Q291" s="159"/>
      <c r="R291" s="159">
        <f t="shared" si="24"/>
        <v>-2984.5</v>
      </c>
      <c r="S291" s="159"/>
      <c r="T291" s="159"/>
      <c r="U291" s="159"/>
      <c r="V291" s="159"/>
      <c r="W291" s="159"/>
      <c r="X291" s="165">
        <f t="shared" si="21"/>
        <v>0</v>
      </c>
      <c r="Y291" s="239">
        <f t="shared" si="22"/>
        <v>-2984.5</v>
      </c>
      <c r="Z291" s="328">
        <f>2984.5</f>
        <v>2984.5</v>
      </c>
      <c r="AA291" s="353"/>
    </row>
    <row r="292" spans="1:27" ht="24.95" hidden="1" customHeight="1" x14ac:dyDescent="0.2">
      <c r="A292" s="82">
        <v>59</v>
      </c>
      <c r="B292" s="230" t="s">
        <v>608</v>
      </c>
      <c r="C292" s="28" t="s">
        <v>208</v>
      </c>
      <c r="D292" s="159">
        <f>-390</f>
        <v>-390</v>
      </c>
      <c r="E292" s="159">
        <f>-105.3</f>
        <v>-105.3</v>
      </c>
      <c r="F292" s="159">
        <f>-381-370-167.845-650-590.5</f>
        <v>-2159.3450000000003</v>
      </c>
      <c r="G292" s="159"/>
      <c r="H292" s="159"/>
      <c r="I292" s="159"/>
      <c r="K292" s="159"/>
      <c r="L292" s="159"/>
      <c r="M292" s="159"/>
      <c r="N292" s="159"/>
      <c r="O292" s="159"/>
      <c r="P292" s="159"/>
      <c r="Q292" s="159"/>
      <c r="R292" s="159">
        <f t="shared" si="24"/>
        <v>-2654.6450000000004</v>
      </c>
      <c r="S292" s="159"/>
      <c r="T292" s="159"/>
      <c r="U292" s="159"/>
      <c r="V292" s="159"/>
      <c r="W292" s="159"/>
      <c r="X292" s="165">
        <f t="shared" si="21"/>
        <v>0</v>
      </c>
      <c r="Y292" s="239">
        <f t="shared" si="22"/>
        <v>-2654.6450000000004</v>
      </c>
      <c r="Z292" s="328">
        <f>2654.645</f>
        <v>2654.645</v>
      </c>
      <c r="AA292" s="353"/>
    </row>
    <row r="293" spans="1:27" ht="24.95" hidden="1" customHeight="1" x14ac:dyDescent="0.2">
      <c r="A293" s="82">
        <v>60</v>
      </c>
      <c r="B293" s="30" t="s">
        <v>611</v>
      </c>
      <c r="C293" s="28" t="s">
        <v>612</v>
      </c>
      <c r="D293" s="159"/>
      <c r="E293" s="159"/>
      <c r="F293" s="159">
        <f>-2220</f>
        <v>-2220</v>
      </c>
      <c r="G293" s="159"/>
      <c r="H293" s="159"/>
      <c r="I293" s="159">
        <f>2220</f>
        <v>2220</v>
      </c>
      <c r="K293" s="159"/>
      <c r="L293" s="159"/>
      <c r="M293" s="159"/>
      <c r="N293" s="159"/>
      <c r="O293" s="159"/>
      <c r="P293" s="159"/>
      <c r="Q293" s="159"/>
      <c r="R293" s="159">
        <f t="shared" si="24"/>
        <v>0</v>
      </c>
      <c r="S293" s="159"/>
      <c r="T293" s="159"/>
      <c r="U293" s="159"/>
      <c r="V293" s="159"/>
      <c r="W293" s="159"/>
      <c r="X293" s="165">
        <f t="shared" si="21"/>
        <v>0</v>
      </c>
      <c r="Y293" s="239">
        <f t="shared" si="22"/>
        <v>0</v>
      </c>
      <c r="Z293" s="328"/>
      <c r="AA293" s="353"/>
    </row>
    <row r="294" spans="1:27" ht="24.95" hidden="1" customHeight="1" x14ac:dyDescent="0.2">
      <c r="A294" s="82">
        <v>61</v>
      </c>
      <c r="B294" s="230" t="s">
        <v>613</v>
      </c>
      <c r="C294" s="28" t="s">
        <v>579</v>
      </c>
      <c r="D294" s="159"/>
      <c r="E294" s="159"/>
      <c r="F294" s="159">
        <f>196+506</f>
        <v>702</v>
      </c>
      <c r="G294" s="159"/>
      <c r="H294" s="159"/>
      <c r="I294" s="159"/>
      <c r="K294" s="159"/>
      <c r="L294" s="159">
        <f>-1317-356+765+206</f>
        <v>-702</v>
      </c>
      <c r="M294" s="159"/>
      <c r="N294" s="159"/>
      <c r="O294" s="159"/>
      <c r="P294" s="159"/>
      <c r="Q294" s="159"/>
      <c r="R294" s="159">
        <f t="shared" si="24"/>
        <v>0</v>
      </c>
      <c r="S294" s="159"/>
      <c r="T294" s="159"/>
      <c r="U294" s="159"/>
      <c r="V294" s="159"/>
      <c r="W294" s="159"/>
      <c r="X294" s="165">
        <f t="shared" si="21"/>
        <v>0</v>
      </c>
      <c r="Y294" s="239">
        <f t="shared" si="22"/>
        <v>0</v>
      </c>
      <c r="Z294" s="328"/>
      <c r="AA294" s="353"/>
    </row>
    <row r="295" spans="1:27" ht="24.95" hidden="1" customHeight="1" x14ac:dyDescent="0.2">
      <c r="A295" s="82">
        <v>62</v>
      </c>
      <c r="B295" s="639" t="s">
        <v>620</v>
      </c>
      <c r="C295" s="28" t="s">
        <v>621</v>
      </c>
      <c r="D295" s="159">
        <f>500</f>
        <v>500</v>
      </c>
      <c r="E295" s="159">
        <f>135</f>
        <v>135</v>
      </c>
      <c r="F295" s="159">
        <f>-635</f>
        <v>-635</v>
      </c>
      <c r="G295" s="159"/>
      <c r="H295" s="159"/>
      <c r="I295" s="159"/>
      <c r="K295" s="159"/>
      <c r="L295" s="159"/>
      <c r="M295" s="159"/>
      <c r="N295" s="159"/>
      <c r="O295" s="159"/>
      <c r="P295" s="159"/>
      <c r="Q295" s="159"/>
      <c r="R295" s="159">
        <f t="shared" si="24"/>
        <v>0</v>
      </c>
      <c r="S295" s="159"/>
      <c r="T295" s="159"/>
      <c r="U295" s="159"/>
      <c r="V295" s="159"/>
      <c r="W295" s="159"/>
      <c r="X295" s="165">
        <f t="shared" si="21"/>
        <v>0</v>
      </c>
      <c r="Y295" s="239">
        <f t="shared" si="22"/>
        <v>0</v>
      </c>
      <c r="Z295" s="328"/>
      <c r="AA295" s="353"/>
    </row>
    <row r="296" spans="1:27" ht="24.95" hidden="1" customHeight="1" x14ac:dyDescent="0.2">
      <c r="A296" s="82"/>
      <c r="B296" s="30"/>
      <c r="C296" s="28"/>
      <c r="D296" s="159"/>
      <c r="E296" s="159"/>
      <c r="F296" s="159"/>
      <c r="G296" s="159"/>
      <c r="H296" s="159"/>
      <c r="I296" s="159"/>
      <c r="K296" s="159"/>
      <c r="L296" s="159"/>
      <c r="M296" s="159"/>
      <c r="N296" s="159"/>
      <c r="O296" s="159"/>
      <c r="P296" s="159"/>
      <c r="Q296" s="159"/>
      <c r="R296" s="159">
        <f t="shared" si="24"/>
        <v>0</v>
      </c>
      <c r="S296" s="159"/>
      <c r="T296" s="159"/>
      <c r="U296" s="159"/>
      <c r="V296" s="159"/>
      <c r="W296" s="159"/>
      <c r="X296" s="165">
        <f t="shared" si="21"/>
        <v>0</v>
      </c>
      <c r="Y296" s="239">
        <f t="shared" si="22"/>
        <v>0</v>
      </c>
      <c r="Z296" s="328"/>
      <c r="AA296" s="353"/>
    </row>
    <row r="297" spans="1:27" ht="24.95" hidden="1" customHeight="1" x14ac:dyDescent="0.2">
      <c r="A297" s="82"/>
      <c r="B297" s="530"/>
      <c r="C297" s="28"/>
      <c r="D297" s="159"/>
      <c r="E297" s="159"/>
      <c r="F297" s="159"/>
      <c r="G297" s="159"/>
      <c r="H297" s="159"/>
      <c r="I297" s="159"/>
      <c r="K297" s="159"/>
      <c r="L297" s="159"/>
      <c r="M297" s="159"/>
      <c r="N297" s="159"/>
      <c r="O297" s="159"/>
      <c r="P297" s="159"/>
      <c r="Q297" s="159"/>
      <c r="R297" s="159">
        <f t="shared" si="24"/>
        <v>0</v>
      </c>
      <c r="S297" s="159"/>
      <c r="T297" s="159"/>
      <c r="U297" s="159"/>
      <c r="V297" s="159"/>
      <c r="W297" s="159"/>
      <c r="X297" s="165">
        <f>SUM(T297:W297)</f>
        <v>0</v>
      </c>
      <c r="Y297" s="239">
        <f>R297+X297</f>
        <v>0</v>
      </c>
      <c r="Z297" s="328"/>
      <c r="AA297" s="353"/>
    </row>
    <row r="298" spans="1:27" ht="24.95" hidden="1" customHeight="1" x14ac:dyDescent="0.2">
      <c r="A298" s="82"/>
      <c r="B298" s="30"/>
      <c r="C298" s="28"/>
      <c r="D298" s="159"/>
      <c r="E298" s="159"/>
      <c r="F298" s="159"/>
      <c r="G298" s="159"/>
      <c r="H298" s="159"/>
      <c r="I298" s="159"/>
      <c r="J298" s="159"/>
      <c r="K298" s="159"/>
      <c r="L298" s="159"/>
      <c r="M298" s="159"/>
      <c r="N298" s="159"/>
      <c r="O298" s="159"/>
      <c r="P298" s="159"/>
      <c r="Q298" s="159"/>
      <c r="R298" s="159">
        <f t="shared" si="24"/>
        <v>0</v>
      </c>
      <c r="S298" s="159"/>
      <c r="T298" s="159"/>
      <c r="U298" s="159"/>
      <c r="V298" s="159"/>
      <c r="W298" s="159"/>
      <c r="X298" s="165">
        <f t="shared" si="21"/>
        <v>0</v>
      </c>
      <c r="Y298" s="239">
        <f t="shared" si="22"/>
        <v>0</v>
      </c>
      <c r="Z298" s="328"/>
      <c r="AA298" s="353"/>
    </row>
    <row r="299" spans="1:27" ht="24.95" hidden="1" customHeight="1" x14ac:dyDescent="0.2">
      <c r="A299" s="82"/>
      <c r="B299" s="30"/>
      <c r="C299" s="28"/>
      <c r="D299" s="159"/>
      <c r="E299" s="159"/>
      <c r="F299" s="159"/>
      <c r="G299" s="159"/>
      <c r="H299" s="159"/>
      <c r="I299" s="159"/>
      <c r="J299" s="159"/>
      <c r="K299" s="159"/>
      <c r="L299" s="159"/>
      <c r="M299" s="159"/>
      <c r="N299" s="159"/>
      <c r="O299" s="159"/>
      <c r="P299" s="159"/>
      <c r="Q299" s="159"/>
      <c r="R299" s="159">
        <f t="shared" si="24"/>
        <v>0</v>
      </c>
      <c r="S299" s="159"/>
      <c r="T299" s="159"/>
      <c r="U299" s="159"/>
      <c r="V299" s="159"/>
      <c r="W299" s="159"/>
      <c r="X299" s="165">
        <f t="shared" si="21"/>
        <v>0</v>
      </c>
      <c r="Y299" s="239">
        <f t="shared" si="22"/>
        <v>0</v>
      </c>
      <c r="Z299" s="328"/>
      <c r="AA299" s="353"/>
    </row>
    <row r="300" spans="1:27" ht="24.95" hidden="1" customHeight="1" x14ac:dyDescent="0.2">
      <c r="A300" s="82"/>
      <c r="B300" s="30"/>
      <c r="C300" s="28"/>
      <c r="D300" s="159"/>
      <c r="E300" s="159"/>
      <c r="F300" s="159"/>
      <c r="G300" s="159"/>
      <c r="H300" s="159"/>
      <c r="I300" s="159"/>
      <c r="J300" s="159"/>
      <c r="K300" s="159"/>
      <c r="L300" s="159"/>
      <c r="M300" s="159"/>
      <c r="N300" s="159"/>
      <c r="O300" s="159"/>
      <c r="P300" s="159"/>
      <c r="Q300" s="159"/>
      <c r="R300" s="159">
        <f t="shared" si="24"/>
        <v>0</v>
      </c>
      <c r="S300" s="159"/>
      <c r="T300" s="159"/>
      <c r="U300" s="159"/>
      <c r="V300" s="159"/>
      <c r="W300" s="159"/>
      <c r="X300" s="165">
        <f t="shared" si="21"/>
        <v>0</v>
      </c>
      <c r="Y300" s="239">
        <f t="shared" si="22"/>
        <v>0</v>
      </c>
      <c r="Z300" s="328"/>
      <c r="AA300" s="353"/>
    </row>
    <row r="301" spans="1:27" ht="24.95" hidden="1" customHeight="1" x14ac:dyDescent="0.2">
      <c r="A301" s="82"/>
      <c r="B301" s="30"/>
      <c r="C301" s="28"/>
      <c r="D301" s="159"/>
      <c r="E301" s="159"/>
      <c r="F301" s="159"/>
      <c r="G301" s="159"/>
      <c r="H301" s="159"/>
      <c r="I301" s="159"/>
      <c r="J301" s="159"/>
      <c r="K301" s="159"/>
      <c r="L301" s="159"/>
      <c r="M301" s="159"/>
      <c r="N301" s="159"/>
      <c r="O301" s="159"/>
      <c r="P301" s="159"/>
      <c r="Q301" s="159"/>
      <c r="R301" s="159">
        <f t="shared" si="24"/>
        <v>0</v>
      </c>
      <c r="S301" s="159"/>
      <c r="T301" s="159"/>
      <c r="U301" s="159"/>
      <c r="V301" s="159"/>
      <c r="W301" s="159"/>
      <c r="X301" s="165">
        <f t="shared" si="21"/>
        <v>0</v>
      </c>
      <c r="Y301" s="239">
        <f t="shared" si="22"/>
        <v>0</v>
      </c>
      <c r="Z301" s="328"/>
      <c r="AA301" s="353"/>
    </row>
    <row r="302" spans="1:27" ht="24.95" hidden="1" customHeight="1" x14ac:dyDescent="0.2">
      <c r="A302" s="82"/>
      <c r="B302" s="30"/>
      <c r="C302" s="28"/>
      <c r="D302" s="159"/>
      <c r="E302" s="159"/>
      <c r="F302" s="159"/>
      <c r="G302" s="159"/>
      <c r="H302" s="159"/>
      <c r="I302" s="159"/>
      <c r="J302" s="159"/>
      <c r="K302" s="159"/>
      <c r="L302" s="159"/>
      <c r="M302" s="159"/>
      <c r="N302" s="159"/>
      <c r="O302" s="159"/>
      <c r="P302" s="159"/>
      <c r="Q302" s="159"/>
      <c r="R302" s="159">
        <f t="shared" si="24"/>
        <v>0</v>
      </c>
      <c r="S302" s="159"/>
      <c r="T302" s="159"/>
      <c r="U302" s="159"/>
      <c r="V302" s="159"/>
      <c r="W302" s="159"/>
      <c r="X302" s="165">
        <f t="shared" si="21"/>
        <v>0</v>
      </c>
      <c r="Y302" s="239">
        <f t="shared" si="22"/>
        <v>0</v>
      </c>
      <c r="Z302" s="328"/>
      <c r="AA302" s="353"/>
    </row>
    <row r="303" spans="1:27" ht="24.95" hidden="1" customHeight="1" x14ac:dyDescent="0.2">
      <c r="A303" s="82"/>
      <c r="B303" s="30"/>
      <c r="C303" s="28"/>
      <c r="D303" s="159"/>
      <c r="E303" s="159"/>
      <c r="F303" s="159"/>
      <c r="G303" s="159"/>
      <c r="H303" s="159"/>
      <c r="I303" s="159"/>
      <c r="J303" s="159"/>
      <c r="K303" s="159"/>
      <c r="L303" s="159"/>
      <c r="M303" s="159"/>
      <c r="N303" s="159"/>
      <c r="O303" s="159"/>
      <c r="P303" s="159"/>
      <c r="Q303" s="159"/>
      <c r="R303" s="159">
        <f t="shared" si="24"/>
        <v>0</v>
      </c>
      <c r="S303" s="159"/>
      <c r="T303" s="159"/>
      <c r="U303" s="159"/>
      <c r="V303" s="159"/>
      <c r="W303" s="159"/>
      <c r="X303" s="165">
        <f t="shared" si="21"/>
        <v>0</v>
      </c>
      <c r="Y303" s="239">
        <f t="shared" si="22"/>
        <v>0</v>
      </c>
      <c r="Z303" s="328"/>
      <c r="AA303" s="353"/>
    </row>
    <row r="304" spans="1:27" ht="24.95" hidden="1" customHeight="1" x14ac:dyDescent="0.2">
      <c r="A304" s="82"/>
      <c r="B304" s="30"/>
      <c r="C304" s="28"/>
      <c r="D304" s="159"/>
      <c r="E304" s="159"/>
      <c r="F304" s="159"/>
      <c r="G304" s="159"/>
      <c r="H304" s="159"/>
      <c r="I304" s="159"/>
      <c r="J304" s="159"/>
      <c r="K304" s="159"/>
      <c r="L304" s="159"/>
      <c r="M304" s="159"/>
      <c r="N304" s="159"/>
      <c r="O304" s="159"/>
      <c r="P304" s="159"/>
      <c r="Q304" s="159"/>
      <c r="R304" s="159">
        <f t="shared" si="24"/>
        <v>0</v>
      </c>
      <c r="S304" s="159"/>
      <c r="T304" s="159"/>
      <c r="U304" s="159"/>
      <c r="V304" s="159"/>
      <c r="W304" s="159"/>
      <c r="X304" s="165">
        <f t="shared" si="21"/>
        <v>0</v>
      </c>
      <c r="Y304" s="239">
        <f t="shared" si="22"/>
        <v>0</v>
      </c>
      <c r="Z304" s="328"/>
      <c r="AA304" s="353"/>
    </row>
    <row r="305" spans="1:27" ht="24.95" hidden="1" customHeight="1" x14ac:dyDescent="0.2">
      <c r="A305" s="82"/>
      <c r="B305" s="30"/>
      <c r="C305" s="28"/>
      <c r="D305" s="159"/>
      <c r="E305" s="159"/>
      <c r="F305" s="159"/>
      <c r="G305" s="159"/>
      <c r="H305" s="159"/>
      <c r="I305" s="159"/>
      <c r="J305" s="159"/>
      <c r="K305" s="159"/>
      <c r="L305" s="159"/>
      <c r="M305" s="159"/>
      <c r="N305" s="159"/>
      <c r="O305" s="159"/>
      <c r="P305" s="159"/>
      <c r="Q305" s="159"/>
      <c r="R305" s="159">
        <f t="shared" si="24"/>
        <v>0</v>
      </c>
      <c r="S305" s="159"/>
      <c r="T305" s="159"/>
      <c r="U305" s="159"/>
      <c r="V305" s="159"/>
      <c r="W305" s="159"/>
      <c r="X305" s="165">
        <f t="shared" si="21"/>
        <v>0</v>
      </c>
      <c r="Y305" s="239">
        <f t="shared" si="22"/>
        <v>0</v>
      </c>
      <c r="Z305" s="328"/>
      <c r="AA305" s="353"/>
    </row>
    <row r="306" spans="1:27" ht="24.95" hidden="1" customHeight="1" x14ac:dyDescent="0.2">
      <c r="A306" s="82"/>
      <c r="B306" s="30"/>
      <c r="C306" s="28"/>
      <c r="D306" s="159"/>
      <c r="E306" s="159"/>
      <c r="F306" s="159"/>
      <c r="G306" s="159"/>
      <c r="H306" s="159"/>
      <c r="I306" s="159"/>
      <c r="J306" s="159"/>
      <c r="K306" s="159"/>
      <c r="L306" s="159"/>
      <c r="M306" s="159"/>
      <c r="N306" s="159"/>
      <c r="O306" s="159"/>
      <c r="P306" s="159"/>
      <c r="Q306" s="159"/>
      <c r="R306" s="159">
        <f t="shared" si="24"/>
        <v>0</v>
      </c>
      <c r="S306" s="159"/>
      <c r="T306" s="159"/>
      <c r="U306" s="159"/>
      <c r="V306" s="159"/>
      <c r="W306" s="159"/>
      <c r="X306" s="165">
        <f t="shared" si="21"/>
        <v>0</v>
      </c>
      <c r="Y306" s="239">
        <f t="shared" si="22"/>
        <v>0</v>
      </c>
      <c r="Z306" s="328"/>
      <c r="AA306" s="353"/>
    </row>
    <row r="307" spans="1:27" ht="24.95" hidden="1" customHeight="1" x14ac:dyDescent="0.2">
      <c r="A307" s="82"/>
      <c r="B307" s="30"/>
      <c r="C307" s="28"/>
      <c r="D307" s="159"/>
      <c r="E307" s="159"/>
      <c r="F307" s="159"/>
      <c r="G307" s="159"/>
      <c r="H307" s="159"/>
      <c r="I307" s="159"/>
      <c r="J307" s="159"/>
      <c r="K307" s="159"/>
      <c r="L307" s="159"/>
      <c r="M307" s="159"/>
      <c r="N307" s="159"/>
      <c r="O307" s="159"/>
      <c r="P307" s="159"/>
      <c r="Q307" s="159"/>
      <c r="R307" s="159">
        <f t="shared" si="24"/>
        <v>0</v>
      </c>
      <c r="S307" s="159"/>
      <c r="T307" s="159"/>
      <c r="U307" s="159"/>
      <c r="V307" s="159"/>
      <c r="W307" s="159"/>
      <c r="X307" s="165">
        <f t="shared" si="21"/>
        <v>0</v>
      </c>
      <c r="Y307" s="239">
        <f t="shared" si="22"/>
        <v>0</v>
      </c>
      <c r="Z307" s="328"/>
      <c r="AA307" s="353"/>
    </row>
    <row r="308" spans="1:27" ht="24.95" hidden="1" customHeight="1" x14ac:dyDescent="0.2">
      <c r="A308" s="82"/>
      <c r="B308" s="30"/>
      <c r="C308" s="28"/>
      <c r="D308" s="159"/>
      <c r="E308" s="159"/>
      <c r="F308" s="159"/>
      <c r="G308" s="159"/>
      <c r="H308" s="159"/>
      <c r="I308" s="159"/>
      <c r="J308" s="159"/>
      <c r="K308" s="159"/>
      <c r="L308" s="159"/>
      <c r="M308" s="159"/>
      <c r="N308" s="159"/>
      <c r="O308" s="159"/>
      <c r="P308" s="159"/>
      <c r="Q308" s="159"/>
      <c r="R308" s="159">
        <f t="shared" si="24"/>
        <v>0</v>
      </c>
      <c r="S308" s="159"/>
      <c r="T308" s="159"/>
      <c r="U308" s="159"/>
      <c r="V308" s="159"/>
      <c r="W308" s="159"/>
      <c r="X308" s="165">
        <f t="shared" si="21"/>
        <v>0</v>
      </c>
      <c r="Y308" s="239">
        <f t="shared" si="22"/>
        <v>0</v>
      </c>
      <c r="Z308" s="328"/>
      <c r="AA308" s="353"/>
    </row>
    <row r="309" spans="1:27" ht="24.95" hidden="1" customHeight="1" x14ac:dyDescent="0.2">
      <c r="A309" s="82"/>
      <c r="B309" s="30"/>
      <c r="C309" s="28"/>
      <c r="D309" s="159"/>
      <c r="E309" s="159"/>
      <c r="F309" s="159"/>
      <c r="G309" s="159"/>
      <c r="H309" s="159"/>
      <c r="I309" s="159"/>
      <c r="J309" s="159"/>
      <c r="K309" s="159"/>
      <c r="L309" s="159"/>
      <c r="M309" s="159"/>
      <c r="N309" s="159"/>
      <c r="O309" s="159"/>
      <c r="P309" s="159"/>
      <c r="Q309" s="159"/>
      <c r="R309" s="159">
        <f t="shared" si="24"/>
        <v>0</v>
      </c>
      <c r="S309" s="159"/>
      <c r="T309" s="159"/>
      <c r="U309" s="159"/>
      <c r="V309" s="159"/>
      <c r="W309" s="159"/>
      <c r="X309" s="165">
        <f t="shared" si="21"/>
        <v>0</v>
      </c>
      <c r="Y309" s="239">
        <f t="shared" si="22"/>
        <v>0</v>
      </c>
      <c r="Z309" s="328"/>
      <c r="AA309" s="353"/>
    </row>
    <row r="310" spans="1:27" ht="24.95" hidden="1" customHeight="1" x14ac:dyDescent="0.2">
      <c r="A310" s="82"/>
      <c r="B310" s="30"/>
      <c r="C310" s="28"/>
      <c r="D310" s="159"/>
      <c r="E310" s="159"/>
      <c r="F310" s="159"/>
      <c r="G310" s="159"/>
      <c r="H310" s="159"/>
      <c r="I310" s="159"/>
      <c r="J310" s="159"/>
      <c r="K310" s="159"/>
      <c r="L310" s="159"/>
      <c r="M310" s="159"/>
      <c r="N310" s="159"/>
      <c r="O310" s="159"/>
      <c r="P310" s="159"/>
      <c r="Q310" s="159"/>
      <c r="R310" s="159">
        <f t="shared" si="24"/>
        <v>0</v>
      </c>
      <c r="S310" s="159"/>
      <c r="T310" s="159"/>
      <c r="U310" s="159"/>
      <c r="V310" s="159"/>
      <c r="W310" s="159"/>
      <c r="X310" s="165">
        <f>SUM(T310:W310)</f>
        <v>0</v>
      </c>
      <c r="Y310" s="239">
        <f>R310+X310</f>
        <v>0</v>
      </c>
      <c r="Z310" s="328"/>
      <c r="AA310" s="353"/>
    </row>
    <row r="311" spans="1:27" ht="24.95" hidden="1" customHeight="1" x14ac:dyDescent="0.2">
      <c r="A311" s="82"/>
      <c r="B311" s="30"/>
      <c r="C311" s="28"/>
      <c r="D311" s="159"/>
      <c r="E311" s="159"/>
      <c r="F311" s="159"/>
      <c r="G311" s="159"/>
      <c r="H311" s="159"/>
      <c r="I311" s="159"/>
      <c r="J311" s="159"/>
      <c r="K311" s="159"/>
      <c r="L311" s="159"/>
      <c r="M311" s="159"/>
      <c r="N311" s="159"/>
      <c r="O311" s="159"/>
      <c r="P311" s="159"/>
      <c r="Q311" s="159"/>
      <c r="R311" s="159">
        <f t="shared" si="24"/>
        <v>0</v>
      </c>
      <c r="S311" s="159"/>
      <c r="T311" s="159"/>
      <c r="U311" s="159"/>
      <c r="V311" s="159"/>
      <c r="W311" s="159"/>
      <c r="X311" s="165">
        <f>SUM(T311:W311)</f>
        <v>0</v>
      </c>
      <c r="Y311" s="239">
        <f>R311+X311</f>
        <v>0</v>
      </c>
      <c r="Z311" s="328"/>
      <c r="AA311" s="353"/>
    </row>
    <row r="312" spans="1:27" ht="24.95" hidden="1" customHeight="1" x14ac:dyDescent="0.2">
      <c r="A312" s="82"/>
      <c r="B312" s="30"/>
      <c r="C312" s="28"/>
      <c r="D312" s="159"/>
      <c r="E312" s="159"/>
      <c r="F312" s="159"/>
      <c r="G312" s="159"/>
      <c r="H312" s="159"/>
      <c r="I312" s="159"/>
      <c r="J312" s="159"/>
      <c r="K312" s="159"/>
      <c r="L312" s="159"/>
      <c r="M312" s="159"/>
      <c r="N312" s="159"/>
      <c r="O312" s="159"/>
      <c r="P312" s="159"/>
      <c r="Q312" s="159"/>
      <c r="R312" s="159">
        <f t="shared" si="24"/>
        <v>0</v>
      </c>
      <c r="S312" s="159"/>
      <c r="T312" s="159"/>
      <c r="U312" s="159"/>
      <c r="V312" s="159"/>
      <c r="W312" s="159"/>
      <c r="X312" s="165">
        <f>SUM(T312:W312)</f>
        <v>0</v>
      </c>
      <c r="Y312" s="239">
        <f>R312+X312</f>
        <v>0</v>
      </c>
      <c r="Z312" s="328"/>
      <c r="AA312" s="353"/>
    </row>
    <row r="313" spans="1:27" ht="24.95" hidden="1" customHeight="1" x14ac:dyDescent="0.2">
      <c r="A313" s="82"/>
      <c r="B313" s="30"/>
      <c r="C313" s="28"/>
      <c r="D313" s="159"/>
      <c r="E313" s="159"/>
      <c r="F313" s="159"/>
      <c r="G313" s="159"/>
      <c r="H313" s="159"/>
      <c r="I313" s="159"/>
      <c r="J313" s="159"/>
      <c r="K313" s="159"/>
      <c r="L313" s="159"/>
      <c r="M313" s="159"/>
      <c r="N313" s="159"/>
      <c r="O313" s="159"/>
      <c r="P313" s="159"/>
      <c r="Q313" s="159"/>
      <c r="R313" s="159">
        <f t="shared" si="24"/>
        <v>0</v>
      </c>
      <c r="S313" s="159"/>
      <c r="T313" s="159"/>
      <c r="U313" s="159"/>
      <c r="V313" s="159"/>
      <c r="W313" s="159"/>
      <c r="X313" s="165">
        <f t="shared" si="21"/>
        <v>0</v>
      </c>
      <c r="Y313" s="239">
        <f t="shared" si="22"/>
        <v>0</v>
      </c>
      <c r="Z313" s="328"/>
      <c r="AA313" s="353"/>
    </row>
    <row r="314" spans="1:27" ht="24.95" hidden="1" customHeight="1" x14ac:dyDescent="0.2">
      <c r="A314" s="82"/>
      <c r="B314" s="30"/>
      <c r="C314" s="28"/>
      <c r="D314" s="159"/>
      <c r="E314" s="159"/>
      <c r="F314" s="159"/>
      <c r="G314" s="159"/>
      <c r="H314" s="159"/>
      <c r="I314" s="159"/>
      <c r="J314" s="159"/>
      <c r="K314" s="159"/>
      <c r="L314" s="159"/>
      <c r="M314" s="159"/>
      <c r="N314" s="159"/>
      <c r="O314" s="159"/>
      <c r="P314" s="159"/>
      <c r="Q314" s="159"/>
      <c r="R314" s="159">
        <f t="shared" si="24"/>
        <v>0</v>
      </c>
      <c r="S314" s="159"/>
      <c r="T314" s="159"/>
      <c r="U314" s="159"/>
      <c r="V314" s="159"/>
      <c r="W314" s="159"/>
      <c r="X314" s="165">
        <f t="shared" si="21"/>
        <v>0</v>
      </c>
      <c r="Y314" s="239">
        <f t="shared" si="22"/>
        <v>0</v>
      </c>
      <c r="Z314" s="328"/>
      <c r="AA314" s="353"/>
    </row>
    <row r="315" spans="1:27" ht="24.95" hidden="1" customHeight="1" x14ac:dyDescent="0.2">
      <c r="A315" s="82"/>
      <c r="B315" s="30"/>
      <c r="C315" s="28"/>
      <c r="D315" s="159"/>
      <c r="E315" s="159"/>
      <c r="F315" s="159"/>
      <c r="G315" s="159"/>
      <c r="H315" s="159"/>
      <c r="I315" s="159"/>
      <c r="J315" s="159"/>
      <c r="K315" s="159"/>
      <c r="L315" s="159"/>
      <c r="M315" s="159"/>
      <c r="N315" s="159"/>
      <c r="O315" s="159"/>
      <c r="P315" s="159"/>
      <c r="Q315" s="159"/>
      <c r="R315" s="159">
        <f t="shared" si="24"/>
        <v>0</v>
      </c>
      <c r="S315" s="159"/>
      <c r="T315" s="159"/>
      <c r="U315" s="159"/>
      <c r="V315" s="159"/>
      <c r="W315" s="159"/>
      <c r="X315" s="165">
        <f t="shared" si="21"/>
        <v>0</v>
      </c>
      <c r="Y315" s="239">
        <f t="shared" si="22"/>
        <v>0</v>
      </c>
      <c r="Z315" s="328"/>
      <c r="AA315" s="353"/>
    </row>
    <row r="316" spans="1:27" ht="24.95" hidden="1" customHeight="1" x14ac:dyDescent="0.2">
      <c r="A316" s="82"/>
      <c r="B316" s="30"/>
      <c r="C316" s="28"/>
      <c r="D316" s="159"/>
      <c r="E316" s="159"/>
      <c r="F316" s="159"/>
      <c r="G316" s="159"/>
      <c r="H316" s="159"/>
      <c r="I316" s="159"/>
      <c r="J316" s="159"/>
      <c r="K316" s="159"/>
      <c r="L316" s="159"/>
      <c r="M316" s="159"/>
      <c r="N316" s="159"/>
      <c r="O316" s="159"/>
      <c r="P316" s="159"/>
      <c r="Q316" s="159"/>
      <c r="R316" s="159">
        <f t="shared" si="24"/>
        <v>0</v>
      </c>
      <c r="S316" s="159"/>
      <c r="T316" s="159"/>
      <c r="U316" s="159"/>
      <c r="V316" s="159"/>
      <c r="W316" s="159"/>
      <c r="X316" s="165">
        <f t="shared" si="21"/>
        <v>0</v>
      </c>
      <c r="Y316" s="239">
        <f t="shared" si="22"/>
        <v>0</v>
      </c>
      <c r="Z316" s="328"/>
      <c r="AA316" s="353"/>
    </row>
    <row r="317" spans="1:27" ht="24.95" hidden="1" customHeight="1" x14ac:dyDescent="0.2">
      <c r="A317" s="82"/>
      <c r="B317" s="30"/>
      <c r="C317" s="28"/>
      <c r="D317" s="159"/>
      <c r="E317" s="159"/>
      <c r="F317" s="159"/>
      <c r="G317" s="159"/>
      <c r="H317" s="159"/>
      <c r="I317" s="159"/>
      <c r="J317" s="159"/>
      <c r="K317" s="159"/>
      <c r="L317" s="159"/>
      <c r="M317" s="159"/>
      <c r="N317" s="159"/>
      <c r="O317" s="159"/>
      <c r="P317" s="159"/>
      <c r="Q317" s="159"/>
      <c r="R317" s="159">
        <f t="shared" si="24"/>
        <v>0</v>
      </c>
      <c r="S317" s="159"/>
      <c r="T317" s="159"/>
      <c r="U317" s="159"/>
      <c r="V317" s="159"/>
      <c r="W317" s="159"/>
      <c r="X317" s="165">
        <f t="shared" si="21"/>
        <v>0</v>
      </c>
      <c r="Y317" s="239">
        <f t="shared" si="22"/>
        <v>0</v>
      </c>
      <c r="Z317" s="328"/>
      <c r="AA317" s="353"/>
    </row>
    <row r="318" spans="1:27" ht="24.95" hidden="1" customHeight="1" x14ac:dyDescent="0.2">
      <c r="A318" s="82"/>
      <c r="B318" s="30"/>
      <c r="C318" s="28"/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59">
        <f t="shared" si="24"/>
        <v>0</v>
      </c>
      <c r="S318" s="159"/>
      <c r="T318" s="159"/>
      <c r="U318" s="159"/>
      <c r="V318" s="159"/>
      <c r="W318" s="159"/>
      <c r="X318" s="165">
        <f t="shared" si="21"/>
        <v>0</v>
      </c>
      <c r="Y318" s="239">
        <f t="shared" si="22"/>
        <v>0</v>
      </c>
      <c r="Z318" s="328"/>
      <c r="AA318" s="353"/>
    </row>
    <row r="319" spans="1:27" ht="24.95" hidden="1" customHeight="1" x14ac:dyDescent="0.2">
      <c r="A319" s="82"/>
      <c r="B319" s="30"/>
      <c r="C319" s="28"/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  <c r="Q319" s="159"/>
      <c r="R319" s="159">
        <f t="shared" si="24"/>
        <v>0</v>
      </c>
      <c r="S319" s="159"/>
      <c r="T319" s="159"/>
      <c r="U319" s="159"/>
      <c r="V319" s="159"/>
      <c r="W319" s="159"/>
      <c r="X319" s="165">
        <f t="shared" si="21"/>
        <v>0</v>
      </c>
      <c r="Y319" s="239">
        <f t="shared" si="22"/>
        <v>0</v>
      </c>
      <c r="Z319" s="328"/>
      <c r="AA319" s="353"/>
    </row>
    <row r="320" spans="1:27" ht="24.95" hidden="1" customHeight="1" x14ac:dyDescent="0.2">
      <c r="A320" s="82"/>
      <c r="B320" s="30"/>
      <c r="C320" s="28"/>
      <c r="D320" s="159"/>
      <c r="E320" s="159"/>
      <c r="F320" s="159"/>
      <c r="G320" s="159"/>
      <c r="H320" s="159"/>
      <c r="I320" s="159"/>
      <c r="J320" s="159"/>
      <c r="K320" s="159"/>
      <c r="L320" s="159"/>
      <c r="M320" s="159"/>
      <c r="N320" s="159"/>
      <c r="O320" s="159"/>
      <c r="P320" s="159"/>
      <c r="Q320" s="159"/>
      <c r="R320" s="159">
        <f t="shared" si="24"/>
        <v>0</v>
      </c>
      <c r="S320" s="159"/>
      <c r="T320" s="159"/>
      <c r="U320" s="159"/>
      <c r="V320" s="159"/>
      <c r="W320" s="159"/>
      <c r="X320" s="165">
        <f t="shared" si="21"/>
        <v>0</v>
      </c>
      <c r="Y320" s="239">
        <f t="shared" si="22"/>
        <v>0</v>
      </c>
      <c r="Z320" s="328"/>
      <c r="AA320" s="353"/>
    </row>
    <row r="321" spans="1:27" ht="24.95" hidden="1" customHeight="1" x14ac:dyDescent="0.2">
      <c r="A321" s="82"/>
      <c r="B321" s="30"/>
      <c r="C321" s="28"/>
      <c r="D321" s="159"/>
      <c r="E321" s="159"/>
      <c r="F321" s="159"/>
      <c r="G321" s="159"/>
      <c r="H321" s="159"/>
      <c r="I321" s="159"/>
      <c r="J321" s="159"/>
      <c r="K321" s="159"/>
      <c r="L321" s="159"/>
      <c r="M321" s="159"/>
      <c r="N321" s="159"/>
      <c r="O321" s="159"/>
      <c r="P321" s="159"/>
      <c r="Q321" s="159"/>
      <c r="R321" s="159">
        <f t="shared" si="24"/>
        <v>0</v>
      </c>
      <c r="S321" s="159"/>
      <c r="T321" s="159"/>
      <c r="U321" s="159"/>
      <c r="V321" s="159"/>
      <c r="W321" s="159"/>
      <c r="X321" s="165">
        <f>SUM(T321:W321)</f>
        <v>0</v>
      </c>
      <c r="Y321" s="239">
        <f>R321+X321</f>
        <v>0</v>
      </c>
      <c r="Z321" s="328"/>
      <c r="AA321" s="353"/>
    </row>
    <row r="322" spans="1:27" ht="24.95" hidden="1" customHeight="1" x14ac:dyDescent="0.2">
      <c r="A322" s="82"/>
      <c r="B322" s="230"/>
      <c r="C322" s="28"/>
      <c r="D322" s="159"/>
      <c r="E322" s="159"/>
      <c r="F322" s="159"/>
      <c r="G322" s="159"/>
      <c r="H322" s="159"/>
      <c r="I322" s="159"/>
      <c r="J322" s="159"/>
      <c r="K322" s="159"/>
      <c r="L322" s="159"/>
      <c r="M322" s="159"/>
      <c r="N322" s="159"/>
      <c r="O322" s="159"/>
      <c r="P322" s="159"/>
      <c r="Q322" s="159"/>
      <c r="R322" s="159">
        <f t="shared" si="24"/>
        <v>0</v>
      </c>
      <c r="S322" s="159"/>
      <c r="T322" s="159"/>
      <c r="U322" s="159"/>
      <c r="V322" s="159"/>
      <c r="W322" s="159"/>
      <c r="X322" s="165">
        <f>SUM(T322:W322)</f>
        <v>0</v>
      </c>
      <c r="Y322" s="239">
        <f>R322+X322</f>
        <v>0</v>
      </c>
      <c r="Z322" s="328"/>
      <c r="AA322" s="353"/>
    </row>
    <row r="323" spans="1:27" ht="24.95" hidden="1" customHeight="1" x14ac:dyDescent="0.2">
      <c r="A323" s="82"/>
      <c r="B323" s="230"/>
      <c r="C323" s="28"/>
      <c r="D323" s="159"/>
      <c r="E323" s="159"/>
      <c r="F323" s="159"/>
      <c r="G323" s="159"/>
      <c r="H323" s="159"/>
      <c r="I323" s="159"/>
      <c r="J323" s="159"/>
      <c r="K323" s="159"/>
      <c r="L323" s="159"/>
      <c r="M323" s="159"/>
      <c r="N323" s="159"/>
      <c r="O323" s="159"/>
      <c r="P323" s="159"/>
      <c r="Q323" s="159"/>
      <c r="R323" s="159">
        <f t="shared" si="24"/>
        <v>0</v>
      </c>
      <c r="S323" s="159"/>
      <c r="T323" s="159"/>
      <c r="U323" s="159"/>
      <c r="V323" s="159"/>
      <c r="W323" s="159"/>
      <c r="X323" s="165">
        <f t="shared" ref="X323:X330" si="31">SUM(T323:W323)</f>
        <v>0</v>
      </c>
      <c r="Y323" s="239">
        <f t="shared" ref="Y323:Y330" si="32">R323+X323</f>
        <v>0</v>
      </c>
      <c r="Z323" s="328"/>
      <c r="AA323" s="353"/>
    </row>
    <row r="324" spans="1:27" ht="24.95" hidden="1" customHeight="1" x14ac:dyDescent="0.2">
      <c r="A324" s="82"/>
      <c r="B324" s="230"/>
      <c r="C324" s="28"/>
      <c r="D324" s="159"/>
      <c r="E324" s="159"/>
      <c r="F324" s="159"/>
      <c r="G324" s="159"/>
      <c r="H324" s="159"/>
      <c r="I324" s="159"/>
      <c r="J324" s="159"/>
      <c r="K324" s="159"/>
      <c r="L324" s="159"/>
      <c r="M324" s="159"/>
      <c r="N324" s="159"/>
      <c r="O324" s="159"/>
      <c r="P324" s="159"/>
      <c r="Q324" s="159"/>
      <c r="R324" s="159">
        <f t="shared" si="24"/>
        <v>0</v>
      </c>
      <c r="S324" s="159"/>
      <c r="T324" s="159"/>
      <c r="U324" s="159"/>
      <c r="V324" s="159"/>
      <c r="W324" s="159"/>
      <c r="X324" s="165">
        <f t="shared" si="31"/>
        <v>0</v>
      </c>
      <c r="Y324" s="239">
        <f t="shared" si="32"/>
        <v>0</v>
      </c>
      <c r="Z324" s="328"/>
      <c r="AA324" s="353"/>
    </row>
    <row r="325" spans="1:27" ht="24.95" hidden="1" customHeight="1" x14ac:dyDescent="0.2">
      <c r="A325" s="82"/>
      <c r="B325" s="230"/>
      <c r="C325" s="28"/>
      <c r="D325" s="159"/>
      <c r="E325" s="159"/>
      <c r="F325" s="159"/>
      <c r="G325" s="159"/>
      <c r="H325" s="159"/>
      <c r="I325" s="159"/>
      <c r="J325" s="159"/>
      <c r="K325" s="159"/>
      <c r="L325" s="159"/>
      <c r="M325" s="159"/>
      <c r="N325" s="159"/>
      <c r="O325" s="159"/>
      <c r="P325" s="159"/>
      <c r="Q325" s="159"/>
      <c r="R325" s="159">
        <f t="shared" si="24"/>
        <v>0</v>
      </c>
      <c r="S325" s="159"/>
      <c r="T325" s="159"/>
      <c r="U325" s="159"/>
      <c r="V325" s="159"/>
      <c r="W325" s="159"/>
      <c r="X325" s="165">
        <f t="shared" si="31"/>
        <v>0</v>
      </c>
      <c r="Y325" s="239">
        <f t="shared" si="32"/>
        <v>0</v>
      </c>
      <c r="Z325" s="328"/>
      <c r="AA325" s="353"/>
    </row>
    <row r="326" spans="1:27" ht="24.95" hidden="1" customHeight="1" x14ac:dyDescent="0.2">
      <c r="A326" s="82"/>
      <c r="B326" s="230"/>
      <c r="C326" s="28"/>
      <c r="D326" s="159"/>
      <c r="E326" s="159"/>
      <c r="F326" s="159"/>
      <c r="G326" s="159"/>
      <c r="H326" s="159"/>
      <c r="I326" s="159"/>
      <c r="J326" s="159"/>
      <c r="K326" s="159"/>
      <c r="L326" s="159"/>
      <c r="M326" s="159"/>
      <c r="N326" s="159"/>
      <c r="O326" s="159"/>
      <c r="P326" s="159"/>
      <c r="Q326" s="159"/>
      <c r="R326" s="159">
        <f t="shared" si="24"/>
        <v>0</v>
      </c>
      <c r="S326" s="159"/>
      <c r="T326" s="159"/>
      <c r="U326" s="159"/>
      <c r="V326" s="159"/>
      <c r="W326" s="159"/>
      <c r="X326" s="165">
        <f t="shared" si="31"/>
        <v>0</v>
      </c>
      <c r="Y326" s="239">
        <f t="shared" si="32"/>
        <v>0</v>
      </c>
      <c r="Z326" s="328"/>
      <c r="AA326" s="353"/>
    </row>
    <row r="327" spans="1:27" ht="24.95" hidden="1" customHeight="1" x14ac:dyDescent="0.2">
      <c r="A327" s="82"/>
      <c r="B327" s="230"/>
      <c r="C327" s="28"/>
      <c r="D327" s="159"/>
      <c r="E327" s="159"/>
      <c r="F327" s="159"/>
      <c r="G327" s="159"/>
      <c r="H327" s="159"/>
      <c r="I327" s="159"/>
      <c r="J327" s="159"/>
      <c r="K327" s="159"/>
      <c r="L327" s="159"/>
      <c r="M327" s="159"/>
      <c r="N327" s="159"/>
      <c r="O327" s="159"/>
      <c r="P327" s="159"/>
      <c r="Q327" s="159"/>
      <c r="R327" s="159">
        <f t="shared" si="24"/>
        <v>0</v>
      </c>
      <c r="S327" s="159"/>
      <c r="T327" s="159"/>
      <c r="U327" s="159"/>
      <c r="V327" s="159"/>
      <c r="W327" s="159"/>
      <c r="X327" s="165">
        <f t="shared" si="31"/>
        <v>0</v>
      </c>
      <c r="Y327" s="239">
        <f t="shared" si="32"/>
        <v>0</v>
      </c>
      <c r="Z327" s="328"/>
      <c r="AA327" s="353"/>
    </row>
    <row r="328" spans="1:27" ht="24.95" hidden="1" customHeight="1" x14ac:dyDescent="0.2">
      <c r="A328" s="82"/>
      <c r="B328" s="230"/>
      <c r="C328" s="28"/>
      <c r="D328" s="159"/>
      <c r="E328" s="159"/>
      <c r="F328" s="159"/>
      <c r="G328" s="159"/>
      <c r="H328" s="159"/>
      <c r="I328" s="159"/>
      <c r="J328" s="159"/>
      <c r="K328" s="159"/>
      <c r="L328" s="159"/>
      <c r="M328" s="159"/>
      <c r="N328" s="159"/>
      <c r="O328" s="159"/>
      <c r="P328" s="159"/>
      <c r="Q328" s="159"/>
      <c r="R328" s="159">
        <f t="shared" si="24"/>
        <v>0</v>
      </c>
      <c r="S328" s="159"/>
      <c r="T328" s="159"/>
      <c r="U328" s="159"/>
      <c r="V328" s="159"/>
      <c r="W328" s="159"/>
      <c r="X328" s="165">
        <f t="shared" si="31"/>
        <v>0</v>
      </c>
      <c r="Y328" s="239">
        <f t="shared" si="32"/>
        <v>0</v>
      </c>
      <c r="Z328" s="328"/>
      <c r="AA328" s="353"/>
    </row>
    <row r="329" spans="1:27" ht="24.95" hidden="1" customHeight="1" x14ac:dyDescent="0.2">
      <c r="A329" s="82"/>
      <c r="B329" s="230"/>
      <c r="C329" s="28"/>
      <c r="D329" s="159"/>
      <c r="E329" s="159"/>
      <c r="F329" s="159"/>
      <c r="G329" s="159"/>
      <c r="H329" s="159"/>
      <c r="I329" s="159"/>
      <c r="J329" s="159"/>
      <c r="K329" s="159"/>
      <c r="L329" s="159"/>
      <c r="M329" s="159"/>
      <c r="N329" s="159"/>
      <c r="O329" s="159"/>
      <c r="P329" s="159"/>
      <c r="Q329" s="159"/>
      <c r="R329" s="159">
        <f t="shared" si="24"/>
        <v>0</v>
      </c>
      <c r="S329" s="159"/>
      <c r="T329" s="159"/>
      <c r="U329" s="159"/>
      <c r="V329" s="159"/>
      <c r="W329" s="159"/>
      <c r="X329" s="165">
        <f t="shared" si="31"/>
        <v>0</v>
      </c>
      <c r="Y329" s="239">
        <f t="shared" si="32"/>
        <v>0</v>
      </c>
      <c r="Z329" s="328"/>
      <c r="AA329" s="353"/>
    </row>
    <row r="330" spans="1:27" ht="24.95" hidden="1" customHeight="1" x14ac:dyDescent="0.2">
      <c r="A330" s="82"/>
      <c r="B330" s="230"/>
      <c r="C330" s="28"/>
      <c r="D330" s="159"/>
      <c r="E330" s="159"/>
      <c r="F330" s="159"/>
      <c r="G330" s="159"/>
      <c r="H330" s="159"/>
      <c r="I330" s="159"/>
      <c r="J330" s="159"/>
      <c r="K330" s="159"/>
      <c r="L330" s="159"/>
      <c r="M330" s="159"/>
      <c r="N330" s="159"/>
      <c r="O330" s="159"/>
      <c r="P330" s="159"/>
      <c r="Q330" s="159"/>
      <c r="R330" s="159">
        <f t="shared" si="24"/>
        <v>0</v>
      </c>
      <c r="S330" s="159"/>
      <c r="T330" s="159"/>
      <c r="U330" s="159"/>
      <c r="V330" s="159"/>
      <c r="W330" s="159"/>
      <c r="X330" s="165">
        <f t="shared" si="31"/>
        <v>0</v>
      </c>
      <c r="Y330" s="239">
        <f t="shared" si="32"/>
        <v>0</v>
      </c>
      <c r="Z330" s="328"/>
      <c r="AA330" s="353"/>
    </row>
    <row r="331" spans="1:27" ht="24.95" hidden="1" customHeight="1" x14ac:dyDescent="0.2">
      <c r="A331" s="82"/>
      <c r="B331" s="30"/>
      <c r="C331" s="28"/>
      <c r="D331" s="159"/>
      <c r="E331" s="159"/>
      <c r="F331" s="159"/>
      <c r="G331" s="159"/>
      <c r="H331" s="159"/>
      <c r="I331" s="159"/>
      <c r="J331" s="159"/>
      <c r="K331" s="159"/>
      <c r="L331" s="159"/>
      <c r="M331" s="159"/>
      <c r="N331" s="159"/>
      <c r="O331" s="159"/>
      <c r="P331" s="159"/>
      <c r="Q331" s="159"/>
      <c r="R331" s="159">
        <f t="shared" si="24"/>
        <v>0</v>
      </c>
      <c r="S331" s="159"/>
      <c r="T331" s="159"/>
      <c r="U331" s="159"/>
      <c r="V331" s="159"/>
      <c r="W331" s="159"/>
      <c r="X331" s="165">
        <f t="shared" ref="X331:X340" si="33">SUM(T331:W331)</f>
        <v>0</v>
      </c>
      <c r="Y331" s="239">
        <f t="shared" ref="Y331:Y340" si="34">R331+X331</f>
        <v>0</v>
      </c>
      <c r="Z331" s="328"/>
      <c r="AA331" s="353"/>
    </row>
    <row r="332" spans="1:27" ht="24.95" hidden="1" customHeight="1" x14ac:dyDescent="0.2">
      <c r="A332" s="82"/>
      <c r="B332" s="30"/>
      <c r="C332" s="28"/>
      <c r="D332" s="159"/>
      <c r="E332" s="159"/>
      <c r="F332" s="159"/>
      <c r="G332" s="159"/>
      <c r="H332" s="159"/>
      <c r="I332" s="159"/>
      <c r="J332" s="159"/>
      <c r="K332" s="159"/>
      <c r="L332" s="159"/>
      <c r="M332" s="159"/>
      <c r="N332" s="159"/>
      <c r="O332" s="159"/>
      <c r="P332" s="159"/>
      <c r="Q332" s="159"/>
      <c r="R332" s="159">
        <f t="shared" si="24"/>
        <v>0</v>
      </c>
      <c r="S332" s="159"/>
      <c r="T332" s="159"/>
      <c r="U332" s="159"/>
      <c r="V332" s="159"/>
      <c r="W332" s="159"/>
      <c r="X332" s="165">
        <f t="shared" si="33"/>
        <v>0</v>
      </c>
      <c r="Y332" s="239">
        <f t="shared" si="34"/>
        <v>0</v>
      </c>
      <c r="Z332" s="328"/>
      <c r="AA332" s="353"/>
    </row>
    <row r="333" spans="1:27" ht="24.95" hidden="1" customHeight="1" x14ac:dyDescent="0.2">
      <c r="A333" s="82"/>
      <c r="B333" s="30"/>
      <c r="C333" s="28"/>
      <c r="D333" s="159"/>
      <c r="E333" s="159"/>
      <c r="F333" s="159"/>
      <c r="G333" s="159"/>
      <c r="H333" s="159"/>
      <c r="I333" s="159"/>
      <c r="J333" s="159"/>
      <c r="K333" s="159"/>
      <c r="L333" s="159"/>
      <c r="M333" s="159"/>
      <c r="N333" s="159"/>
      <c r="O333" s="159"/>
      <c r="P333" s="159"/>
      <c r="Q333" s="159"/>
      <c r="R333" s="159">
        <f t="shared" si="24"/>
        <v>0</v>
      </c>
      <c r="S333" s="159"/>
      <c r="T333" s="159"/>
      <c r="U333" s="159"/>
      <c r="V333" s="159"/>
      <c r="W333" s="159"/>
      <c r="X333" s="165">
        <f t="shared" si="33"/>
        <v>0</v>
      </c>
      <c r="Y333" s="239">
        <f t="shared" si="34"/>
        <v>0</v>
      </c>
      <c r="Z333" s="328"/>
      <c r="AA333" s="353"/>
    </row>
    <row r="334" spans="1:27" ht="24.95" hidden="1" customHeight="1" x14ac:dyDescent="0.2">
      <c r="A334" s="82"/>
      <c r="B334" s="30"/>
      <c r="C334" s="28"/>
      <c r="D334" s="159"/>
      <c r="E334" s="159"/>
      <c r="F334" s="159"/>
      <c r="G334" s="159"/>
      <c r="H334" s="159"/>
      <c r="I334" s="159"/>
      <c r="J334" s="159"/>
      <c r="K334" s="159"/>
      <c r="L334" s="159"/>
      <c r="M334" s="159"/>
      <c r="N334" s="159"/>
      <c r="O334" s="159"/>
      <c r="P334" s="159"/>
      <c r="Q334" s="159"/>
      <c r="R334" s="159">
        <f>SUM(D334:Q334)</f>
        <v>0</v>
      </c>
      <c r="S334" s="159"/>
      <c r="T334" s="159"/>
      <c r="U334" s="159"/>
      <c r="V334" s="159"/>
      <c r="W334" s="159"/>
      <c r="X334" s="165">
        <f t="shared" si="33"/>
        <v>0</v>
      </c>
      <c r="Y334" s="239">
        <f t="shared" si="34"/>
        <v>0</v>
      </c>
      <c r="Z334" s="328"/>
      <c r="AA334" s="353"/>
    </row>
    <row r="335" spans="1:27" ht="24.95" hidden="1" customHeight="1" x14ac:dyDescent="0.2">
      <c r="A335" s="82"/>
      <c r="B335" s="30"/>
      <c r="C335" s="28"/>
      <c r="D335" s="159"/>
      <c r="E335" s="159"/>
      <c r="F335" s="159"/>
      <c r="G335" s="159"/>
      <c r="H335" s="159"/>
      <c r="I335" s="159"/>
      <c r="J335" s="159"/>
      <c r="K335" s="159"/>
      <c r="L335" s="159"/>
      <c r="M335" s="159"/>
      <c r="N335" s="159"/>
      <c r="O335" s="159"/>
      <c r="P335" s="159"/>
      <c r="Q335" s="159"/>
      <c r="R335" s="159">
        <f>SUM(D335:Q335)</f>
        <v>0</v>
      </c>
      <c r="S335" s="159"/>
      <c r="T335" s="159"/>
      <c r="U335" s="159"/>
      <c r="V335" s="159"/>
      <c r="W335" s="159"/>
      <c r="X335" s="165">
        <f t="shared" si="33"/>
        <v>0</v>
      </c>
      <c r="Y335" s="239">
        <f t="shared" si="34"/>
        <v>0</v>
      </c>
      <c r="Z335" s="328"/>
      <c r="AA335" s="353"/>
    </row>
    <row r="336" spans="1:27" ht="24.95" hidden="1" customHeight="1" x14ac:dyDescent="0.2">
      <c r="A336" s="82"/>
      <c r="B336" s="30"/>
      <c r="C336" s="28"/>
      <c r="D336" s="159"/>
      <c r="E336" s="159"/>
      <c r="F336" s="159"/>
      <c r="G336" s="159"/>
      <c r="H336" s="159"/>
      <c r="I336" s="159"/>
      <c r="J336" s="159"/>
      <c r="K336" s="159"/>
      <c r="L336" s="159"/>
      <c r="M336" s="159"/>
      <c r="N336" s="159"/>
      <c r="O336" s="159"/>
      <c r="P336" s="159"/>
      <c r="Q336" s="159"/>
      <c r="R336" s="159">
        <f>SUM(D336:Q336)</f>
        <v>0</v>
      </c>
      <c r="S336" s="159"/>
      <c r="T336" s="159"/>
      <c r="U336" s="159"/>
      <c r="V336" s="159"/>
      <c r="W336" s="159"/>
      <c r="X336" s="165">
        <f t="shared" si="33"/>
        <v>0</v>
      </c>
      <c r="Y336" s="239">
        <f>R336+X336</f>
        <v>0</v>
      </c>
      <c r="Z336" s="328"/>
      <c r="AA336" s="353"/>
    </row>
    <row r="337" spans="1:27" ht="24.95" hidden="1" customHeight="1" x14ac:dyDescent="0.2">
      <c r="A337" s="82"/>
      <c r="B337" s="30"/>
      <c r="C337" s="28"/>
      <c r="D337" s="159"/>
      <c r="E337" s="159"/>
      <c r="F337" s="159"/>
      <c r="G337" s="159"/>
      <c r="H337" s="159"/>
      <c r="I337" s="159"/>
      <c r="J337" s="159"/>
      <c r="K337" s="159"/>
      <c r="L337" s="159"/>
      <c r="M337" s="159"/>
      <c r="N337" s="159"/>
      <c r="O337" s="159"/>
      <c r="P337" s="159"/>
      <c r="Q337" s="159"/>
      <c r="R337" s="159">
        <f>SUM(D337:Q337)</f>
        <v>0</v>
      </c>
      <c r="S337" s="159"/>
      <c r="T337" s="159"/>
      <c r="U337" s="159"/>
      <c r="V337" s="159"/>
      <c r="W337" s="159"/>
      <c r="X337" s="165">
        <f t="shared" si="33"/>
        <v>0</v>
      </c>
      <c r="Y337" s="239">
        <f t="shared" si="34"/>
        <v>0</v>
      </c>
      <c r="Z337" s="328"/>
      <c r="AA337" s="353"/>
    </row>
    <row r="338" spans="1:27" ht="24.95" hidden="1" customHeight="1" x14ac:dyDescent="0.2">
      <c r="A338" s="82"/>
      <c r="B338" s="30"/>
      <c r="C338" s="28"/>
      <c r="D338" s="159"/>
      <c r="E338" s="159"/>
      <c r="F338" s="159"/>
      <c r="G338" s="159"/>
      <c r="H338" s="159"/>
      <c r="I338" s="159"/>
      <c r="J338" s="159"/>
      <c r="K338" s="159"/>
      <c r="L338" s="159"/>
      <c r="M338" s="159"/>
      <c r="N338" s="159"/>
      <c r="O338" s="159"/>
      <c r="P338" s="159"/>
      <c r="Q338" s="159"/>
      <c r="R338" s="159">
        <f t="shared" si="24"/>
        <v>0</v>
      </c>
      <c r="S338" s="159"/>
      <c r="T338" s="159"/>
      <c r="U338" s="159"/>
      <c r="V338" s="159"/>
      <c r="W338" s="159"/>
      <c r="X338" s="165">
        <f t="shared" si="33"/>
        <v>0</v>
      </c>
      <c r="Y338" s="239">
        <f t="shared" si="34"/>
        <v>0</v>
      </c>
      <c r="Z338" s="328"/>
      <c r="AA338" s="353"/>
    </row>
    <row r="339" spans="1:27" ht="24.95" hidden="1" customHeight="1" x14ac:dyDescent="0.2">
      <c r="A339" s="82"/>
      <c r="B339" s="30"/>
      <c r="C339" s="28"/>
      <c r="D339" s="159"/>
      <c r="E339" s="159"/>
      <c r="F339" s="159"/>
      <c r="G339" s="159"/>
      <c r="H339" s="159"/>
      <c r="I339" s="159"/>
      <c r="J339" s="159"/>
      <c r="K339" s="159"/>
      <c r="L339" s="159"/>
      <c r="M339" s="159"/>
      <c r="N339" s="159"/>
      <c r="O339" s="159"/>
      <c r="P339" s="159"/>
      <c r="Q339" s="159"/>
      <c r="R339" s="159">
        <f t="shared" si="24"/>
        <v>0</v>
      </c>
      <c r="S339" s="159"/>
      <c r="T339" s="159"/>
      <c r="U339" s="159"/>
      <c r="V339" s="159"/>
      <c r="W339" s="159"/>
      <c r="X339" s="165">
        <f t="shared" si="33"/>
        <v>0</v>
      </c>
      <c r="Y339" s="239">
        <f t="shared" si="34"/>
        <v>0</v>
      </c>
      <c r="Z339" s="328"/>
      <c r="AA339" s="353"/>
    </row>
    <row r="340" spans="1:27" ht="24.95" hidden="1" customHeight="1" x14ac:dyDescent="0.2">
      <c r="A340" s="82"/>
      <c r="B340" s="30"/>
      <c r="C340" s="28"/>
      <c r="D340" s="159"/>
      <c r="E340" s="159"/>
      <c r="F340" s="159"/>
      <c r="G340" s="159"/>
      <c r="H340" s="159"/>
      <c r="I340" s="159"/>
      <c r="J340" s="159"/>
      <c r="K340" s="159"/>
      <c r="L340" s="159"/>
      <c r="M340" s="159"/>
      <c r="N340" s="159"/>
      <c r="O340" s="159"/>
      <c r="P340" s="159"/>
      <c r="Q340" s="159"/>
      <c r="R340" s="159">
        <f t="shared" si="24"/>
        <v>0</v>
      </c>
      <c r="S340" s="159"/>
      <c r="T340" s="159"/>
      <c r="U340" s="159"/>
      <c r="V340" s="159"/>
      <c r="W340" s="159"/>
      <c r="X340" s="165">
        <f t="shared" si="33"/>
        <v>0</v>
      </c>
      <c r="Y340" s="239">
        <f t="shared" si="34"/>
        <v>0</v>
      </c>
      <c r="Z340" s="328"/>
      <c r="AA340" s="353"/>
    </row>
    <row r="341" spans="1:27" ht="24.95" hidden="1" customHeight="1" x14ac:dyDescent="0.2">
      <c r="A341" s="82"/>
      <c r="B341" s="510"/>
      <c r="C341" s="41"/>
      <c r="D341" s="159"/>
      <c r="E341" s="159"/>
      <c r="F341" s="159"/>
      <c r="G341" s="159"/>
      <c r="H341" s="159"/>
      <c r="I341" s="159"/>
      <c r="J341" s="159"/>
      <c r="K341" s="159"/>
      <c r="L341" s="159"/>
      <c r="M341" s="159"/>
      <c r="N341" s="159"/>
      <c r="O341" s="159"/>
      <c r="P341" s="159"/>
      <c r="Q341" s="159"/>
      <c r="R341" s="159"/>
      <c r="S341" s="159"/>
      <c r="T341" s="159"/>
      <c r="U341" s="159"/>
      <c r="V341" s="159"/>
      <c r="W341" s="159"/>
      <c r="X341" s="165"/>
      <c r="Y341" s="239"/>
      <c r="Z341" s="328"/>
      <c r="AA341" s="353"/>
    </row>
    <row r="342" spans="1:27" ht="17.25" hidden="1" customHeight="1" thickBot="1" x14ac:dyDescent="0.25">
      <c r="A342" s="82"/>
      <c r="B342" s="89"/>
      <c r="C342" s="41"/>
      <c r="D342" s="159"/>
      <c r="E342" s="159"/>
      <c r="F342" s="159"/>
      <c r="G342" s="159"/>
      <c r="H342" s="159"/>
      <c r="I342" s="159"/>
      <c r="J342" s="159"/>
      <c r="K342" s="159"/>
      <c r="L342" s="159"/>
      <c r="M342" s="159"/>
      <c r="N342" s="159"/>
      <c r="O342" s="159"/>
      <c r="P342" s="159"/>
      <c r="Q342" s="159"/>
      <c r="R342" s="159">
        <f t="shared" si="24"/>
        <v>0</v>
      </c>
      <c r="S342" s="72"/>
      <c r="T342" s="72"/>
      <c r="U342" s="72"/>
      <c r="V342" s="72"/>
      <c r="W342" s="72"/>
      <c r="X342" s="165"/>
      <c r="Y342" s="239"/>
      <c r="Z342" s="328"/>
      <c r="AA342" s="345"/>
    </row>
    <row r="343" spans="1:27" ht="24.95" hidden="1" customHeight="1" thickTop="1" thickBot="1" x14ac:dyDescent="0.25">
      <c r="A343" s="261"/>
      <c r="B343" s="42" t="s">
        <v>188</v>
      </c>
      <c r="C343" s="44" t="s">
        <v>19</v>
      </c>
      <c r="D343" s="86">
        <f t="shared" ref="D343:Q343" si="35">SUM(D234:D342)</f>
        <v>-24413.78</v>
      </c>
      <c r="E343" s="86">
        <f t="shared" si="35"/>
        <v>-6861.72</v>
      </c>
      <c r="F343" s="86">
        <f t="shared" si="35"/>
        <v>71126.343999999997</v>
      </c>
      <c r="G343" s="86">
        <f t="shared" si="35"/>
        <v>4.4550000000000001</v>
      </c>
      <c r="H343" s="86">
        <f t="shared" si="35"/>
        <v>0</v>
      </c>
      <c r="I343" s="86">
        <f t="shared" si="35"/>
        <v>2220</v>
      </c>
      <c r="J343" s="86">
        <f t="shared" si="35"/>
        <v>-8207</v>
      </c>
      <c r="K343" s="86">
        <f t="shared" si="35"/>
        <v>-168973.17500000002</v>
      </c>
      <c r="L343" s="86">
        <f t="shared" si="35"/>
        <v>20985.241000000002</v>
      </c>
      <c r="M343" s="86">
        <f t="shared" si="35"/>
        <v>1524</v>
      </c>
      <c r="N343" s="86">
        <f t="shared" si="35"/>
        <v>0</v>
      </c>
      <c r="O343" s="86">
        <f t="shared" si="35"/>
        <v>0</v>
      </c>
      <c r="P343" s="86">
        <f t="shared" si="35"/>
        <v>0</v>
      </c>
      <c r="Q343" s="86">
        <f t="shared" si="35"/>
        <v>58227</v>
      </c>
      <c r="R343" s="86">
        <f t="shared" si="24"/>
        <v>-54368.635000000009</v>
      </c>
      <c r="S343" s="86"/>
      <c r="T343" s="86">
        <f>SUM(T234:T342)</f>
        <v>0</v>
      </c>
      <c r="U343" s="86">
        <f>SUM(U234:U342)</f>
        <v>2100000</v>
      </c>
      <c r="V343" s="86">
        <f>SUM(V234:V342)</f>
        <v>0</v>
      </c>
      <c r="W343" s="86">
        <f>SUM(W234:W342)</f>
        <v>0</v>
      </c>
      <c r="X343" s="87">
        <f t="shared" si="21"/>
        <v>2100000</v>
      </c>
      <c r="Y343" s="87">
        <f t="shared" si="22"/>
        <v>2045631.365</v>
      </c>
      <c r="Z343" s="270">
        <f>SUM(Z234:Z342)</f>
        <v>104800.629</v>
      </c>
      <c r="AA343" s="346"/>
    </row>
    <row r="344" spans="1:27" ht="24.95" hidden="1" customHeight="1" thickTop="1" x14ac:dyDescent="0.2">
      <c r="A344" s="213"/>
      <c r="B344" s="224"/>
      <c r="C344" s="225"/>
      <c r="D344" s="262"/>
      <c r="E344" s="262"/>
      <c r="F344" s="262"/>
      <c r="G344" s="262"/>
      <c r="H344" s="262"/>
      <c r="I344" s="262"/>
      <c r="J344" s="262"/>
      <c r="K344" s="262"/>
      <c r="L344" s="262"/>
      <c r="M344" s="262"/>
      <c r="N344" s="262"/>
      <c r="O344" s="262"/>
      <c r="P344" s="262"/>
      <c r="Q344" s="262"/>
      <c r="R344" s="262">
        <f t="shared" ref="R344:R360" si="36">SUM(D344:Q344)</f>
        <v>0</v>
      </c>
      <c r="S344" s="262"/>
      <c r="T344" s="262"/>
      <c r="U344" s="262"/>
      <c r="V344" s="262"/>
      <c r="W344" s="262"/>
      <c r="X344" s="263">
        <f t="shared" ref="X344:X353" si="37">SUM(T344:W344)</f>
        <v>0</v>
      </c>
      <c r="Y344" s="371"/>
      <c r="Z344" s="334"/>
      <c r="AA344" s="346"/>
    </row>
    <row r="345" spans="1:27" ht="16.5" hidden="1" customHeight="1" x14ac:dyDescent="0.2">
      <c r="A345" s="213"/>
      <c r="B345" s="74"/>
      <c r="C345" s="41" t="s">
        <v>189</v>
      </c>
      <c r="D345" s="170"/>
      <c r="E345" s="170"/>
      <c r="F345" s="159"/>
      <c r="G345" s="170"/>
      <c r="H345" s="170"/>
      <c r="I345" s="170"/>
      <c r="J345" s="170"/>
      <c r="K345" s="159"/>
      <c r="L345" s="159"/>
      <c r="M345" s="170"/>
      <c r="N345" s="170"/>
      <c r="O345" s="170"/>
      <c r="P345" s="170"/>
      <c r="Q345" s="170"/>
      <c r="R345" s="170">
        <f t="shared" si="36"/>
        <v>0</v>
      </c>
      <c r="S345" s="170"/>
      <c r="T345" s="170"/>
      <c r="U345" s="170"/>
      <c r="V345" s="170"/>
      <c r="W345" s="170"/>
      <c r="X345" s="171">
        <f t="shared" si="37"/>
        <v>0</v>
      </c>
      <c r="Y345" s="239">
        <f t="shared" ref="Y345:Y353" si="38">R345+X345</f>
        <v>0</v>
      </c>
      <c r="Z345" s="386"/>
      <c r="AA345" s="353"/>
    </row>
    <row r="346" spans="1:27" ht="16.5" hidden="1" customHeight="1" x14ac:dyDescent="0.2">
      <c r="A346" s="213"/>
      <c r="B346" s="553"/>
      <c r="C346" s="41" t="s">
        <v>186</v>
      </c>
      <c r="D346" s="170"/>
      <c r="E346" s="170"/>
      <c r="G346" s="170"/>
      <c r="H346" s="170"/>
      <c r="I346" s="170"/>
      <c r="J346" s="170"/>
      <c r="K346" s="159"/>
      <c r="L346" s="170"/>
      <c r="M346" s="170"/>
      <c r="N346" s="170"/>
      <c r="O346" s="170"/>
      <c r="P346" s="170"/>
      <c r="Q346" s="170"/>
      <c r="R346" s="170">
        <f t="shared" si="36"/>
        <v>0</v>
      </c>
      <c r="S346" s="170"/>
      <c r="T346" s="170"/>
      <c r="U346" s="170"/>
      <c r="V346" s="170"/>
      <c r="W346" s="170"/>
      <c r="X346" s="171"/>
      <c r="Y346" s="239">
        <f t="shared" si="38"/>
        <v>0</v>
      </c>
      <c r="Z346" s="386"/>
      <c r="AA346" s="353"/>
    </row>
    <row r="347" spans="1:27" ht="16.5" hidden="1" customHeight="1" x14ac:dyDescent="0.2">
      <c r="A347" s="213"/>
      <c r="B347" s="553"/>
      <c r="C347" s="41" t="s">
        <v>190</v>
      </c>
      <c r="D347" s="170"/>
      <c r="E347" s="170"/>
      <c r="F347" s="159"/>
      <c r="G347" s="170"/>
      <c r="H347" s="170"/>
      <c r="I347" s="170"/>
      <c r="J347" s="170"/>
      <c r="K347" s="159"/>
      <c r="L347" s="170"/>
      <c r="M347" s="170"/>
      <c r="N347" s="170"/>
      <c r="O347" s="170"/>
      <c r="P347" s="170"/>
      <c r="Q347" s="170"/>
      <c r="R347" s="170">
        <f t="shared" si="36"/>
        <v>0</v>
      </c>
      <c r="S347" s="170"/>
      <c r="T347" s="170"/>
      <c r="U347" s="170"/>
      <c r="V347" s="170"/>
      <c r="W347" s="170"/>
      <c r="X347" s="171"/>
      <c r="Y347" s="239">
        <f t="shared" si="38"/>
        <v>0</v>
      </c>
      <c r="Z347" s="386"/>
      <c r="AA347" s="353"/>
    </row>
    <row r="348" spans="1:27" ht="16.5" hidden="1" customHeight="1" x14ac:dyDescent="0.2">
      <c r="A348" s="213"/>
      <c r="B348" s="553"/>
      <c r="C348" s="41"/>
      <c r="D348" s="170"/>
      <c r="E348" s="170"/>
      <c r="F348" s="355"/>
      <c r="G348" s="170"/>
      <c r="H348" s="170"/>
      <c r="I348" s="170"/>
      <c r="J348" s="170"/>
      <c r="K348" s="159"/>
      <c r="L348" s="170"/>
      <c r="M348" s="170"/>
      <c r="N348" s="170"/>
      <c r="O348" s="170"/>
      <c r="P348" s="170"/>
      <c r="Q348" s="170"/>
      <c r="R348" s="170"/>
      <c r="S348" s="170"/>
      <c r="T348" s="170"/>
      <c r="U348" s="170"/>
      <c r="V348" s="170"/>
      <c r="W348" s="170"/>
      <c r="X348" s="171"/>
      <c r="Y348" s="239"/>
      <c r="Z348" s="386"/>
      <c r="AA348" s="353"/>
    </row>
    <row r="349" spans="1:27" ht="16.5" hidden="1" customHeight="1" x14ac:dyDescent="0.2">
      <c r="A349" s="213"/>
      <c r="B349" s="74" t="s">
        <v>21</v>
      </c>
      <c r="C349" s="39" t="s">
        <v>22</v>
      </c>
      <c r="D349" s="170"/>
      <c r="E349" s="170"/>
      <c r="G349" s="170"/>
      <c r="H349" s="170"/>
      <c r="I349" s="170"/>
      <c r="J349" s="170"/>
      <c r="K349" s="170"/>
      <c r="L349" s="170"/>
      <c r="M349" s="170"/>
      <c r="N349" s="170"/>
      <c r="O349" s="170"/>
      <c r="P349" s="170"/>
      <c r="Q349" s="170"/>
      <c r="R349" s="170">
        <f t="shared" si="36"/>
        <v>0</v>
      </c>
      <c r="S349" s="170"/>
      <c r="T349" s="170"/>
      <c r="U349" s="170"/>
      <c r="V349" s="170"/>
      <c r="W349" s="170"/>
      <c r="X349" s="171"/>
      <c r="Y349" s="239">
        <f t="shared" si="38"/>
        <v>0</v>
      </c>
      <c r="Z349" s="386"/>
      <c r="AA349" s="353"/>
    </row>
    <row r="350" spans="1:27" ht="16.5" hidden="1" customHeight="1" x14ac:dyDescent="0.25">
      <c r="A350" s="213"/>
      <c r="B350" s="91" t="s">
        <v>23</v>
      </c>
      <c r="C350" s="39" t="s">
        <v>22</v>
      </c>
      <c r="D350" s="170"/>
      <c r="E350" s="170"/>
      <c r="F350" s="170"/>
      <c r="G350" s="170"/>
      <c r="H350" s="170"/>
      <c r="I350" s="170"/>
      <c r="J350" s="170"/>
      <c r="K350" s="170"/>
      <c r="L350" s="170"/>
      <c r="M350" s="170"/>
      <c r="N350" s="170"/>
      <c r="O350" s="170"/>
      <c r="P350" s="170"/>
      <c r="Q350" s="170"/>
      <c r="R350" s="170">
        <f t="shared" si="36"/>
        <v>0</v>
      </c>
      <c r="S350" s="170"/>
      <c r="T350" s="170"/>
      <c r="U350" s="170"/>
      <c r="V350" s="170"/>
      <c r="W350" s="170"/>
      <c r="X350" s="171">
        <f t="shared" si="37"/>
        <v>0</v>
      </c>
      <c r="Y350" s="239">
        <f t="shared" si="38"/>
        <v>0</v>
      </c>
      <c r="Z350" s="386"/>
      <c r="AA350" s="353"/>
    </row>
    <row r="351" spans="1:27" ht="16.5" hidden="1" customHeight="1" x14ac:dyDescent="0.25">
      <c r="A351" s="26"/>
      <c r="B351" s="91" t="s">
        <v>80</v>
      </c>
      <c r="C351" s="39" t="s">
        <v>22</v>
      </c>
      <c r="D351" s="170"/>
      <c r="E351" s="170"/>
      <c r="F351" s="170"/>
      <c r="G351" s="170"/>
      <c r="H351" s="170"/>
      <c r="I351" s="170"/>
      <c r="J351" s="170"/>
      <c r="K351" s="170"/>
      <c r="L351" s="170"/>
      <c r="M351" s="170"/>
      <c r="N351" s="170"/>
      <c r="O351" s="170"/>
      <c r="P351" s="170"/>
      <c r="Q351" s="170"/>
      <c r="R351" s="170">
        <f t="shared" si="36"/>
        <v>0</v>
      </c>
      <c r="S351" s="170"/>
      <c r="T351" s="170"/>
      <c r="U351" s="170"/>
      <c r="V351" s="170"/>
      <c r="W351" s="170"/>
      <c r="X351" s="171">
        <f t="shared" si="37"/>
        <v>0</v>
      </c>
      <c r="Y351" s="239">
        <f t="shared" si="38"/>
        <v>0</v>
      </c>
      <c r="Z351" s="386"/>
      <c r="AA351" s="353"/>
    </row>
    <row r="352" spans="1:27" ht="16.5" hidden="1" customHeight="1" x14ac:dyDescent="0.25">
      <c r="A352" s="26"/>
      <c r="B352" s="91" t="s">
        <v>81</v>
      </c>
      <c r="C352" s="39" t="s">
        <v>22</v>
      </c>
      <c r="D352" s="170"/>
      <c r="E352" s="170"/>
      <c r="F352" s="170"/>
      <c r="G352" s="170"/>
      <c r="H352" s="170"/>
      <c r="I352" s="170"/>
      <c r="J352" s="170"/>
      <c r="K352" s="170"/>
      <c r="L352" s="170"/>
      <c r="M352" s="170"/>
      <c r="N352" s="170"/>
      <c r="O352" s="170"/>
      <c r="P352" s="170"/>
      <c r="Q352" s="170"/>
      <c r="R352" s="170">
        <f t="shared" si="36"/>
        <v>0</v>
      </c>
      <c r="S352" s="170"/>
      <c r="T352" s="170"/>
      <c r="U352" s="170"/>
      <c r="V352" s="170"/>
      <c r="W352" s="170"/>
      <c r="X352" s="171">
        <f t="shared" si="37"/>
        <v>0</v>
      </c>
      <c r="Y352" s="239">
        <f t="shared" si="38"/>
        <v>0</v>
      </c>
      <c r="Z352" s="386"/>
      <c r="AA352" s="353"/>
    </row>
    <row r="353" spans="1:27" ht="16.5" hidden="1" customHeight="1" x14ac:dyDescent="0.25">
      <c r="A353" s="26"/>
      <c r="B353" s="91" t="s">
        <v>25</v>
      </c>
      <c r="C353" s="39" t="s">
        <v>22</v>
      </c>
      <c r="D353" s="170"/>
      <c r="E353" s="170"/>
      <c r="F353" s="170"/>
      <c r="G353" s="170"/>
      <c r="H353" s="170"/>
      <c r="I353" s="170"/>
      <c r="J353" s="170"/>
      <c r="K353" s="170"/>
      <c r="L353" s="170"/>
      <c r="M353" s="170"/>
      <c r="N353" s="170"/>
      <c r="O353" s="170"/>
      <c r="P353" s="170"/>
      <c r="Q353" s="170"/>
      <c r="R353" s="170">
        <f t="shared" si="36"/>
        <v>0</v>
      </c>
      <c r="S353" s="170"/>
      <c r="T353" s="170"/>
      <c r="U353" s="170"/>
      <c r="V353" s="170"/>
      <c r="W353" s="170"/>
      <c r="X353" s="171">
        <f t="shared" si="37"/>
        <v>0</v>
      </c>
      <c r="Y353" s="239">
        <f t="shared" si="38"/>
        <v>0</v>
      </c>
      <c r="Z353" s="386"/>
      <c r="AA353" s="353"/>
    </row>
    <row r="354" spans="1:27" ht="16.5" hidden="1" customHeight="1" x14ac:dyDescent="0.25">
      <c r="A354" s="26"/>
      <c r="B354" s="91" t="s">
        <v>71</v>
      </c>
      <c r="C354" s="39" t="s">
        <v>22</v>
      </c>
      <c r="D354" s="170"/>
      <c r="E354" s="170"/>
      <c r="F354" s="170"/>
      <c r="G354" s="170"/>
      <c r="H354" s="170"/>
      <c r="I354" s="170"/>
      <c r="J354" s="170"/>
      <c r="K354" s="170"/>
      <c r="L354" s="170"/>
      <c r="M354" s="170"/>
      <c r="N354" s="170"/>
      <c r="O354" s="170"/>
      <c r="P354" s="170"/>
      <c r="Q354" s="170"/>
      <c r="R354" s="170">
        <f t="shared" si="36"/>
        <v>0</v>
      </c>
      <c r="S354" s="170"/>
      <c r="T354" s="170"/>
      <c r="U354" s="170"/>
      <c r="V354" s="170"/>
      <c r="W354" s="170"/>
      <c r="X354" s="171">
        <f t="shared" ref="X354:X426" si="39">SUM(T354:W354)</f>
        <v>0</v>
      </c>
      <c r="Y354" s="239">
        <f t="shared" ref="Y354:Y426" si="40">R354+X354</f>
        <v>0</v>
      </c>
      <c r="Z354" s="386"/>
      <c r="AA354" s="353"/>
    </row>
    <row r="355" spans="1:27" ht="16.5" hidden="1" customHeight="1" x14ac:dyDescent="0.25">
      <c r="A355" s="26"/>
      <c r="B355" s="91" t="s">
        <v>73</v>
      </c>
      <c r="C355" s="39" t="s">
        <v>22</v>
      </c>
      <c r="D355" s="170"/>
      <c r="E355" s="170"/>
      <c r="F355" s="170"/>
      <c r="G355" s="170"/>
      <c r="H355" s="170"/>
      <c r="I355" s="170"/>
      <c r="J355" s="170"/>
      <c r="K355" s="170"/>
      <c r="L355" s="170"/>
      <c r="M355" s="170"/>
      <c r="N355" s="170"/>
      <c r="O355" s="170"/>
      <c r="P355" s="170"/>
      <c r="Q355" s="170"/>
      <c r="R355" s="170">
        <f t="shared" si="36"/>
        <v>0</v>
      </c>
      <c r="S355" s="170"/>
      <c r="T355" s="170"/>
      <c r="U355" s="170"/>
      <c r="V355" s="170"/>
      <c r="W355" s="170"/>
      <c r="X355" s="171">
        <f t="shared" si="39"/>
        <v>0</v>
      </c>
      <c r="Y355" s="239">
        <f t="shared" si="40"/>
        <v>0</v>
      </c>
      <c r="Z355" s="386"/>
      <c r="AA355" s="353"/>
    </row>
    <row r="356" spans="1:27" ht="16.5" hidden="1" customHeight="1" x14ac:dyDescent="0.25">
      <c r="A356" s="26"/>
      <c r="B356" s="91" t="s">
        <v>118</v>
      </c>
      <c r="C356" s="39" t="s">
        <v>22</v>
      </c>
      <c r="D356" s="170"/>
      <c r="E356" s="170"/>
      <c r="F356" s="170"/>
      <c r="G356" s="170"/>
      <c r="H356" s="170"/>
      <c r="I356" s="170"/>
      <c r="J356" s="170"/>
      <c r="K356" s="170"/>
      <c r="L356" s="170"/>
      <c r="M356" s="170"/>
      <c r="N356" s="170"/>
      <c r="O356" s="170"/>
      <c r="P356" s="170"/>
      <c r="Q356" s="170"/>
      <c r="R356" s="170">
        <f t="shared" si="36"/>
        <v>0</v>
      </c>
      <c r="S356" s="170"/>
      <c r="T356" s="170"/>
      <c r="U356" s="170"/>
      <c r="V356" s="170"/>
      <c r="W356" s="170"/>
      <c r="X356" s="171">
        <f t="shared" si="39"/>
        <v>0</v>
      </c>
      <c r="Y356" s="239">
        <f t="shared" si="40"/>
        <v>0</v>
      </c>
      <c r="Z356" s="386"/>
      <c r="AA356" s="353"/>
    </row>
    <row r="357" spans="1:27" ht="16.5" hidden="1" customHeight="1" x14ac:dyDescent="0.25">
      <c r="A357" s="26"/>
      <c r="B357" s="91" t="s">
        <v>27</v>
      </c>
      <c r="C357" s="39" t="s">
        <v>22</v>
      </c>
      <c r="D357" s="170"/>
      <c r="E357" s="170"/>
      <c r="F357" s="170"/>
      <c r="G357" s="170"/>
      <c r="H357" s="170"/>
      <c r="I357" s="170"/>
      <c r="J357" s="170"/>
      <c r="K357" s="170"/>
      <c r="L357" s="170"/>
      <c r="M357" s="170"/>
      <c r="N357" s="170"/>
      <c r="O357" s="170"/>
      <c r="P357" s="170"/>
      <c r="Q357" s="170"/>
      <c r="R357" s="170">
        <f t="shared" si="36"/>
        <v>0</v>
      </c>
      <c r="S357" s="170"/>
      <c r="T357" s="170"/>
      <c r="U357" s="170"/>
      <c r="V357" s="170"/>
      <c r="W357" s="170"/>
      <c r="X357" s="171">
        <f t="shared" si="39"/>
        <v>0</v>
      </c>
      <c r="Y357" s="239">
        <f t="shared" si="40"/>
        <v>0</v>
      </c>
      <c r="Z357" s="386"/>
      <c r="AA357" s="353"/>
    </row>
    <row r="358" spans="1:27" ht="16.5" hidden="1" customHeight="1" x14ac:dyDescent="0.25">
      <c r="A358" s="26"/>
      <c r="B358" s="91" t="s">
        <v>28</v>
      </c>
      <c r="C358" s="39" t="s">
        <v>22</v>
      </c>
      <c r="D358" s="170"/>
      <c r="E358" s="170"/>
      <c r="F358" s="170"/>
      <c r="G358" s="170"/>
      <c r="H358" s="170"/>
      <c r="I358" s="170"/>
      <c r="J358" s="170"/>
      <c r="K358" s="170"/>
      <c r="L358" s="170"/>
      <c r="M358" s="170"/>
      <c r="N358" s="170"/>
      <c r="O358" s="170"/>
      <c r="P358" s="170"/>
      <c r="Q358" s="170"/>
      <c r="R358" s="170">
        <f t="shared" si="36"/>
        <v>0</v>
      </c>
      <c r="S358" s="170"/>
      <c r="T358" s="170"/>
      <c r="U358" s="170"/>
      <c r="V358" s="170"/>
      <c r="W358" s="170"/>
      <c r="X358" s="171">
        <f t="shared" si="39"/>
        <v>0</v>
      </c>
      <c r="Y358" s="239">
        <f t="shared" si="40"/>
        <v>0</v>
      </c>
      <c r="Z358" s="386"/>
      <c r="AA358" s="353"/>
    </row>
    <row r="359" spans="1:27" ht="16.5" hidden="1" customHeight="1" x14ac:dyDescent="0.2">
      <c r="A359" s="26"/>
      <c r="B359" s="74" t="s">
        <v>75</v>
      </c>
      <c r="C359" s="39" t="s">
        <v>22</v>
      </c>
      <c r="D359" s="170"/>
      <c r="E359" s="170"/>
      <c r="F359" s="170"/>
      <c r="G359" s="170"/>
      <c r="H359" s="170"/>
      <c r="I359" s="170"/>
      <c r="J359" s="170"/>
      <c r="K359" s="170"/>
      <c r="L359" s="170"/>
      <c r="M359" s="170"/>
      <c r="N359" s="170"/>
      <c r="O359" s="170"/>
      <c r="P359" s="170"/>
      <c r="Q359" s="170"/>
      <c r="R359" s="170">
        <f t="shared" si="36"/>
        <v>0</v>
      </c>
      <c r="S359" s="170"/>
      <c r="T359" s="170"/>
      <c r="U359" s="170"/>
      <c r="V359" s="170"/>
      <c r="W359" s="170"/>
      <c r="X359" s="171">
        <f t="shared" si="39"/>
        <v>0</v>
      </c>
      <c r="Y359" s="239">
        <f t="shared" si="40"/>
        <v>0</v>
      </c>
      <c r="Z359" s="386"/>
      <c r="AA359" s="353"/>
    </row>
    <row r="360" spans="1:27" ht="16.5" hidden="1" customHeight="1" x14ac:dyDescent="0.2">
      <c r="A360" s="26"/>
      <c r="B360" s="74" t="s">
        <v>99</v>
      </c>
      <c r="C360" s="39" t="s">
        <v>22</v>
      </c>
      <c r="D360" s="170"/>
      <c r="E360" s="170"/>
      <c r="F360" s="170"/>
      <c r="G360" s="170"/>
      <c r="H360" s="170"/>
      <c r="I360" s="170"/>
      <c r="J360" s="170"/>
      <c r="K360" s="170"/>
      <c r="L360" s="170"/>
      <c r="M360" s="170"/>
      <c r="N360" s="170"/>
      <c r="O360" s="170"/>
      <c r="P360" s="170"/>
      <c r="Q360" s="170"/>
      <c r="R360" s="170">
        <f t="shared" si="36"/>
        <v>0</v>
      </c>
      <c r="S360" s="170"/>
      <c r="T360" s="170"/>
      <c r="U360" s="170"/>
      <c r="V360" s="170"/>
      <c r="W360" s="170"/>
      <c r="X360" s="171">
        <f t="shared" si="39"/>
        <v>0</v>
      </c>
      <c r="Y360" s="239">
        <f t="shared" si="40"/>
        <v>0</v>
      </c>
      <c r="Z360" s="386"/>
      <c r="AA360" s="353"/>
    </row>
    <row r="361" spans="1:27" ht="16.5" hidden="1" customHeight="1" x14ac:dyDescent="0.2">
      <c r="A361" s="26"/>
      <c r="B361" s="74" t="s">
        <v>100</v>
      </c>
      <c r="C361" s="39" t="s">
        <v>22</v>
      </c>
      <c r="D361" s="170"/>
      <c r="E361" s="170"/>
      <c r="F361" s="170"/>
      <c r="G361" s="170"/>
      <c r="H361" s="170"/>
      <c r="I361" s="170"/>
      <c r="J361" s="170"/>
      <c r="K361" s="170"/>
      <c r="L361" s="170"/>
      <c r="M361" s="170"/>
      <c r="N361" s="170"/>
      <c r="O361" s="170"/>
      <c r="P361" s="170"/>
      <c r="Q361" s="170"/>
      <c r="R361" s="170">
        <f t="shared" ref="R361:R433" si="41">SUM(D361:Q361)</f>
        <v>0</v>
      </c>
      <c r="S361" s="170"/>
      <c r="T361" s="170"/>
      <c r="U361" s="170"/>
      <c r="V361" s="170"/>
      <c r="W361" s="170"/>
      <c r="X361" s="171">
        <f t="shared" si="39"/>
        <v>0</v>
      </c>
      <c r="Y361" s="239">
        <f t="shared" si="40"/>
        <v>0</v>
      </c>
      <c r="Z361" s="386"/>
      <c r="AA361" s="353"/>
    </row>
    <row r="362" spans="1:27" ht="16.5" hidden="1" customHeight="1" x14ac:dyDescent="0.2">
      <c r="A362" s="26"/>
      <c r="B362" s="74" t="s">
        <v>120</v>
      </c>
      <c r="C362" s="39" t="s">
        <v>22</v>
      </c>
      <c r="D362" s="170"/>
      <c r="E362" s="170"/>
      <c r="F362" s="170"/>
      <c r="G362" s="170"/>
      <c r="H362" s="170"/>
      <c r="I362" s="170"/>
      <c r="J362" s="170"/>
      <c r="K362" s="170"/>
      <c r="L362" s="170"/>
      <c r="M362" s="170"/>
      <c r="N362" s="170"/>
      <c r="O362" s="170"/>
      <c r="P362" s="170"/>
      <c r="Q362" s="170"/>
      <c r="R362" s="170">
        <f t="shared" si="41"/>
        <v>0</v>
      </c>
      <c r="S362" s="170"/>
      <c r="T362" s="170"/>
      <c r="U362" s="170"/>
      <c r="V362" s="170"/>
      <c r="W362" s="170"/>
      <c r="X362" s="171">
        <f t="shared" si="39"/>
        <v>0</v>
      </c>
      <c r="Y362" s="239">
        <f t="shared" si="40"/>
        <v>0</v>
      </c>
      <c r="Z362" s="386"/>
      <c r="AA362" s="353"/>
    </row>
    <row r="363" spans="1:27" ht="16.5" hidden="1" customHeight="1" x14ac:dyDescent="0.2">
      <c r="A363" s="26"/>
      <c r="B363" s="388" t="s">
        <v>23</v>
      </c>
      <c r="C363" s="389" t="s">
        <v>121</v>
      </c>
      <c r="D363" s="170"/>
      <c r="E363" s="170"/>
      <c r="F363" s="390"/>
      <c r="G363" s="170"/>
      <c r="H363" s="170"/>
      <c r="I363" s="170"/>
      <c r="J363" s="170"/>
      <c r="K363" s="170"/>
      <c r="L363" s="170"/>
      <c r="M363" s="170"/>
      <c r="N363" s="170"/>
      <c r="O363" s="170"/>
      <c r="P363" s="170"/>
      <c r="Q363" s="170"/>
      <c r="R363" s="170">
        <f t="shared" si="41"/>
        <v>0</v>
      </c>
      <c r="S363" s="170"/>
      <c r="T363" s="170"/>
      <c r="U363" s="170"/>
      <c r="V363" s="170"/>
      <c r="W363" s="170"/>
      <c r="X363" s="171">
        <f t="shared" si="39"/>
        <v>0</v>
      </c>
      <c r="Y363" s="392">
        <f t="shared" si="40"/>
        <v>0</v>
      </c>
      <c r="Z363" s="386"/>
      <c r="AA363" s="353"/>
    </row>
    <row r="364" spans="1:27" ht="17.25" hidden="1" customHeight="1" thickBot="1" x14ac:dyDescent="0.25">
      <c r="A364" s="82"/>
      <c r="B364" s="84"/>
      <c r="C364" s="41"/>
      <c r="D364" s="159"/>
      <c r="E364" s="159"/>
      <c r="F364" s="159"/>
      <c r="G364" s="159"/>
      <c r="H364" s="159"/>
      <c r="I364" s="159"/>
      <c r="J364" s="159"/>
      <c r="K364" s="159"/>
      <c r="L364" s="159"/>
      <c r="M364" s="159"/>
      <c r="N364" s="159"/>
      <c r="O364" s="159"/>
      <c r="P364" s="159"/>
      <c r="Q364" s="159"/>
      <c r="R364" s="159">
        <f t="shared" si="41"/>
        <v>0</v>
      </c>
      <c r="S364" s="159"/>
      <c r="T364" s="159"/>
      <c r="U364" s="159"/>
      <c r="V364" s="159"/>
      <c r="W364" s="159"/>
      <c r="X364" s="165">
        <f t="shared" si="39"/>
        <v>0</v>
      </c>
      <c r="Y364" s="239">
        <f t="shared" si="40"/>
        <v>0</v>
      </c>
      <c r="Z364" s="328"/>
      <c r="AA364" s="353"/>
    </row>
    <row r="365" spans="1:27" ht="18.75" hidden="1" customHeight="1" thickTop="1" thickBot="1" x14ac:dyDescent="0.25">
      <c r="A365" s="47"/>
      <c r="B365" s="90"/>
      <c r="C365" s="44" t="s">
        <v>30</v>
      </c>
      <c r="D365" s="166">
        <f>SUM(D344:D364)</f>
        <v>0</v>
      </c>
      <c r="E365" s="166">
        <f>SUM(E344:E364)</f>
        <v>0</v>
      </c>
      <c r="F365" s="166">
        <f>SUM(F344:F364)</f>
        <v>0</v>
      </c>
      <c r="G365" s="166">
        <f t="shared" ref="G365:R365" si="42">SUM(G344:G364)</f>
        <v>0</v>
      </c>
      <c r="H365" s="166">
        <f t="shared" si="42"/>
        <v>0</v>
      </c>
      <c r="I365" s="166">
        <f t="shared" si="42"/>
        <v>0</v>
      </c>
      <c r="J365" s="166">
        <f t="shared" si="42"/>
        <v>0</v>
      </c>
      <c r="K365" s="166">
        <f t="shared" si="42"/>
        <v>0</v>
      </c>
      <c r="L365" s="166">
        <f t="shared" si="42"/>
        <v>0</v>
      </c>
      <c r="M365" s="166">
        <f t="shared" si="42"/>
        <v>0</v>
      </c>
      <c r="N365" s="166">
        <f t="shared" si="42"/>
        <v>0</v>
      </c>
      <c r="O365" s="166">
        <f t="shared" si="42"/>
        <v>0</v>
      </c>
      <c r="P365" s="166">
        <f t="shared" si="42"/>
        <v>0</v>
      </c>
      <c r="Q365" s="166">
        <f t="shared" si="42"/>
        <v>0</v>
      </c>
      <c r="R365" s="166">
        <f t="shared" si="42"/>
        <v>0</v>
      </c>
      <c r="S365" s="166"/>
      <c r="T365" s="166">
        <f t="shared" ref="T365:Z365" si="43">SUM(T344:T364)</f>
        <v>0</v>
      </c>
      <c r="U365" s="166">
        <f t="shared" si="43"/>
        <v>0</v>
      </c>
      <c r="V365" s="166">
        <f t="shared" si="43"/>
        <v>0</v>
      </c>
      <c r="W365" s="166">
        <f t="shared" si="43"/>
        <v>0</v>
      </c>
      <c r="X365" s="169">
        <f t="shared" si="43"/>
        <v>0</v>
      </c>
      <c r="Y365" s="169">
        <f t="shared" si="43"/>
        <v>0</v>
      </c>
      <c r="Z365" s="272">
        <f t="shared" si="43"/>
        <v>0</v>
      </c>
      <c r="AA365" s="354"/>
    </row>
    <row r="366" spans="1:27" ht="9.9499999999999993" hidden="1" customHeight="1" thickTop="1" x14ac:dyDescent="0.2">
      <c r="A366" s="192"/>
      <c r="B366" s="193"/>
      <c r="C366" s="194"/>
      <c r="D366" s="195"/>
      <c r="E366" s="195"/>
      <c r="F366" s="195"/>
      <c r="G366" s="195"/>
      <c r="H366" s="195"/>
      <c r="I366" s="195"/>
      <c r="J366" s="195"/>
      <c r="K366" s="195"/>
      <c r="L366" s="195"/>
      <c r="M366" s="195"/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273"/>
      <c r="AA366" s="354"/>
    </row>
    <row r="367" spans="1:27" ht="17.25" hidden="1" customHeight="1" x14ac:dyDescent="0.2">
      <c r="A367" s="197"/>
      <c r="B367" s="198"/>
      <c r="C367" s="206" t="s">
        <v>68</v>
      </c>
      <c r="D367" s="199"/>
      <c r="E367" s="199"/>
      <c r="F367" s="199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>
        <f t="shared" si="41"/>
        <v>0</v>
      </c>
      <c r="S367" s="199"/>
      <c r="T367" s="199"/>
      <c r="U367" s="199"/>
      <c r="V367" s="199"/>
      <c r="W367" s="199"/>
      <c r="X367" s="199">
        <f t="shared" si="39"/>
        <v>0</v>
      </c>
      <c r="Y367" s="199">
        <f t="shared" si="40"/>
        <v>0</v>
      </c>
      <c r="Z367" s="274"/>
      <c r="AA367" s="354"/>
    </row>
    <row r="368" spans="1:27" ht="9.9499999999999993" hidden="1" customHeight="1" thickBot="1" x14ac:dyDescent="0.25">
      <c r="A368" s="201"/>
      <c r="B368" s="202"/>
      <c r="C368" s="203"/>
      <c r="D368" s="204"/>
      <c r="E368" s="204"/>
      <c r="F368" s="204"/>
      <c r="G368" s="204"/>
      <c r="H368" s="204"/>
      <c r="I368" s="204"/>
      <c r="J368" s="204"/>
      <c r="K368" s="204"/>
      <c r="L368" s="204"/>
      <c r="M368" s="204"/>
      <c r="N368" s="204"/>
      <c r="O368" s="204"/>
      <c r="P368" s="204"/>
      <c r="Q368" s="204"/>
      <c r="R368" s="204"/>
      <c r="S368" s="204"/>
      <c r="T368" s="204"/>
      <c r="U368" s="204"/>
      <c r="V368" s="204"/>
      <c r="W368" s="204"/>
      <c r="X368" s="204"/>
      <c r="Y368" s="204"/>
      <c r="Z368" s="275"/>
      <c r="AA368" s="354"/>
    </row>
    <row r="369" spans="1:28" ht="24.75" hidden="1" customHeight="1" thickTop="1" thickBot="1" x14ac:dyDescent="0.25">
      <c r="A369" s="92"/>
      <c r="B369" s="128" t="s">
        <v>191</v>
      </c>
      <c r="C369" s="44" t="s">
        <v>157</v>
      </c>
      <c r="D369" s="554">
        <f t="shared" ref="D369:R369" si="44">D232+D343+D365+D367</f>
        <v>104649.92</v>
      </c>
      <c r="E369" s="554">
        <f t="shared" si="44"/>
        <v>28899.129000000001</v>
      </c>
      <c r="F369" s="554">
        <f t="shared" si="44"/>
        <v>4778860.176</v>
      </c>
      <c r="G369" s="554">
        <f t="shared" si="44"/>
        <v>237726.19499999998</v>
      </c>
      <c r="H369" s="554">
        <f t="shared" si="44"/>
        <v>8592</v>
      </c>
      <c r="I369" s="554">
        <f t="shared" si="44"/>
        <v>58458</v>
      </c>
      <c r="J369" s="554">
        <f t="shared" si="44"/>
        <v>646786</v>
      </c>
      <c r="K369" s="554">
        <f t="shared" si="44"/>
        <v>1841464.86</v>
      </c>
      <c r="L369" s="554">
        <f t="shared" si="44"/>
        <v>3854486.2409999999</v>
      </c>
      <c r="M369" s="554">
        <f t="shared" si="44"/>
        <v>63295</v>
      </c>
      <c r="N369" s="554">
        <f t="shared" si="44"/>
        <v>69837</v>
      </c>
      <c r="O369" s="554">
        <f t="shared" si="44"/>
        <v>13183</v>
      </c>
      <c r="P369" s="554">
        <f t="shared" si="44"/>
        <v>0</v>
      </c>
      <c r="Q369" s="554">
        <f t="shared" si="44"/>
        <v>556710</v>
      </c>
      <c r="R369" s="554">
        <f t="shared" si="44"/>
        <v>12262947.521</v>
      </c>
      <c r="S369" s="172"/>
      <c r="T369" s="554">
        <f t="shared" ref="T369:Z369" si="45">T232+T343+T365+T367</f>
        <v>0</v>
      </c>
      <c r="U369" s="554">
        <f t="shared" si="45"/>
        <v>6650000</v>
      </c>
      <c r="V369" s="554">
        <f t="shared" si="45"/>
        <v>54061.391000000003</v>
      </c>
      <c r="W369" s="554">
        <f t="shared" si="45"/>
        <v>0</v>
      </c>
      <c r="X369" s="555">
        <f t="shared" si="45"/>
        <v>6704061.3909999998</v>
      </c>
      <c r="Y369" s="555">
        <f t="shared" si="45"/>
        <v>18967008.911999997</v>
      </c>
      <c r="Z369" s="556">
        <f t="shared" si="45"/>
        <v>6461537.9840000002</v>
      </c>
      <c r="AA369" s="356"/>
      <c r="AB369" s="134">
        <f>Y369+Z369</f>
        <v>25428546.895999998</v>
      </c>
    </row>
    <row r="370" spans="1:28" ht="24.95" customHeight="1" thickTop="1" x14ac:dyDescent="0.2">
      <c r="A370" s="586"/>
      <c r="B370" s="736" t="s">
        <v>192</v>
      </c>
      <c r="C370" s="563" t="s">
        <v>18</v>
      </c>
      <c r="D370" s="564">
        <f t="shared" ref="D370:Q370" si="46">D369</f>
        <v>104649.92</v>
      </c>
      <c r="E370" s="564">
        <f t="shared" si="46"/>
        <v>28899.129000000001</v>
      </c>
      <c r="F370" s="564">
        <f t="shared" si="46"/>
        <v>4778860.176</v>
      </c>
      <c r="G370" s="564">
        <f t="shared" si="46"/>
        <v>237726.19499999998</v>
      </c>
      <c r="H370" s="564">
        <f t="shared" si="46"/>
        <v>8592</v>
      </c>
      <c r="I370" s="564">
        <f t="shared" si="46"/>
        <v>58458</v>
      </c>
      <c r="J370" s="564">
        <f t="shared" si="46"/>
        <v>646786</v>
      </c>
      <c r="K370" s="564">
        <f t="shared" si="46"/>
        <v>1841464.86</v>
      </c>
      <c r="L370" s="564">
        <f t="shared" si="46"/>
        <v>3854486.2409999999</v>
      </c>
      <c r="M370" s="564">
        <f t="shared" si="46"/>
        <v>63295</v>
      </c>
      <c r="N370" s="564">
        <f t="shared" si="46"/>
        <v>69837</v>
      </c>
      <c r="O370" s="564">
        <f t="shared" si="46"/>
        <v>13183</v>
      </c>
      <c r="P370" s="564">
        <f t="shared" si="46"/>
        <v>0</v>
      </c>
      <c r="Q370" s="564">
        <f t="shared" si="46"/>
        <v>556710</v>
      </c>
      <c r="R370" s="564">
        <f t="shared" si="41"/>
        <v>12262947.521</v>
      </c>
      <c r="S370" s="564"/>
      <c r="T370" s="564">
        <f>T369</f>
        <v>0</v>
      </c>
      <c r="U370" s="564">
        <f>U369</f>
        <v>6650000</v>
      </c>
      <c r="V370" s="564">
        <f>V369</f>
        <v>54061.391000000003</v>
      </c>
      <c r="W370" s="564">
        <f>W369</f>
        <v>0</v>
      </c>
      <c r="X370" s="565">
        <f t="shared" si="39"/>
        <v>6704061.3909999998</v>
      </c>
      <c r="Y370" s="566">
        <f t="shared" si="40"/>
        <v>18967008.912</v>
      </c>
      <c r="Z370" s="567">
        <f>Z369</f>
        <v>6461537.9840000002</v>
      </c>
      <c r="AA370" s="346"/>
    </row>
    <row r="371" spans="1:28" ht="20.100000000000001" customHeight="1" x14ac:dyDescent="0.2">
      <c r="A371" s="213"/>
      <c r="B371" s="737"/>
      <c r="C371" s="592"/>
      <c r="D371" s="716"/>
      <c r="E371" s="716"/>
      <c r="F371" s="716"/>
      <c r="G371" s="716"/>
      <c r="H371" s="716"/>
      <c r="I371" s="716"/>
      <c r="J371" s="716"/>
      <c r="K371" s="716"/>
      <c r="L371" s="716"/>
      <c r="M371" s="716"/>
      <c r="N371" s="716"/>
      <c r="O371" s="716"/>
      <c r="P371" s="716"/>
      <c r="Q371" s="716"/>
      <c r="R371" s="716"/>
      <c r="S371" s="716"/>
      <c r="T371" s="716"/>
      <c r="U371" s="716"/>
      <c r="V371" s="716"/>
      <c r="W371" s="716"/>
      <c r="X371" s="717"/>
      <c r="Y371" s="371"/>
      <c r="Z371" s="718"/>
      <c r="AA371" s="346"/>
    </row>
    <row r="372" spans="1:28" ht="20.100000000000001" customHeight="1" x14ac:dyDescent="0.2">
      <c r="A372" s="26">
        <v>1</v>
      </c>
      <c r="B372" s="74" t="s">
        <v>627</v>
      </c>
      <c r="C372" s="39" t="s">
        <v>675</v>
      </c>
      <c r="D372" s="170"/>
      <c r="E372" s="170"/>
      <c r="F372" s="170"/>
      <c r="G372" s="170"/>
      <c r="H372" s="170"/>
      <c r="I372" s="170"/>
      <c r="J372" s="170"/>
      <c r="K372" s="170"/>
      <c r="L372" s="170"/>
      <c r="M372" s="170"/>
      <c r="N372" s="170"/>
      <c r="O372" s="170"/>
      <c r="P372" s="170"/>
      <c r="Q372" s="170"/>
      <c r="R372" s="170">
        <f t="shared" si="41"/>
        <v>0</v>
      </c>
      <c r="S372" s="170"/>
      <c r="T372" s="170"/>
      <c r="U372" s="170"/>
      <c r="V372" s="170"/>
      <c r="W372" s="170"/>
      <c r="X372" s="171">
        <f t="shared" si="39"/>
        <v>0</v>
      </c>
      <c r="Y372" s="239">
        <f t="shared" si="40"/>
        <v>0</v>
      </c>
      <c r="Z372" s="386">
        <f>12245.191</f>
        <v>12245.191000000001</v>
      </c>
      <c r="AA372" s="353"/>
    </row>
    <row r="373" spans="1:28" ht="20.100000000000001" customHeight="1" x14ac:dyDescent="0.2">
      <c r="A373" s="26">
        <v>2</v>
      </c>
      <c r="B373" s="74" t="s">
        <v>628</v>
      </c>
      <c r="C373" s="39" t="s">
        <v>676</v>
      </c>
      <c r="D373" s="170"/>
      <c r="E373" s="170"/>
      <c r="F373" s="170"/>
      <c r="G373" s="170"/>
      <c r="H373" s="170"/>
      <c r="I373" s="170"/>
      <c r="J373" s="170"/>
      <c r="K373" s="170"/>
      <c r="L373" s="170"/>
      <c r="M373" s="170"/>
      <c r="N373" s="170"/>
      <c r="O373" s="170"/>
      <c r="P373" s="170"/>
      <c r="Q373" s="170"/>
      <c r="R373" s="170">
        <f t="shared" si="41"/>
        <v>0</v>
      </c>
      <c r="S373" s="170"/>
      <c r="T373" s="170"/>
      <c r="U373" s="170"/>
      <c r="V373" s="170"/>
      <c r="W373" s="170"/>
      <c r="X373" s="171">
        <f t="shared" si="39"/>
        <v>0</v>
      </c>
      <c r="Y373" s="239">
        <f t="shared" si="40"/>
        <v>0</v>
      </c>
      <c r="Z373" s="386">
        <v>5775.4930000000004</v>
      </c>
      <c r="AA373" s="353"/>
    </row>
    <row r="374" spans="1:28" ht="20.100000000000001" customHeight="1" x14ac:dyDescent="0.2">
      <c r="A374" s="26">
        <v>3</v>
      </c>
      <c r="B374" s="74" t="s">
        <v>628</v>
      </c>
      <c r="C374" s="39" t="s">
        <v>629</v>
      </c>
      <c r="D374" s="170"/>
      <c r="E374" s="170"/>
      <c r="F374" s="170"/>
      <c r="G374" s="170"/>
      <c r="H374" s="170"/>
      <c r="I374" s="170"/>
      <c r="J374" s="170"/>
      <c r="K374" s="170"/>
      <c r="L374" s="170"/>
      <c r="M374" s="170"/>
      <c r="N374" s="170"/>
      <c r="O374" s="170"/>
      <c r="P374" s="170"/>
      <c r="Q374" s="170"/>
      <c r="R374" s="170">
        <f t="shared" si="41"/>
        <v>0</v>
      </c>
      <c r="S374" s="170"/>
      <c r="T374" s="170"/>
      <c r="U374" s="170"/>
      <c r="V374" s="170"/>
      <c r="W374" s="170"/>
      <c r="X374" s="171">
        <f t="shared" si="39"/>
        <v>0</v>
      </c>
      <c r="Y374" s="239">
        <f t="shared" si="40"/>
        <v>0</v>
      </c>
      <c r="Z374" s="386">
        <v>4275.6899999999996</v>
      </c>
      <c r="AA374" s="353"/>
    </row>
    <row r="375" spans="1:28" ht="20.100000000000001" customHeight="1" x14ac:dyDescent="0.2">
      <c r="A375" s="26">
        <v>4</v>
      </c>
      <c r="B375" s="74" t="s">
        <v>628</v>
      </c>
      <c r="C375" s="39" t="s">
        <v>632</v>
      </c>
      <c r="D375" s="170"/>
      <c r="E375" s="170"/>
      <c r="F375" s="170"/>
      <c r="G375" s="170"/>
      <c r="H375" s="170"/>
      <c r="I375" s="170"/>
      <c r="J375" s="170"/>
      <c r="K375" s="170"/>
      <c r="L375" s="170"/>
      <c r="M375" s="170"/>
      <c r="N375" s="170"/>
      <c r="O375" s="170"/>
      <c r="P375" s="170"/>
      <c r="Q375" s="170"/>
      <c r="R375" s="170">
        <f>SUM(D375:Q375)</f>
        <v>0</v>
      </c>
      <c r="S375" s="170"/>
      <c r="T375" s="170"/>
      <c r="U375" s="170"/>
      <c r="V375" s="170"/>
      <c r="W375" s="170"/>
      <c r="X375" s="171">
        <f>SUM(T375:W375)</f>
        <v>0</v>
      </c>
      <c r="Y375" s="239">
        <f>R375+X375</f>
        <v>0</v>
      </c>
      <c r="Z375" s="386">
        <f>2253.362</f>
        <v>2253.3620000000001</v>
      </c>
      <c r="AA375" s="353"/>
    </row>
    <row r="376" spans="1:28" ht="20.100000000000001" customHeight="1" x14ac:dyDescent="0.2">
      <c r="A376" s="26">
        <v>5</v>
      </c>
      <c r="B376" s="74" t="s">
        <v>631</v>
      </c>
      <c r="C376" s="39" t="s">
        <v>633</v>
      </c>
      <c r="D376" s="170"/>
      <c r="E376" s="170"/>
      <c r="F376" s="170">
        <f>190+52</f>
        <v>242</v>
      </c>
      <c r="G376" s="170"/>
      <c r="H376" s="170"/>
      <c r="I376" s="170"/>
      <c r="J376" s="170"/>
      <c r="K376" s="170">
        <f>-242</f>
        <v>-242</v>
      </c>
      <c r="L376" s="170"/>
      <c r="M376" s="170"/>
      <c r="N376" s="170"/>
      <c r="O376" s="170"/>
      <c r="P376" s="170"/>
      <c r="Q376" s="170"/>
      <c r="R376" s="170">
        <f t="shared" si="41"/>
        <v>0</v>
      </c>
      <c r="S376" s="170"/>
      <c r="T376" s="170"/>
      <c r="U376" s="170"/>
      <c r="V376" s="170"/>
      <c r="W376" s="170"/>
      <c r="X376" s="171">
        <f t="shared" si="39"/>
        <v>0</v>
      </c>
      <c r="Y376" s="239">
        <f t="shared" si="40"/>
        <v>0</v>
      </c>
      <c r="Z376" s="386"/>
      <c r="AA376" s="353"/>
    </row>
    <row r="377" spans="1:28" ht="20.100000000000001" customHeight="1" x14ac:dyDescent="0.2">
      <c r="A377" s="26">
        <v>6</v>
      </c>
      <c r="B377" s="74" t="s">
        <v>635</v>
      </c>
      <c r="C377" s="39" t="s">
        <v>634</v>
      </c>
      <c r="D377" s="170"/>
      <c r="E377" s="170"/>
      <c r="F377" s="170">
        <f>165+45</f>
        <v>210</v>
      </c>
      <c r="G377" s="170"/>
      <c r="H377" s="170"/>
      <c r="I377" s="170"/>
      <c r="J377" s="170">
        <f>-210</f>
        <v>-210</v>
      </c>
      <c r="K377" s="170"/>
      <c r="L377" s="170"/>
      <c r="M377" s="170"/>
      <c r="N377" s="170"/>
      <c r="O377" s="170"/>
      <c r="P377" s="170"/>
      <c r="Q377" s="170"/>
      <c r="R377" s="170">
        <f t="shared" si="41"/>
        <v>0</v>
      </c>
      <c r="S377" s="170"/>
      <c r="T377" s="170"/>
      <c r="U377" s="170"/>
      <c r="V377" s="170"/>
      <c r="W377" s="170"/>
      <c r="X377" s="171">
        <f t="shared" si="39"/>
        <v>0</v>
      </c>
      <c r="Y377" s="239">
        <f t="shared" si="40"/>
        <v>0</v>
      </c>
      <c r="Z377" s="386"/>
      <c r="AA377" s="353"/>
    </row>
    <row r="378" spans="1:28" ht="20.100000000000001" customHeight="1" x14ac:dyDescent="0.2">
      <c r="A378" s="26">
        <v>7</v>
      </c>
      <c r="B378" s="74" t="s">
        <v>636</v>
      </c>
      <c r="C378" s="39" t="s">
        <v>384</v>
      </c>
      <c r="D378" s="170"/>
      <c r="E378" s="170"/>
      <c r="F378" s="170"/>
      <c r="G378" s="170"/>
      <c r="H378" s="170"/>
      <c r="I378" s="170"/>
      <c r="J378" s="170"/>
      <c r="K378" s="170">
        <f>-4081</f>
        <v>-4081</v>
      </c>
      <c r="L378" s="170"/>
      <c r="M378" s="170"/>
      <c r="N378" s="170"/>
      <c r="O378" s="170"/>
      <c r="P378" s="170"/>
      <c r="Q378" s="170">
        <f>4081</f>
        <v>4081</v>
      </c>
      <c r="R378" s="170">
        <f t="shared" si="41"/>
        <v>0</v>
      </c>
      <c r="S378" s="170"/>
      <c r="T378" s="170"/>
      <c r="U378" s="170"/>
      <c r="V378" s="170"/>
      <c r="W378" s="170"/>
      <c r="X378" s="171">
        <f t="shared" si="39"/>
        <v>0</v>
      </c>
      <c r="Y378" s="239">
        <f t="shared" si="40"/>
        <v>0</v>
      </c>
      <c r="Z378" s="386"/>
      <c r="AA378" s="353"/>
    </row>
    <row r="379" spans="1:28" ht="20.100000000000001" customHeight="1" x14ac:dyDescent="0.2">
      <c r="A379" s="26">
        <v>8</v>
      </c>
      <c r="B379" s="74" t="s">
        <v>637</v>
      </c>
      <c r="C379" s="39" t="s">
        <v>638</v>
      </c>
      <c r="D379" s="170"/>
      <c r="E379" s="170"/>
      <c r="F379" s="170"/>
      <c r="G379" s="170"/>
      <c r="H379" s="170"/>
      <c r="I379" s="170"/>
      <c r="J379" s="170"/>
      <c r="K379" s="170">
        <f>-144550</f>
        <v>-144550</v>
      </c>
      <c r="L379" s="170"/>
      <c r="M379" s="170"/>
      <c r="N379" s="170"/>
      <c r="O379" s="170"/>
      <c r="P379" s="170"/>
      <c r="Q379" s="170">
        <f>144550</f>
        <v>144550</v>
      </c>
      <c r="R379" s="170">
        <f t="shared" si="41"/>
        <v>0</v>
      </c>
      <c r="S379" s="170"/>
      <c r="T379" s="170"/>
      <c r="U379" s="170"/>
      <c r="V379" s="170"/>
      <c r="W379" s="170"/>
      <c r="X379" s="171">
        <f t="shared" si="39"/>
        <v>0</v>
      </c>
      <c r="Y379" s="239">
        <f t="shared" si="40"/>
        <v>0</v>
      </c>
      <c r="Z379" s="386"/>
      <c r="AA379" s="353"/>
    </row>
    <row r="380" spans="1:28" ht="20.100000000000001" customHeight="1" x14ac:dyDescent="0.2">
      <c r="A380" s="26">
        <v>9</v>
      </c>
      <c r="B380" s="74" t="s">
        <v>640</v>
      </c>
      <c r="C380" s="39" t="s">
        <v>639</v>
      </c>
      <c r="D380" s="170"/>
      <c r="E380" s="170"/>
      <c r="F380" s="170"/>
      <c r="G380" s="170"/>
      <c r="H380" s="170"/>
      <c r="I380" s="170"/>
      <c r="J380" s="170"/>
      <c r="K380" s="170">
        <f>-659</f>
        <v>-659</v>
      </c>
      <c r="L380" s="170">
        <f>519+140</f>
        <v>659</v>
      </c>
      <c r="M380" s="170"/>
      <c r="N380" s="170"/>
      <c r="O380" s="170"/>
      <c r="P380" s="170"/>
      <c r="Q380" s="170"/>
      <c r="R380" s="170">
        <f t="shared" si="41"/>
        <v>0</v>
      </c>
      <c r="S380" s="170"/>
      <c r="T380" s="170"/>
      <c r="U380" s="170"/>
      <c r="V380" s="170"/>
      <c r="W380" s="170"/>
      <c r="X380" s="171">
        <f t="shared" si="39"/>
        <v>0</v>
      </c>
      <c r="Y380" s="239">
        <f t="shared" si="40"/>
        <v>0</v>
      </c>
      <c r="Z380" s="386"/>
      <c r="AA380" s="353"/>
    </row>
    <row r="381" spans="1:28" ht="20.100000000000001" customHeight="1" x14ac:dyDescent="0.2">
      <c r="A381" s="26">
        <v>10</v>
      </c>
      <c r="B381" s="74" t="s">
        <v>641</v>
      </c>
      <c r="C381" s="39" t="s">
        <v>642</v>
      </c>
      <c r="D381" s="170"/>
      <c r="E381" s="170"/>
      <c r="F381" s="170">
        <f>16+50+134</f>
        <v>200</v>
      </c>
      <c r="G381" s="170"/>
      <c r="H381" s="170"/>
      <c r="I381" s="170"/>
      <c r="J381" s="170">
        <f>-200</f>
        <v>-200</v>
      </c>
      <c r="K381" s="170"/>
      <c r="L381" s="170"/>
      <c r="M381" s="170"/>
      <c r="N381" s="170"/>
      <c r="O381" s="170"/>
      <c r="P381" s="170"/>
      <c r="Q381" s="170"/>
      <c r="R381" s="170">
        <f t="shared" si="41"/>
        <v>0</v>
      </c>
      <c r="S381" s="170"/>
      <c r="T381" s="170"/>
      <c r="U381" s="170"/>
      <c r="V381" s="170"/>
      <c r="W381" s="170"/>
      <c r="X381" s="171">
        <f t="shared" si="39"/>
        <v>0</v>
      </c>
      <c r="Y381" s="239">
        <f t="shared" si="40"/>
        <v>0</v>
      </c>
      <c r="Z381" s="386"/>
      <c r="AA381" s="353"/>
    </row>
    <row r="382" spans="1:28" ht="20.100000000000001" customHeight="1" x14ac:dyDescent="0.2">
      <c r="A382" s="26">
        <v>11</v>
      </c>
      <c r="B382" s="74" t="s">
        <v>643</v>
      </c>
      <c r="C382" s="39" t="s">
        <v>407</v>
      </c>
      <c r="D382" s="170"/>
      <c r="E382" s="170"/>
      <c r="F382" s="170">
        <f>40+55+300-207+1+40</f>
        <v>229</v>
      </c>
      <c r="G382" s="170"/>
      <c r="H382" s="170"/>
      <c r="I382" s="170"/>
      <c r="J382" s="170"/>
      <c r="K382" s="170"/>
      <c r="L382" s="170">
        <f>-181-48</f>
        <v>-229</v>
      </c>
      <c r="M382" s="170"/>
      <c r="N382" s="170"/>
      <c r="O382" s="170"/>
      <c r="P382" s="170"/>
      <c r="Q382" s="170"/>
      <c r="R382" s="170">
        <f t="shared" si="41"/>
        <v>0</v>
      </c>
      <c r="S382" s="170"/>
      <c r="T382" s="170"/>
      <c r="U382" s="170"/>
      <c r="V382" s="170"/>
      <c r="W382" s="170"/>
      <c r="X382" s="171">
        <f t="shared" si="39"/>
        <v>0</v>
      </c>
      <c r="Y382" s="239">
        <f t="shared" si="40"/>
        <v>0</v>
      </c>
      <c r="Z382" s="386"/>
      <c r="AA382" s="353"/>
    </row>
    <row r="383" spans="1:28" ht="20.100000000000001" customHeight="1" x14ac:dyDescent="0.2">
      <c r="A383" s="26">
        <v>12</v>
      </c>
      <c r="B383" s="74" t="s">
        <v>644</v>
      </c>
      <c r="C383" s="39" t="s">
        <v>645</v>
      </c>
      <c r="D383" s="170"/>
      <c r="E383" s="170"/>
      <c r="F383" s="170"/>
      <c r="G383" s="170"/>
      <c r="H383" s="170"/>
      <c r="I383" s="170"/>
      <c r="J383" s="170"/>
      <c r="K383" s="170"/>
      <c r="L383" s="170">
        <f>-2598-702</f>
        <v>-3300</v>
      </c>
      <c r="M383" s="170">
        <f>2598+702</f>
        <v>3300</v>
      </c>
      <c r="N383" s="170"/>
      <c r="O383" s="170"/>
      <c r="P383" s="170"/>
      <c r="Q383" s="170"/>
      <c r="R383" s="170">
        <f t="shared" si="41"/>
        <v>0</v>
      </c>
      <c r="S383" s="170"/>
      <c r="T383" s="170"/>
      <c r="U383" s="170"/>
      <c r="V383" s="170"/>
      <c r="W383" s="170"/>
      <c r="X383" s="171">
        <f t="shared" si="39"/>
        <v>0</v>
      </c>
      <c r="Y383" s="239">
        <f t="shared" si="40"/>
        <v>0</v>
      </c>
      <c r="Z383" s="386"/>
      <c r="AA383" s="353"/>
    </row>
    <row r="384" spans="1:28" ht="20.100000000000001" customHeight="1" x14ac:dyDescent="0.2">
      <c r="A384" s="26">
        <v>13</v>
      </c>
      <c r="B384" s="74" t="s">
        <v>646</v>
      </c>
      <c r="C384" s="39" t="s">
        <v>647</v>
      </c>
      <c r="D384" s="170"/>
      <c r="E384" s="170"/>
      <c r="F384" s="170"/>
      <c r="G384" s="170"/>
      <c r="H384" s="170">
        <f>5252</f>
        <v>5252</v>
      </c>
      <c r="I384" s="170"/>
      <c r="J384" s="170"/>
      <c r="K384" s="170">
        <f>-5252</f>
        <v>-5252</v>
      </c>
      <c r="L384" s="170"/>
      <c r="M384" s="170"/>
      <c r="N384" s="170"/>
      <c r="O384" s="170"/>
      <c r="P384" s="170"/>
      <c r="Q384" s="170"/>
      <c r="R384" s="170">
        <f t="shared" si="41"/>
        <v>0</v>
      </c>
      <c r="S384" s="170"/>
      <c r="T384" s="170"/>
      <c r="U384" s="170"/>
      <c r="V384" s="170"/>
      <c r="W384" s="170"/>
      <c r="X384" s="171">
        <f t="shared" si="39"/>
        <v>0</v>
      </c>
      <c r="Y384" s="239">
        <f t="shared" si="40"/>
        <v>0</v>
      </c>
      <c r="Z384" s="386"/>
      <c r="AA384" s="353"/>
    </row>
    <row r="385" spans="1:42" ht="20.100000000000001" customHeight="1" x14ac:dyDescent="0.2">
      <c r="A385" s="26">
        <v>14</v>
      </c>
      <c r="B385" s="74" t="s">
        <v>648</v>
      </c>
      <c r="C385" s="39" t="s">
        <v>649</v>
      </c>
      <c r="D385" s="170"/>
      <c r="E385" s="170"/>
      <c r="F385" s="170"/>
      <c r="G385" s="170"/>
      <c r="H385" s="170"/>
      <c r="I385" s="170"/>
      <c r="J385" s="170"/>
      <c r="K385" s="170"/>
      <c r="L385" s="170">
        <f>162+44</f>
        <v>206</v>
      </c>
      <c r="M385" s="170"/>
      <c r="N385" s="170"/>
      <c r="O385" s="170"/>
      <c r="P385" s="170"/>
      <c r="Q385" s="170"/>
      <c r="R385" s="170">
        <f t="shared" si="41"/>
        <v>206</v>
      </c>
      <c r="S385" s="170"/>
      <c r="T385" s="170"/>
      <c r="U385" s="170"/>
      <c r="V385" s="170"/>
      <c r="W385" s="170"/>
      <c r="X385" s="171">
        <f t="shared" si="39"/>
        <v>0</v>
      </c>
      <c r="Y385" s="239">
        <f t="shared" si="40"/>
        <v>206</v>
      </c>
      <c r="Z385" s="386"/>
      <c r="AA385" s="353"/>
    </row>
    <row r="386" spans="1:42" ht="20.100000000000001" customHeight="1" x14ac:dyDescent="0.2">
      <c r="A386" s="26">
        <v>15</v>
      </c>
      <c r="B386" s="74" t="s">
        <v>650</v>
      </c>
      <c r="C386" s="39" t="s">
        <v>250</v>
      </c>
      <c r="D386" s="170"/>
      <c r="E386" s="170"/>
      <c r="F386" s="170"/>
      <c r="G386" s="170"/>
      <c r="H386" s="170"/>
      <c r="I386" s="170"/>
      <c r="J386" s="170">
        <f>884</f>
        <v>884</v>
      </c>
      <c r="K386" s="170">
        <f>-884</f>
        <v>-884</v>
      </c>
      <c r="L386" s="170"/>
      <c r="M386" s="170"/>
      <c r="N386" s="170"/>
      <c r="O386" s="170"/>
      <c r="P386" s="170"/>
      <c r="Q386" s="170"/>
      <c r="R386" s="170">
        <f t="shared" si="41"/>
        <v>0</v>
      </c>
      <c r="S386" s="170"/>
      <c r="T386" s="170"/>
      <c r="U386" s="170"/>
      <c r="V386" s="170"/>
      <c r="W386" s="170"/>
      <c r="X386" s="171">
        <f t="shared" si="39"/>
        <v>0</v>
      </c>
      <c r="Y386" s="239">
        <f t="shared" si="40"/>
        <v>0</v>
      </c>
      <c r="Z386" s="386"/>
      <c r="AA386" s="353"/>
    </row>
    <row r="387" spans="1:42" ht="20.100000000000001" customHeight="1" x14ac:dyDescent="0.2">
      <c r="A387" s="26">
        <v>16</v>
      </c>
      <c r="B387" s="74" t="s">
        <v>651</v>
      </c>
      <c r="C387" s="39" t="s">
        <v>250</v>
      </c>
      <c r="D387" s="170"/>
      <c r="E387" s="170"/>
      <c r="F387" s="170"/>
      <c r="G387" s="170"/>
      <c r="H387" s="170"/>
      <c r="I387" s="170"/>
      <c r="J387" s="170">
        <f>50</f>
        <v>50</v>
      </c>
      <c r="K387" s="170">
        <f>-50</f>
        <v>-50</v>
      </c>
      <c r="L387" s="170"/>
      <c r="M387" s="170"/>
      <c r="N387" s="170"/>
      <c r="O387" s="170"/>
      <c r="P387" s="170"/>
      <c r="Q387" s="170"/>
      <c r="R387" s="170">
        <f t="shared" si="41"/>
        <v>0</v>
      </c>
      <c r="S387" s="170"/>
      <c r="T387" s="170"/>
      <c r="U387" s="170"/>
      <c r="V387" s="170"/>
      <c r="W387" s="170"/>
      <c r="X387" s="171">
        <f t="shared" si="39"/>
        <v>0</v>
      </c>
      <c r="Y387" s="239">
        <f t="shared" si="40"/>
        <v>0</v>
      </c>
      <c r="Z387" s="386"/>
      <c r="AA387" s="353"/>
    </row>
    <row r="388" spans="1:42" s="542" customFormat="1" ht="20.100000000000001" customHeight="1" x14ac:dyDescent="0.2">
      <c r="A388" s="26">
        <v>17</v>
      </c>
      <c r="B388" s="74" t="s">
        <v>652</v>
      </c>
      <c r="C388" s="39" t="s">
        <v>252</v>
      </c>
      <c r="D388" s="536"/>
      <c r="E388" s="536"/>
      <c r="F388" s="536"/>
      <c r="G388" s="536"/>
      <c r="H388" s="536"/>
      <c r="I388" s="536"/>
      <c r="K388" s="536">
        <f>-1000</f>
        <v>-1000</v>
      </c>
      <c r="L388" s="536"/>
      <c r="M388" s="536"/>
      <c r="N388" s="536"/>
      <c r="O388" s="536"/>
      <c r="P388" s="536"/>
      <c r="Q388" s="536">
        <f>1000</f>
        <v>1000</v>
      </c>
      <c r="R388" s="170">
        <f>SUM(D388:Q388)</f>
        <v>0</v>
      </c>
      <c r="S388" s="536"/>
      <c r="T388" s="536"/>
      <c r="U388" s="536"/>
      <c r="V388" s="536"/>
      <c r="W388" s="536"/>
      <c r="X388" s="171">
        <f t="shared" si="39"/>
        <v>0</v>
      </c>
      <c r="Y388" s="239">
        <f t="shared" si="40"/>
        <v>0</v>
      </c>
      <c r="Z388" s="568"/>
      <c r="AA388" s="569"/>
      <c r="AB388" s="552"/>
      <c r="AC388" s="552"/>
      <c r="AD388" s="552"/>
      <c r="AE388" s="552"/>
      <c r="AF388" s="552"/>
      <c r="AG388" s="552"/>
      <c r="AH388" s="552"/>
      <c r="AI388" s="552"/>
      <c r="AJ388" s="552"/>
      <c r="AK388" s="552"/>
      <c r="AL388" s="552"/>
      <c r="AM388" s="552"/>
      <c r="AN388" s="552"/>
      <c r="AO388" s="552"/>
      <c r="AP388" s="552"/>
    </row>
    <row r="389" spans="1:42" s="542" customFormat="1" ht="20.100000000000001" customHeight="1" x14ac:dyDescent="0.2">
      <c r="A389" s="26">
        <v>18</v>
      </c>
      <c r="B389" s="74" t="s">
        <v>653</v>
      </c>
      <c r="C389" s="39" t="s">
        <v>654</v>
      </c>
      <c r="D389" s="536"/>
      <c r="E389" s="536"/>
      <c r="F389" s="536">
        <f>1904+514</f>
        <v>2418</v>
      </c>
      <c r="G389" s="536"/>
      <c r="H389" s="536"/>
      <c r="I389" s="536"/>
      <c r="J389" s="536"/>
      <c r="K389" s="536">
        <f>-2418</f>
        <v>-2418</v>
      </c>
      <c r="L389" s="536"/>
      <c r="M389" s="536"/>
      <c r="N389" s="536"/>
      <c r="O389" s="536"/>
      <c r="P389" s="536"/>
      <c r="Q389" s="536"/>
      <c r="R389" s="170">
        <f t="shared" si="41"/>
        <v>0</v>
      </c>
      <c r="S389" s="536"/>
      <c r="T389" s="536"/>
      <c r="U389" s="536"/>
      <c r="V389" s="536"/>
      <c r="W389" s="536"/>
      <c r="X389" s="171">
        <f t="shared" si="39"/>
        <v>0</v>
      </c>
      <c r="Y389" s="239">
        <f t="shared" si="40"/>
        <v>0</v>
      </c>
      <c r="Z389" s="568"/>
      <c r="AA389" s="569"/>
      <c r="AB389" s="552"/>
      <c r="AC389" s="552"/>
      <c r="AD389" s="552"/>
      <c r="AE389" s="552"/>
      <c r="AF389" s="552"/>
      <c r="AG389" s="552"/>
      <c r="AH389" s="552"/>
      <c r="AI389" s="552"/>
      <c r="AJ389" s="552"/>
      <c r="AK389" s="552"/>
      <c r="AL389" s="552"/>
      <c r="AM389" s="552"/>
      <c r="AN389" s="552"/>
      <c r="AO389" s="552"/>
      <c r="AP389" s="552"/>
    </row>
    <row r="390" spans="1:42" ht="20.100000000000001" customHeight="1" x14ac:dyDescent="0.2">
      <c r="A390" s="26">
        <v>19</v>
      </c>
      <c r="B390" s="74" t="s">
        <v>655</v>
      </c>
      <c r="C390" s="39" t="s">
        <v>252</v>
      </c>
      <c r="D390" s="170"/>
      <c r="E390" s="170"/>
      <c r="F390" s="170"/>
      <c r="G390" s="170"/>
      <c r="H390" s="170"/>
      <c r="I390" s="170"/>
      <c r="J390" s="170">
        <f>94</f>
        <v>94</v>
      </c>
      <c r="K390" s="170">
        <f>-94</f>
        <v>-94</v>
      </c>
      <c r="L390" s="170"/>
      <c r="M390" s="170"/>
      <c r="N390" s="170"/>
      <c r="O390" s="170"/>
      <c r="P390" s="170"/>
      <c r="Q390" s="170"/>
      <c r="R390" s="170">
        <f t="shared" si="41"/>
        <v>0</v>
      </c>
      <c r="S390" s="170"/>
      <c r="T390" s="170"/>
      <c r="U390" s="170"/>
      <c r="V390" s="170"/>
      <c r="W390" s="170"/>
      <c r="X390" s="171">
        <f t="shared" si="39"/>
        <v>0</v>
      </c>
      <c r="Y390" s="239">
        <f t="shared" si="40"/>
        <v>0</v>
      </c>
      <c r="Z390" s="386"/>
      <c r="AA390" s="353"/>
    </row>
    <row r="391" spans="1:42" ht="20.100000000000001" customHeight="1" x14ac:dyDescent="0.2">
      <c r="A391" s="26">
        <v>20</v>
      </c>
      <c r="B391" s="74" t="s">
        <v>656</v>
      </c>
      <c r="C391" s="39" t="s">
        <v>250</v>
      </c>
      <c r="D391" s="170"/>
      <c r="E391" s="170"/>
      <c r="F391" s="170">
        <f>1588+429</f>
        <v>2017</v>
      </c>
      <c r="G391" s="170"/>
      <c r="H391" s="170"/>
      <c r="I391" s="170"/>
      <c r="J391" s="170"/>
      <c r="K391" s="170">
        <f>-2017</f>
        <v>-2017</v>
      </c>
      <c r="L391" s="170"/>
      <c r="M391" s="170"/>
      <c r="N391" s="170"/>
      <c r="O391" s="170"/>
      <c r="P391" s="170"/>
      <c r="Q391" s="170"/>
      <c r="R391" s="170">
        <f t="shared" si="41"/>
        <v>0</v>
      </c>
      <c r="S391" s="170"/>
      <c r="T391" s="170"/>
      <c r="U391" s="170"/>
      <c r="V391" s="170"/>
      <c r="W391" s="170"/>
      <c r="X391" s="171">
        <f t="shared" si="39"/>
        <v>0</v>
      </c>
      <c r="Y391" s="239">
        <f t="shared" si="40"/>
        <v>0</v>
      </c>
      <c r="Z391" s="386"/>
      <c r="AA391" s="353"/>
    </row>
    <row r="392" spans="1:42" ht="20.100000000000001" customHeight="1" x14ac:dyDescent="0.2">
      <c r="A392" s="26">
        <v>21</v>
      </c>
      <c r="B392" s="293" t="s">
        <v>658</v>
      </c>
      <c r="C392" s="39" t="s">
        <v>657</v>
      </c>
      <c r="D392" s="170"/>
      <c r="E392" s="170"/>
      <c r="F392" s="170">
        <f>3008+812</f>
        <v>3820</v>
      </c>
      <c r="G392" s="170"/>
      <c r="H392" s="170"/>
      <c r="I392" s="170"/>
      <c r="J392" s="170">
        <f>-3820</f>
        <v>-3820</v>
      </c>
      <c r="K392" s="170"/>
      <c r="L392" s="170"/>
      <c r="M392" s="170"/>
      <c r="N392" s="170"/>
      <c r="O392" s="170"/>
      <c r="P392" s="170"/>
      <c r="Q392" s="170"/>
      <c r="R392" s="170">
        <f t="shared" si="41"/>
        <v>0</v>
      </c>
      <c r="S392" s="170"/>
      <c r="T392" s="170"/>
      <c r="U392" s="170"/>
      <c r="V392" s="170"/>
      <c r="W392" s="170"/>
      <c r="X392" s="171">
        <f t="shared" si="39"/>
        <v>0</v>
      </c>
      <c r="Y392" s="239">
        <f t="shared" si="40"/>
        <v>0</v>
      </c>
      <c r="Z392" s="386"/>
      <c r="AA392" s="353"/>
    </row>
    <row r="393" spans="1:42" ht="20.100000000000001" customHeight="1" x14ac:dyDescent="0.2">
      <c r="A393" s="26">
        <v>22</v>
      </c>
      <c r="B393" s="74" t="s">
        <v>659</v>
      </c>
      <c r="C393" s="39" t="s">
        <v>660</v>
      </c>
      <c r="D393" s="170"/>
      <c r="E393" s="170"/>
      <c r="F393" s="170">
        <f>10</f>
        <v>10</v>
      </c>
      <c r="G393" s="170"/>
      <c r="H393" s="170"/>
      <c r="I393" s="170"/>
      <c r="J393" s="170"/>
      <c r="K393" s="170"/>
      <c r="L393" s="170"/>
      <c r="M393" s="170"/>
      <c r="N393" s="170"/>
      <c r="O393" s="170"/>
      <c r="P393" s="170"/>
      <c r="Q393" s="170"/>
      <c r="R393" s="170">
        <f t="shared" si="41"/>
        <v>10</v>
      </c>
      <c r="S393" s="170"/>
      <c r="T393" s="170"/>
      <c r="U393" s="170"/>
      <c r="V393" s="170"/>
      <c r="W393" s="170"/>
      <c r="X393" s="171">
        <f t="shared" si="39"/>
        <v>0</v>
      </c>
      <c r="Y393" s="239">
        <f t="shared" si="40"/>
        <v>10</v>
      </c>
      <c r="Z393" s="386">
        <f>-10</f>
        <v>-10</v>
      </c>
      <c r="AA393" s="353"/>
    </row>
    <row r="394" spans="1:42" ht="20.100000000000001" customHeight="1" x14ac:dyDescent="0.2">
      <c r="A394" s="26">
        <v>23</v>
      </c>
      <c r="B394" s="74" t="s">
        <v>662</v>
      </c>
      <c r="C394" s="39" t="s">
        <v>663</v>
      </c>
      <c r="D394" s="170"/>
      <c r="E394" s="170"/>
      <c r="F394" s="170">
        <f>15</f>
        <v>15</v>
      </c>
      <c r="G394" s="170"/>
      <c r="H394" s="170"/>
      <c r="I394" s="170"/>
      <c r="J394" s="170"/>
      <c r="K394" s="170">
        <f>299</f>
        <v>299</v>
      </c>
      <c r="L394" s="170"/>
      <c r="M394" s="170"/>
      <c r="N394" s="170"/>
      <c r="O394" s="170"/>
      <c r="P394" s="170"/>
      <c r="Q394" s="170"/>
      <c r="R394" s="170">
        <f t="shared" si="41"/>
        <v>314</v>
      </c>
      <c r="S394" s="170"/>
      <c r="T394" s="170"/>
      <c r="U394" s="170"/>
      <c r="V394" s="170"/>
      <c r="W394" s="170"/>
      <c r="X394" s="171">
        <f t="shared" si="39"/>
        <v>0</v>
      </c>
      <c r="Y394" s="239">
        <f t="shared" si="40"/>
        <v>314</v>
      </c>
      <c r="Z394" s="386"/>
      <c r="AA394" s="353"/>
    </row>
    <row r="395" spans="1:42" ht="20.100000000000001" customHeight="1" x14ac:dyDescent="0.2">
      <c r="A395" s="26">
        <v>24</v>
      </c>
      <c r="B395" s="74" t="s">
        <v>664</v>
      </c>
      <c r="C395" s="39" t="s">
        <v>665</v>
      </c>
      <c r="D395" s="170"/>
      <c r="E395" s="170"/>
      <c r="F395" s="170"/>
      <c r="G395" s="170"/>
      <c r="H395" s="170"/>
      <c r="I395" s="170"/>
      <c r="J395" s="170"/>
      <c r="K395" s="170">
        <f>2034</f>
        <v>2034</v>
      </c>
      <c r="L395" s="170"/>
      <c r="M395" s="170"/>
      <c r="N395" s="170"/>
      <c r="O395" s="170"/>
      <c r="P395" s="170"/>
      <c r="Q395" s="170"/>
      <c r="R395" s="170">
        <f t="shared" si="41"/>
        <v>2034</v>
      </c>
      <c r="S395" s="170"/>
      <c r="T395" s="170"/>
      <c r="U395" s="170"/>
      <c r="V395" s="170"/>
      <c r="W395" s="170"/>
      <c r="X395" s="171">
        <f t="shared" si="39"/>
        <v>0</v>
      </c>
      <c r="Y395" s="239">
        <f t="shared" si="40"/>
        <v>2034</v>
      </c>
      <c r="Z395" s="386">
        <f>-2034</f>
        <v>-2034</v>
      </c>
      <c r="AA395" s="353"/>
    </row>
    <row r="396" spans="1:42" ht="20.100000000000001" customHeight="1" x14ac:dyDescent="0.2">
      <c r="A396" s="26">
        <v>25</v>
      </c>
      <c r="B396" s="74" t="s">
        <v>667</v>
      </c>
      <c r="C396" s="39" t="s">
        <v>384</v>
      </c>
      <c r="D396" s="170"/>
      <c r="E396" s="170"/>
      <c r="F396" s="170"/>
      <c r="G396" s="170"/>
      <c r="H396" s="170"/>
      <c r="I396" s="170"/>
      <c r="J396" s="170"/>
      <c r="K396" s="170">
        <f>-1278</f>
        <v>-1278</v>
      </c>
      <c r="L396" s="170"/>
      <c r="M396" s="170"/>
      <c r="N396" s="170"/>
      <c r="O396" s="170"/>
      <c r="P396" s="170"/>
      <c r="Q396" s="170">
        <f>1278</f>
        <v>1278</v>
      </c>
      <c r="R396" s="170">
        <f t="shared" si="41"/>
        <v>0</v>
      </c>
      <c r="S396" s="170"/>
      <c r="T396" s="170"/>
      <c r="U396" s="170"/>
      <c r="V396" s="170"/>
      <c r="W396" s="170"/>
      <c r="X396" s="171">
        <f t="shared" si="39"/>
        <v>0</v>
      </c>
      <c r="Y396" s="239">
        <f t="shared" si="40"/>
        <v>0</v>
      </c>
      <c r="Z396" s="386"/>
      <c r="AA396" s="353"/>
    </row>
    <row r="397" spans="1:42" ht="20.100000000000001" customHeight="1" x14ac:dyDescent="0.2">
      <c r="A397" s="26">
        <v>26</v>
      </c>
      <c r="B397" s="74" t="s">
        <v>670</v>
      </c>
      <c r="C397" s="39" t="s">
        <v>671</v>
      </c>
      <c r="D397" s="170"/>
      <c r="E397" s="170"/>
      <c r="F397" s="170">
        <f>20.343</f>
        <v>20.343</v>
      </c>
      <c r="G397" s="170"/>
      <c r="H397" s="170"/>
      <c r="I397" s="170"/>
      <c r="J397" s="170"/>
      <c r="K397" s="170"/>
      <c r="L397" s="170"/>
      <c r="M397" s="170"/>
      <c r="N397" s="170"/>
      <c r="O397" s="170"/>
      <c r="P397" s="170"/>
      <c r="Q397" s="170"/>
      <c r="R397" s="170">
        <f t="shared" si="41"/>
        <v>20.343</v>
      </c>
      <c r="S397" s="170"/>
      <c r="T397" s="170"/>
      <c r="U397" s="170"/>
      <c r="V397" s="170"/>
      <c r="W397" s="170"/>
      <c r="X397" s="171">
        <f t="shared" si="39"/>
        <v>0</v>
      </c>
      <c r="Y397" s="239">
        <f t="shared" si="40"/>
        <v>20.343</v>
      </c>
      <c r="Z397" s="386">
        <f>7173.174</f>
        <v>7173.174</v>
      </c>
      <c r="AA397" s="353"/>
    </row>
    <row r="398" spans="1:42" ht="20.100000000000001" customHeight="1" x14ac:dyDescent="0.2">
      <c r="A398" s="26">
        <v>27</v>
      </c>
      <c r="B398" s="74" t="s">
        <v>672</v>
      </c>
      <c r="C398" s="39" t="s">
        <v>677</v>
      </c>
      <c r="D398" s="170"/>
      <c r="E398" s="170"/>
      <c r="F398" s="170">
        <f>-3079.184</f>
        <v>-3079.1840000000002</v>
      </c>
      <c r="G398" s="170"/>
      <c r="H398" s="170"/>
      <c r="I398" s="170"/>
      <c r="J398" s="170"/>
      <c r="K398" s="170"/>
      <c r="L398" s="170"/>
      <c r="M398" s="170"/>
      <c r="N398" s="170"/>
      <c r="O398" s="170"/>
      <c r="P398" s="170"/>
      <c r="Q398" s="170"/>
      <c r="R398" s="170">
        <f t="shared" si="41"/>
        <v>-3079.1840000000002</v>
      </c>
      <c r="S398" s="170"/>
      <c r="T398" s="170"/>
      <c r="U398" s="170"/>
      <c r="V398" s="170"/>
      <c r="W398" s="170"/>
      <c r="X398" s="171">
        <f t="shared" si="39"/>
        <v>0</v>
      </c>
      <c r="Y398" s="239">
        <f t="shared" si="40"/>
        <v>-3079.1840000000002</v>
      </c>
      <c r="Z398" s="386">
        <f>3079.184</f>
        <v>3079.1840000000002</v>
      </c>
      <c r="AA398" s="353"/>
    </row>
    <row r="399" spans="1:42" ht="20.100000000000001" customHeight="1" x14ac:dyDescent="0.2">
      <c r="A399" s="26">
        <v>28</v>
      </c>
      <c r="B399" s="293" t="s">
        <v>673</v>
      </c>
      <c r="C399" s="39" t="s">
        <v>674</v>
      </c>
      <c r="D399" s="170">
        <f>-1379.4</f>
        <v>-1379.4</v>
      </c>
      <c r="E399" s="170">
        <f>-372.438</f>
        <v>-372.43799999999999</v>
      </c>
      <c r="F399" s="170"/>
      <c r="G399" s="170"/>
      <c r="H399" s="170"/>
      <c r="I399" s="170"/>
      <c r="J399" s="170"/>
      <c r="K399" s="170"/>
      <c r="L399" s="170"/>
      <c r="M399" s="170"/>
      <c r="N399" s="170"/>
      <c r="O399" s="170"/>
      <c r="P399" s="170"/>
      <c r="Q399" s="170"/>
      <c r="R399" s="170">
        <f t="shared" si="41"/>
        <v>-1751.8380000000002</v>
      </c>
      <c r="S399" s="170"/>
      <c r="T399" s="170"/>
      <c r="U399" s="170"/>
      <c r="V399" s="170"/>
      <c r="W399" s="170"/>
      <c r="X399" s="171">
        <f t="shared" si="39"/>
        <v>0</v>
      </c>
      <c r="Y399" s="239">
        <f t="shared" si="40"/>
        <v>-1751.8380000000002</v>
      </c>
      <c r="Z399" s="386">
        <f>1751.838</f>
        <v>1751.838</v>
      </c>
      <c r="AA399" s="353"/>
    </row>
    <row r="400" spans="1:42" ht="20.100000000000001" customHeight="1" x14ac:dyDescent="0.2">
      <c r="A400" s="26">
        <v>29</v>
      </c>
      <c r="B400" s="293" t="s">
        <v>681</v>
      </c>
      <c r="C400" s="39" t="s">
        <v>682</v>
      </c>
      <c r="D400" s="170"/>
      <c r="E400" s="170"/>
      <c r="F400" s="170">
        <f>-216</f>
        <v>-216</v>
      </c>
      <c r="G400" s="170"/>
      <c r="H400" s="170"/>
      <c r="I400" s="170"/>
      <c r="J400" s="170"/>
      <c r="K400" s="170">
        <f>-800</f>
        <v>-800</v>
      </c>
      <c r="L400" s="170"/>
      <c r="M400" s="170"/>
      <c r="N400" s="170"/>
      <c r="O400" s="170"/>
      <c r="P400" s="170"/>
      <c r="Q400" s="170"/>
      <c r="R400" s="170">
        <f t="shared" si="41"/>
        <v>-1016</v>
      </c>
      <c r="S400" s="170"/>
      <c r="T400" s="170"/>
      <c r="U400" s="170"/>
      <c r="V400" s="170"/>
      <c r="W400" s="170"/>
      <c r="X400" s="171">
        <f t="shared" si="39"/>
        <v>0</v>
      </c>
      <c r="Y400" s="239">
        <f t="shared" si="40"/>
        <v>-1016</v>
      </c>
      <c r="Z400" s="386"/>
      <c r="AA400" s="353"/>
    </row>
    <row r="401" spans="1:27" ht="20.100000000000001" customHeight="1" x14ac:dyDescent="0.2">
      <c r="A401" s="26">
        <v>30</v>
      </c>
      <c r="B401" s="293" t="s">
        <v>683</v>
      </c>
      <c r="C401" s="39" t="s">
        <v>498</v>
      </c>
      <c r="D401" s="170"/>
      <c r="E401" s="170"/>
      <c r="F401" s="170"/>
      <c r="G401" s="170">
        <f>-24000</f>
        <v>-24000</v>
      </c>
      <c r="H401" s="170"/>
      <c r="I401" s="170"/>
      <c r="J401" s="170"/>
      <c r="K401" s="170">
        <f>-8965.915</f>
        <v>-8965.9150000000009</v>
      </c>
      <c r="L401" s="170"/>
      <c r="M401" s="170"/>
      <c r="N401" s="170"/>
      <c r="O401" s="170"/>
      <c r="P401" s="170"/>
      <c r="Q401" s="170"/>
      <c r="R401" s="170">
        <f t="shared" si="41"/>
        <v>-32965.915000000001</v>
      </c>
      <c r="S401" s="170"/>
      <c r="T401" s="170"/>
      <c r="U401" s="170"/>
      <c r="V401" s="170"/>
      <c r="W401" s="170"/>
      <c r="X401" s="171">
        <f t="shared" si="39"/>
        <v>0</v>
      </c>
      <c r="Y401" s="239">
        <f t="shared" si="40"/>
        <v>-32965.915000000001</v>
      </c>
      <c r="Z401" s="386"/>
      <c r="AA401" s="353"/>
    </row>
    <row r="402" spans="1:27" ht="20.100000000000001" customHeight="1" x14ac:dyDescent="0.2">
      <c r="A402" s="26">
        <v>31</v>
      </c>
      <c r="B402" s="74" t="s">
        <v>685</v>
      </c>
      <c r="C402" s="39" t="s">
        <v>693</v>
      </c>
      <c r="D402" s="170"/>
      <c r="E402" s="170"/>
      <c r="F402" s="170">
        <f>455+123+13</f>
        <v>591</v>
      </c>
      <c r="G402" s="170"/>
      <c r="H402" s="170"/>
      <c r="I402" s="170"/>
      <c r="J402" s="170"/>
      <c r="K402" s="170"/>
      <c r="L402" s="170">
        <f>-465-126</f>
        <v>-591</v>
      </c>
      <c r="M402" s="170"/>
      <c r="N402" s="170"/>
      <c r="O402" s="170"/>
      <c r="P402" s="170"/>
      <c r="Q402" s="170"/>
      <c r="R402" s="170">
        <f t="shared" si="41"/>
        <v>0</v>
      </c>
      <c r="S402" s="170"/>
      <c r="T402" s="170"/>
      <c r="U402" s="170"/>
      <c r="V402" s="170"/>
      <c r="W402" s="170"/>
      <c r="X402" s="171">
        <f t="shared" si="39"/>
        <v>0</v>
      </c>
      <c r="Y402" s="239">
        <f t="shared" si="40"/>
        <v>0</v>
      </c>
      <c r="Z402" s="386"/>
      <c r="AA402" s="353"/>
    </row>
    <row r="403" spans="1:27" ht="20.100000000000001" customHeight="1" x14ac:dyDescent="0.2">
      <c r="A403" s="26">
        <v>32</v>
      </c>
      <c r="B403" s="74" t="s">
        <v>686</v>
      </c>
      <c r="C403" s="39" t="s">
        <v>687</v>
      </c>
      <c r="D403" s="170"/>
      <c r="E403" s="170"/>
      <c r="F403" s="170"/>
      <c r="G403" s="170"/>
      <c r="H403" s="170"/>
      <c r="I403" s="170"/>
      <c r="J403" s="170"/>
      <c r="K403" s="170"/>
      <c r="L403" s="170"/>
      <c r="M403" s="170"/>
      <c r="N403" s="170"/>
      <c r="O403" s="170"/>
      <c r="P403" s="170"/>
      <c r="Q403" s="170"/>
      <c r="R403" s="170">
        <f t="shared" si="41"/>
        <v>0</v>
      </c>
      <c r="S403" s="170"/>
      <c r="T403" s="170"/>
      <c r="U403" s="170"/>
      <c r="V403" s="170"/>
      <c r="W403" s="170"/>
      <c r="X403" s="171">
        <f t="shared" si="39"/>
        <v>0</v>
      </c>
      <c r="Y403" s="239">
        <f t="shared" si="40"/>
        <v>0</v>
      </c>
      <c r="Z403" s="386">
        <f>-643.12</f>
        <v>-643.12</v>
      </c>
      <c r="AA403" s="353"/>
    </row>
    <row r="404" spans="1:27" ht="20.100000000000001" customHeight="1" x14ac:dyDescent="0.2">
      <c r="A404" s="26">
        <v>33</v>
      </c>
      <c r="B404" s="74" t="s">
        <v>688</v>
      </c>
      <c r="C404" s="39" t="s">
        <v>689</v>
      </c>
      <c r="D404" s="170"/>
      <c r="E404" s="170"/>
      <c r="F404" s="170"/>
      <c r="G404" s="170"/>
      <c r="H404" s="170"/>
      <c r="I404" s="170"/>
      <c r="J404" s="170"/>
      <c r="K404" s="170">
        <f>939</f>
        <v>939</v>
      </c>
      <c r="L404" s="170"/>
      <c r="M404" s="170"/>
      <c r="N404" s="170"/>
      <c r="O404" s="170"/>
      <c r="P404" s="170"/>
      <c r="Q404" s="170"/>
      <c r="R404" s="170">
        <f t="shared" si="41"/>
        <v>939</v>
      </c>
      <c r="S404" s="170"/>
      <c r="T404" s="170"/>
      <c r="U404" s="170"/>
      <c r="V404" s="170"/>
      <c r="W404" s="170"/>
      <c r="X404" s="171">
        <f t="shared" si="39"/>
        <v>0</v>
      </c>
      <c r="Y404" s="239">
        <f t="shared" si="40"/>
        <v>939</v>
      </c>
      <c r="Z404" s="386"/>
      <c r="AA404" s="353"/>
    </row>
    <row r="405" spans="1:27" ht="20.100000000000001" customHeight="1" x14ac:dyDescent="0.2">
      <c r="A405" s="26">
        <v>34</v>
      </c>
      <c r="B405" s="293" t="s">
        <v>691</v>
      </c>
      <c r="C405" s="39" t="s">
        <v>690</v>
      </c>
      <c r="D405" s="170"/>
      <c r="E405" s="170"/>
      <c r="F405" s="170"/>
      <c r="G405" s="170"/>
      <c r="H405" s="170"/>
      <c r="I405" s="170"/>
      <c r="J405" s="170"/>
      <c r="K405" s="170">
        <f>8125</f>
        <v>8125</v>
      </c>
      <c r="L405" s="170"/>
      <c r="M405" s="170"/>
      <c r="N405" s="170"/>
      <c r="O405" s="170"/>
      <c r="P405" s="170"/>
      <c r="Q405" s="170"/>
      <c r="R405" s="170">
        <f t="shared" si="41"/>
        <v>8125</v>
      </c>
      <c r="S405" s="170"/>
      <c r="T405" s="170"/>
      <c r="U405" s="170"/>
      <c r="V405" s="170"/>
      <c r="W405" s="170"/>
      <c r="X405" s="171">
        <f t="shared" si="39"/>
        <v>0</v>
      </c>
      <c r="Y405" s="239">
        <f t="shared" si="40"/>
        <v>8125</v>
      </c>
      <c r="Z405" s="386"/>
      <c r="AA405" s="353"/>
    </row>
    <row r="406" spans="1:27" ht="20.100000000000001" customHeight="1" x14ac:dyDescent="0.2">
      <c r="A406" s="26">
        <v>35</v>
      </c>
      <c r="B406" s="74" t="s">
        <v>695</v>
      </c>
      <c r="C406" s="39" t="s">
        <v>696</v>
      </c>
      <c r="D406" s="170"/>
      <c r="E406" s="170"/>
      <c r="F406" s="170"/>
      <c r="G406" s="170"/>
      <c r="H406" s="170"/>
      <c r="I406" s="170"/>
      <c r="J406" s="170"/>
      <c r="K406" s="170">
        <v>1</v>
      </c>
      <c r="L406" s="170"/>
      <c r="M406" s="170"/>
      <c r="N406" s="170"/>
      <c r="O406" s="170"/>
      <c r="P406" s="170"/>
      <c r="Q406" s="170"/>
      <c r="R406" s="170">
        <f t="shared" si="41"/>
        <v>1</v>
      </c>
      <c r="S406" s="170"/>
      <c r="T406" s="170"/>
      <c r="U406" s="170"/>
      <c r="V406" s="170"/>
      <c r="W406" s="170"/>
      <c r="X406" s="171">
        <f t="shared" si="39"/>
        <v>0</v>
      </c>
      <c r="Y406" s="239">
        <f t="shared" si="40"/>
        <v>1</v>
      </c>
      <c r="Z406" s="386"/>
      <c r="AA406" s="353"/>
    </row>
    <row r="407" spans="1:27" ht="20.100000000000001" customHeight="1" x14ac:dyDescent="0.2">
      <c r="A407" s="26">
        <v>36</v>
      </c>
      <c r="B407" s="74" t="s">
        <v>697</v>
      </c>
      <c r="C407" s="39" t="s">
        <v>698</v>
      </c>
      <c r="D407" s="170"/>
      <c r="E407" s="170"/>
      <c r="F407" s="170">
        <f>5180+1399</f>
        <v>6579</v>
      </c>
      <c r="G407" s="170"/>
      <c r="H407" s="170"/>
      <c r="I407" s="170"/>
      <c r="J407" s="170"/>
      <c r="K407" s="170"/>
      <c r="L407" s="170"/>
      <c r="M407" s="170"/>
      <c r="N407" s="170"/>
      <c r="O407" s="170"/>
      <c r="P407" s="170"/>
      <c r="Q407" s="170"/>
      <c r="R407" s="170">
        <f t="shared" si="41"/>
        <v>6579</v>
      </c>
      <c r="S407" s="170"/>
      <c r="T407" s="170"/>
      <c r="U407" s="170"/>
      <c r="V407" s="170"/>
      <c r="W407" s="170"/>
      <c r="X407" s="171">
        <f t="shared" si="39"/>
        <v>0</v>
      </c>
      <c r="Y407" s="239">
        <f t="shared" si="40"/>
        <v>6579</v>
      </c>
      <c r="Z407" s="386"/>
      <c r="AA407" s="353"/>
    </row>
    <row r="408" spans="1:27" ht="20.100000000000001" customHeight="1" x14ac:dyDescent="0.2">
      <c r="A408" s="26">
        <v>37</v>
      </c>
      <c r="B408" s="293" t="s">
        <v>699</v>
      </c>
      <c r="C408" s="740" t="s">
        <v>701</v>
      </c>
      <c r="D408" s="170"/>
      <c r="E408" s="170"/>
      <c r="F408" s="170"/>
      <c r="G408" s="170"/>
      <c r="H408" s="170"/>
      <c r="I408" s="170"/>
      <c r="J408" s="170"/>
      <c r="K408" s="170">
        <f>10540</f>
        <v>10540</v>
      </c>
      <c r="L408" s="170"/>
      <c r="M408" s="170"/>
      <c r="N408" s="170"/>
      <c r="O408" s="170"/>
      <c r="P408" s="170"/>
      <c r="Q408" s="170"/>
      <c r="R408" s="170">
        <f t="shared" si="41"/>
        <v>10540</v>
      </c>
      <c r="S408" s="170"/>
      <c r="T408" s="170"/>
      <c r="U408" s="170"/>
      <c r="V408" s="170"/>
      <c r="W408" s="170"/>
      <c r="X408" s="171">
        <f t="shared" si="39"/>
        <v>0</v>
      </c>
      <c r="Y408" s="239">
        <f t="shared" si="40"/>
        <v>10540</v>
      </c>
      <c r="Z408" s="386">
        <f>-10540</f>
        <v>-10540</v>
      </c>
      <c r="AA408" s="353"/>
    </row>
    <row r="409" spans="1:27" ht="20.100000000000001" customHeight="1" x14ac:dyDescent="0.2">
      <c r="A409" s="26">
        <v>38</v>
      </c>
      <c r="B409" s="293" t="s">
        <v>703</v>
      </c>
      <c r="C409" s="39" t="s">
        <v>704</v>
      </c>
      <c r="D409" s="170">
        <f>-311+25+311</f>
        <v>25</v>
      </c>
      <c r="E409" s="170"/>
      <c r="F409" s="170">
        <f>-25</f>
        <v>-25</v>
      </c>
      <c r="G409" s="170"/>
      <c r="H409" s="170"/>
      <c r="I409" s="170"/>
      <c r="J409" s="170"/>
      <c r="K409" s="170"/>
      <c r="L409" s="170"/>
      <c r="M409" s="170"/>
      <c r="N409" s="170"/>
      <c r="O409" s="170"/>
      <c r="P409" s="170"/>
      <c r="Q409" s="170"/>
      <c r="R409" s="170">
        <f t="shared" si="41"/>
        <v>0</v>
      </c>
      <c r="S409" s="170"/>
      <c r="T409" s="170"/>
      <c r="U409" s="170"/>
      <c r="V409" s="170"/>
      <c r="W409" s="170"/>
      <c r="X409" s="171">
        <f t="shared" si="39"/>
        <v>0</v>
      </c>
      <c r="Y409" s="239">
        <f t="shared" si="40"/>
        <v>0</v>
      </c>
      <c r="Z409" s="386"/>
      <c r="AA409" s="353"/>
    </row>
    <row r="410" spans="1:27" ht="20.100000000000001" customHeight="1" x14ac:dyDescent="0.2">
      <c r="A410" s="26">
        <v>39</v>
      </c>
      <c r="B410" s="74" t="s">
        <v>705</v>
      </c>
      <c r="C410" s="39" t="s">
        <v>706</v>
      </c>
      <c r="D410" s="170"/>
      <c r="E410" s="170"/>
      <c r="F410" s="170">
        <f>12678.579+156.133</f>
        <v>12834.712</v>
      </c>
      <c r="G410" s="170"/>
      <c r="H410" s="170"/>
      <c r="I410" s="170"/>
      <c r="J410" s="170"/>
      <c r="K410" s="170"/>
      <c r="L410" s="170"/>
      <c r="M410" s="170"/>
      <c r="N410" s="170"/>
      <c r="O410" s="170"/>
      <c r="P410" s="170"/>
      <c r="Q410" s="170"/>
      <c r="R410" s="170">
        <f t="shared" si="41"/>
        <v>12834.712</v>
      </c>
      <c r="S410" s="170"/>
      <c r="T410" s="170"/>
      <c r="U410" s="170"/>
      <c r="V410" s="170"/>
      <c r="W410" s="170"/>
      <c r="X410" s="171">
        <f t="shared" si="39"/>
        <v>0</v>
      </c>
      <c r="Y410" s="239">
        <f t="shared" si="40"/>
        <v>12834.712</v>
      </c>
      <c r="Z410" s="386"/>
      <c r="AA410" s="353"/>
    </row>
    <row r="411" spans="1:27" ht="20.100000000000001" customHeight="1" x14ac:dyDescent="0.2">
      <c r="A411" s="26">
        <v>40</v>
      </c>
      <c r="B411" s="74" t="s">
        <v>711</v>
      </c>
      <c r="C411" s="740" t="s">
        <v>712</v>
      </c>
      <c r="D411" s="170"/>
      <c r="E411" s="170"/>
      <c r="F411" s="536">
        <f>-13236.533+107.08+8241.603+978.503+1219.849</f>
        <v>-2689.4980000000005</v>
      </c>
      <c r="G411" s="170"/>
      <c r="H411" s="170"/>
      <c r="I411" s="170"/>
      <c r="J411" s="170"/>
      <c r="K411" s="170"/>
      <c r="L411" s="536">
        <f>2689.498-14764.783-4753+17385.55+1288+246.535+597.698</f>
        <v>2689.4979999999991</v>
      </c>
      <c r="M411" s="170"/>
      <c r="N411" s="170"/>
      <c r="O411" s="170"/>
      <c r="P411" s="170"/>
      <c r="Q411" s="170"/>
      <c r="R411" s="170">
        <f t="shared" si="41"/>
        <v>0</v>
      </c>
      <c r="S411" s="170"/>
      <c r="T411" s="170"/>
      <c r="U411" s="170"/>
      <c r="V411" s="170"/>
      <c r="W411" s="170"/>
      <c r="X411" s="171">
        <f>SUM(T411:W411)</f>
        <v>0</v>
      </c>
      <c r="Y411" s="239">
        <f>R411+X411</f>
        <v>0</v>
      </c>
      <c r="Z411" s="386"/>
      <c r="AA411" s="353"/>
    </row>
    <row r="412" spans="1:27" ht="20.100000000000001" customHeight="1" x14ac:dyDescent="0.2">
      <c r="A412" s="26">
        <v>41</v>
      </c>
      <c r="B412" s="74" t="s">
        <v>707</v>
      </c>
      <c r="C412" s="39" t="s">
        <v>708</v>
      </c>
      <c r="D412" s="170"/>
      <c r="E412" s="170"/>
      <c r="F412" s="170">
        <f>-1176.279-10000-1387.521-5617.318-200-2090-762.471+18626.439+6496.773+476.087+34.29</f>
        <v>4399.9999999999955</v>
      </c>
      <c r="G412" s="170">
        <f>-4400</f>
        <v>-4400</v>
      </c>
      <c r="H412" s="170"/>
      <c r="I412" s="170"/>
      <c r="J412" s="170"/>
      <c r="K412" s="170"/>
      <c r="L412" s="170"/>
      <c r="M412" s="170"/>
      <c r="N412" s="170"/>
      <c r="O412" s="170"/>
      <c r="P412" s="170"/>
      <c r="Q412" s="170"/>
      <c r="R412" s="170">
        <f t="shared" si="41"/>
        <v>0</v>
      </c>
      <c r="S412" s="170"/>
      <c r="T412" s="170"/>
      <c r="U412" s="170"/>
      <c r="V412" s="170"/>
      <c r="W412" s="170"/>
      <c r="X412" s="171">
        <f t="shared" si="39"/>
        <v>0</v>
      </c>
      <c r="Y412" s="239">
        <f t="shared" si="40"/>
        <v>0</v>
      </c>
      <c r="Z412" s="386"/>
      <c r="AA412" s="353"/>
    </row>
    <row r="413" spans="1:27" ht="20.100000000000001" customHeight="1" x14ac:dyDescent="0.2">
      <c r="A413" s="26">
        <v>42</v>
      </c>
      <c r="B413" s="293" t="s">
        <v>709</v>
      </c>
      <c r="C413" s="39" t="s">
        <v>710</v>
      </c>
      <c r="D413" s="170"/>
      <c r="E413" s="170"/>
      <c r="F413" s="170">
        <f>50+973+263</f>
        <v>1286</v>
      </c>
      <c r="G413" s="170"/>
      <c r="H413" s="170"/>
      <c r="I413" s="170"/>
      <c r="J413" s="170"/>
      <c r="K413" s="170"/>
      <c r="L413" s="170">
        <f>-1012-274</f>
        <v>-1286</v>
      </c>
      <c r="M413" s="170"/>
      <c r="N413" s="170"/>
      <c r="O413" s="170"/>
      <c r="P413" s="170"/>
      <c r="Q413" s="170"/>
      <c r="R413" s="170">
        <f t="shared" si="41"/>
        <v>0</v>
      </c>
      <c r="S413" s="170"/>
      <c r="T413" s="170"/>
      <c r="U413" s="170"/>
      <c r="V413" s="170"/>
      <c r="W413" s="170"/>
      <c r="X413" s="171">
        <f t="shared" si="39"/>
        <v>0</v>
      </c>
      <c r="Y413" s="239">
        <f t="shared" si="40"/>
        <v>0</v>
      </c>
      <c r="Z413" s="386"/>
      <c r="AA413" s="353"/>
    </row>
    <row r="414" spans="1:27" ht="20.100000000000001" customHeight="1" x14ac:dyDescent="0.2">
      <c r="A414" s="26">
        <v>43</v>
      </c>
      <c r="B414" s="738" t="s">
        <v>717</v>
      </c>
      <c r="C414" s="39" t="s">
        <v>715</v>
      </c>
      <c r="D414" s="170"/>
      <c r="E414" s="170"/>
      <c r="F414" s="170"/>
      <c r="G414" s="170"/>
      <c r="H414" s="170"/>
      <c r="I414" s="170"/>
      <c r="J414" s="170"/>
      <c r="K414" s="170">
        <f>3750</f>
        <v>3750</v>
      </c>
      <c r="L414" s="170"/>
      <c r="M414" s="170"/>
      <c r="N414" s="170"/>
      <c r="O414" s="170"/>
      <c r="P414" s="170"/>
      <c r="Q414" s="170"/>
      <c r="R414" s="170">
        <f t="shared" si="41"/>
        <v>3750</v>
      </c>
      <c r="S414" s="170"/>
      <c r="T414" s="170"/>
      <c r="U414" s="170"/>
      <c r="V414" s="170"/>
      <c r="W414" s="170"/>
      <c r="X414" s="171">
        <f t="shared" si="39"/>
        <v>0</v>
      </c>
      <c r="Y414" s="239">
        <f t="shared" si="40"/>
        <v>3750</v>
      </c>
      <c r="Z414" s="386"/>
      <c r="AA414" s="353"/>
    </row>
    <row r="415" spans="1:27" ht="20.100000000000001" hidden="1" customHeight="1" x14ac:dyDescent="0.2">
      <c r="A415" s="26"/>
      <c r="B415" s="74"/>
      <c r="C415" s="39"/>
      <c r="D415" s="170"/>
      <c r="E415" s="170"/>
      <c r="F415" s="170"/>
      <c r="G415" s="170"/>
      <c r="H415" s="170"/>
      <c r="I415" s="170"/>
      <c r="J415" s="170"/>
      <c r="K415" s="170"/>
      <c r="L415" s="170"/>
      <c r="M415" s="170"/>
      <c r="N415" s="170"/>
      <c r="O415" s="170"/>
      <c r="P415" s="170"/>
      <c r="Q415" s="170"/>
      <c r="R415" s="170">
        <f t="shared" si="41"/>
        <v>0</v>
      </c>
      <c r="S415" s="170"/>
      <c r="T415" s="170"/>
      <c r="U415" s="170"/>
      <c r="V415" s="170"/>
      <c r="W415" s="170"/>
      <c r="X415" s="171">
        <f t="shared" si="39"/>
        <v>0</v>
      </c>
      <c r="Y415" s="239">
        <f t="shared" si="40"/>
        <v>0</v>
      </c>
      <c r="Z415" s="386"/>
      <c r="AA415" s="353"/>
    </row>
    <row r="416" spans="1:27" ht="20.100000000000001" hidden="1" customHeight="1" x14ac:dyDescent="0.2">
      <c r="A416" s="26"/>
      <c r="B416" s="74"/>
      <c r="C416" s="39"/>
      <c r="D416" s="170"/>
      <c r="E416" s="170"/>
      <c r="F416" s="170"/>
      <c r="G416" s="170"/>
      <c r="H416" s="170"/>
      <c r="I416" s="170"/>
      <c r="J416" s="170"/>
      <c r="K416" s="170"/>
      <c r="L416" s="170"/>
      <c r="M416" s="170"/>
      <c r="N416" s="170"/>
      <c r="O416" s="170"/>
      <c r="P416" s="170"/>
      <c r="Q416" s="170"/>
      <c r="R416" s="170">
        <f t="shared" si="41"/>
        <v>0</v>
      </c>
      <c r="S416" s="170"/>
      <c r="T416" s="170"/>
      <c r="U416" s="170"/>
      <c r="V416" s="170"/>
      <c r="W416" s="170"/>
      <c r="X416" s="171">
        <f t="shared" si="39"/>
        <v>0</v>
      </c>
      <c r="Y416" s="239">
        <f t="shared" si="40"/>
        <v>0</v>
      </c>
      <c r="Z416" s="386"/>
      <c r="AA416" s="353"/>
    </row>
    <row r="417" spans="1:27" ht="20.100000000000001" hidden="1" customHeight="1" x14ac:dyDescent="0.2">
      <c r="A417" s="26"/>
      <c r="B417" s="74"/>
      <c r="C417" s="39"/>
      <c r="D417" s="170"/>
      <c r="E417" s="170"/>
      <c r="F417" s="170"/>
      <c r="G417" s="170"/>
      <c r="H417" s="170"/>
      <c r="I417" s="170"/>
      <c r="J417" s="170"/>
      <c r="K417" s="170"/>
      <c r="L417" s="170"/>
      <c r="M417" s="170"/>
      <c r="N417" s="170"/>
      <c r="O417" s="170"/>
      <c r="P417" s="170"/>
      <c r="Q417" s="170"/>
      <c r="R417" s="170">
        <f t="shared" si="41"/>
        <v>0</v>
      </c>
      <c r="S417" s="170"/>
      <c r="T417" s="170"/>
      <c r="U417" s="170"/>
      <c r="V417" s="170"/>
      <c r="W417" s="170"/>
      <c r="X417" s="171">
        <f t="shared" si="39"/>
        <v>0</v>
      </c>
      <c r="Y417" s="239">
        <f t="shared" si="40"/>
        <v>0</v>
      </c>
      <c r="Z417" s="386"/>
      <c r="AA417" s="353"/>
    </row>
    <row r="418" spans="1:27" ht="20.100000000000001" hidden="1" customHeight="1" x14ac:dyDescent="0.2">
      <c r="A418" s="26"/>
      <c r="B418" s="74"/>
      <c r="C418" s="39"/>
      <c r="D418" s="170"/>
      <c r="E418" s="170"/>
      <c r="F418" s="170"/>
      <c r="G418" s="170"/>
      <c r="H418" s="170"/>
      <c r="I418" s="170"/>
      <c r="J418" s="170"/>
      <c r="K418" s="170"/>
      <c r="L418" s="170"/>
      <c r="M418" s="170"/>
      <c r="N418" s="170"/>
      <c r="O418" s="170"/>
      <c r="P418" s="170"/>
      <c r="Q418" s="170"/>
      <c r="R418" s="170">
        <f t="shared" si="41"/>
        <v>0</v>
      </c>
      <c r="S418" s="170"/>
      <c r="T418" s="170"/>
      <c r="U418" s="170"/>
      <c r="V418" s="170"/>
      <c r="W418" s="170"/>
      <c r="X418" s="171">
        <f t="shared" si="39"/>
        <v>0</v>
      </c>
      <c r="Y418" s="239">
        <f t="shared" si="40"/>
        <v>0</v>
      </c>
      <c r="Z418" s="386"/>
      <c r="AA418" s="353"/>
    </row>
    <row r="419" spans="1:27" ht="20.100000000000001" hidden="1" customHeight="1" x14ac:dyDescent="0.2">
      <c r="A419" s="26"/>
      <c r="B419" s="74"/>
      <c r="C419" s="39"/>
      <c r="D419" s="170"/>
      <c r="E419" s="170"/>
      <c r="F419" s="170"/>
      <c r="G419" s="170"/>
      <c r="H419" s="170"/>
      <c r="I419" s="170"/>
      <c r="J419" s="170"/>
      <c r="K419" s="170"/>
      <c r="L419" s="170"/>
      <c r="M419" s="170"/>
      <c r="N419" s="170"/>
      <c r="O419" s="170"/>
      <c r="P419" s="170"/>
      <c r="Q419" s="170"/>
      <c r="R419" s="170">
        <f t="shared" si="41"/>
        <v>0</v>
      </c>
      <c r="S419" s="170"/>
      <c r="T419" s="170"/>
      <c r="U419" s="170"/>
      <c r="V419" s="170"/>
      <c r="W419" s="170"/>
      <c r="X419" s="171">
        <f t="shared" si="39"/>
        <v>0</v>
      </c>
      <c r="Y419" s="239">
        <f t="shared" si="40"/>
        <v>0</v>
      </c>
      <c r="Z419" s="386"/>
      <c r="AA419" s="353"/>
    </row>
    <row r="420" spans="1:27" ht="20.100000000000001" hidden="1" customHeight="1" x14ac:dyDescent="0.2">
      <c r="A420" s="26"/>
      <c r="B420" s="74"/>
      <c r="C420" s="39"/>
      <c r="D420" s="170"/>
      <c r="E420" s="170"/>
      <c r="F420" s="170"/>
      <c r="G420" s="170"/>
      <c r="H420" s="170"/>
      <c r="I420" s="170"/>
      <c r="J420" s="170"/>
      <c r="K420" s="170"/>
      <c r="L420" s="170"/>
      <c r="M420" s="170"/>
      <c r="N420" s="170"/>
      <c r="O420" s="170"/>
      <c r="P420" s="170"/>
      <c r="Q420" s="170"/>
      <c r="R420" s="170">
        <f t="shared" si="41"/>
        <v>0</v>
      </c>
      <c r="S420" s="170"/>
      <c r="T420" s="170"/>
      <c r="U420" s="170"/>
      <c r="V420" s="170"/>
      <c r="W420" s="170"/>
      <c r="X420" s="171">
        <f t="shared" si="39"/>
        <v>0</v>
      </c>
      <c r="Y420" s="239">
        <f t="shared" si="40"/>
        <v>0</v>
      </c>
      <c r="Z420" s="386"/>
      <c r="AA420" s="353"/>
    </row>
    <row r="421" spans="1:27" ht="20.100000000000001" hidden="1" customHeight="1" x14ac:dyDescent="0.2">
      <c r="A421" s="26"/>
      <c r="B421" s="74"/>
      <c r="C421" s="39"/>
      <c r="D421" s="170"/>
      <c r="E421" s="170"/>
      <c r="F421" s="170"/>
      <c r="G421" s="170"/>
      <c r="H421" s="170"/>
      <c r="I421" s="170"/>
      <c r="J421" s="170"/>
      <c r="K421" s="170"/>
      <c r="L421" s="170"/>
      <c r="M421" s="170"/>
      <c r="N421" s="170"/>
      <c r="O421" s="170"/>
      <c r="P421" s="170"/>
      <c r="Q421" s="170"/>
      <c r="R421" s="170">
        <f t="shared" si="41"/>
        <v>0</v>
      </c>
      <c r="S421" s="170"/>
      <c r="T421" s="170"/>
      <c r="U421" s="170"/>
      <c r="V421" s="170"/>
      <c r="W421" s="170"/>
      <c r="X421" s="171">
        <f t="shared" si="39"/>
        <v>0</v>
      </c>
      <c r="Y421" s="239">
        <f t="shared" si="40"/>
        <v>0</v>
      </c>
      <c r="Z421" s="386"/>
      <c r="AA421" s="353"/>
    </row>
    <row r="422" spans="1:27" ht="20.100000000000001" hidden="1" customHeight="1" x14ac:dyDescent="0.2">
      <c r="A422" s="26"/>
      <c r="B422" s="74"/>
      <c r="C422" s="39"/>
      <c r="D422" s="170"/>
      <c r="E422" s="170"/>
      <c r="F422" s="170"/>
      <c r="G422" s="170"/>
      <c r="H422" s="170"/>
      <c r="I422" s="170"/>
      <c r="J422" s="170"/>
      <c r="L422" s="170"/>
      <c r="M422" s="170"/>
      <c r="N422" s="170"/>
      <c r="O422" s="170"/>
      <c r="P422" s="170"/>
      <c r="Q422" s="170"/>
      <c r="R422" s="170">
        <f t="shared" si="41"/>
        <v>0</v>
      </c>
      <c r="S422" s="170"/>
      <c r="T422" s="170"/>
      <c r="U422" s="170"/>
      <c r="V422" s="170"/>
      <c r="W422" s="170"/>
      <c r="X422" s="171">
        <f t="shared" si="39"/>
        <v>0</v>
      </c>
      <c r="Y422" s="239">
        <f t="shared" si="40"/>
        <v>0</v>
      </c>
      <c r="Z422" s="398"/>
      <c r="AA422" s="353"/>
    </row>
    <row r="423" spans="1:27" ht="20.100000000000001" hidden="1" customHeight="1" x14ac:dyDescent="0.2">
      <c r="A423" s="26"/>
      <c r="B423" s="293"/>
      <c r="C423" s="39"/>
      <c r="D423" s="170"/>
      <c r="E423" s="170"/>
      <c r="F423" s="170"/>
      <c r="G423" s="170"/>
      <c r="H423" s="170"/>
      <c r="I423" s="170"/>
      <c r="J423" s="170"/>
      <c r="L423" s="170"/>
      <c r="M423" s="170"/>
      <c r="N423" s="170"/>
      <c r="O423" s="170"/>
      <c r="P423" s="170"/>
      <c r="Q423" s="170"/>
      <c r="R423" s="170">
        <f t="shared" si="41"/>
        <v>0</v>
      </c>
      <c r="S423" s="170"/>
      <c r="T423" s="170"/>
      <c r="U423" s="170"/>
      <c r="V423" s="170"/>
      <c r="W423" s="170"/>
      <c r="X423" s="171">
        <f t="shared" si="39"/>
        <v>0</v>
      </c>
      <c r="Y423" s="239">
        <f t="shared" si="40"/>
        <v>0</v>
      </c>
      <c r="Z423" s="398"/>
      <c r="AA423" s="353"/>
    </row>
    <row r="424" spans="1:27" ht="20.100000000000001" hidden="1" customHeight="1" x14ac:dyDescent="0.2">
      <c r="A424" s="26"/>
      <c r="B424" s="74"/>
      <c r="C424" s="39"/>
      <c r="D424" s="170"/>
      <c r="E424" s="170"/>
      <c r="F424" s="170"/>
      <c r="G424" s="170"/>
      <c r="H424" s="170"/>
      <c r="I424" s="170"/>
      <c r="J424" s="170"/>
      <c r="L424" s="170"/>
      <c r="M424" s="170"/>
      <c r="N424" s="170"/>
      <c r="O424" s="170"/>
      <c r="P424" s="170"/>
      <c r="Q424" s="170"/>
      <c r="R424" s="170">
        <f t="shared" si="41"/>
        <v>0</v>
      </c>
      <c r="S424" s="170"/>
      <c r="T424" s="170"/>
      <c r="U424" s="170"/>
      <c r="V424" s="170"/>
      <c r="W424" s="170"/>
      <c r="X424" s="171">
        <f t="shared" si="39"/>
        <v>0</v>
      </c>
      <c r="Y424" s="239">
        <f t="shared" si="40"/>
        <v>0</v>
      </c>
      <c r="Z424" s="398"/>
      <c r="AA424" s="353"/>
    </row>
    <row r="425" spans="1:27" ht="20.100000000000001" hidden="1" customHeight="1" x14ac:dyDescent="0.2">
      <c r="A425" s="26"/>
      <c r="B425" s="74"/>
      <c r="C425" s="39"/>
      <c r="D425" s="170"/>
      <c r="E425" s="170"/>
      <c r="F425" s="170"/>
      <c r="G425" s="170"/>
      <c r="H425" s="170"/>
      <c r="I425" s="170"/>
      <c r="J425" s="170"/>
      <c r="K425" s="170"/>
      <c r="L425" s="170"/>
      <c r="M425" s="170"/>
      <c r="N425" s="170"/>
      <c r="O425" s="170"/>
      <c r="P425" s="170"/>
      <c r="Q425" s="170"/>
      <c r="R425" s="170">
        <f t="shared" si="41"/>
        <v>0</v>
      </c>
      <c r="S425" s="170"/>
      <c r="T425" s="170"/>
      <c r="U425" s="170"/>
      <c r="V425" s="170"/>
      <c r="W425" s="170"/>
      <c r="X425" s="171">
        <f t="shared" si="39"/>
        <v>0</v>
      </c>
      <c r="Y425" s="239">
        <f t="shared" si="40"/>
        <v>0</v>
      </c>
      <c r="Z425" s="398"/>
      <c r="AA425" s="353"/>
    </row>
    <row r="426" spans="1:27" ht="20.100000000000001" hidden="1" customHeight="1" x14ac:dyDescent="0.2">
      <c r="A426" s="26"/>
      <c r="B426" s="74"/>
      <c r="C426" s="39"/>
      <c r="D426" s="170"/>
      <c r="E426" s="170"/>
      <c r="F426" s="170"/>
      <c r="G426" s="170"/>
      <c r="H426" s="170"/>
      <c r="I426" s="170"/>
      <c r="J426" s="170"/>
      <c r="K426" s="170"/>
      <c r="L426" s="170"/>
      <c r="M426" s="170"/>
      <c r="N426" s="170"/>
      <c r="O426" s="170"/>
      <c r="P426" s="170"/>
      <c r="Q426" s="170"/>
      <c r="R426" s="170">
        <f t="shared" si="41"/>
        <v>0</v>
      </c>
      <c r="S426" s="170"/>
      <c r="T426" s="170"/>
      <c r="U426" s="170"/>
      <c r="V426" s="170"/>
      <c r="W426" s="170"/>
      <c r="X426" s="171">
        <f t="shared" si="39"/>
        <v>0</v>
      </c>
      <c r="Y426" s="239">
        <f t="shared" si="40"/>
        <v>0</v>
      </c>
      <c r="Z426" s="398"/>
      <c r="AA426" s="353"/>
    </row>
    <row r="427" spans="1:27" ht="20.100000000000001" hidden="1" customHeight="1" x14ac:dyDescent="0.2">
      <c r="A427" s="26"/>
      <c r="B427" s="74"/>
      <c r="C427" s="39"/>
      <c r="D427" s="170"/>
      <c r="E427" s="170"/>
      <c r="F427" s="170"/>
      <c r="G427" s="170"/>
      <c r="H427" s="170"/>
      <c r="I427" s="170"/>
      <c r="J427" s="170"/>
      <c r="K427" s="170"/>
      <c r="L427" s="170"/>
      <c r="M427" s="170"/>
      <c r="N427" s="170"/>
      <c r="O427" s="170"/>
      <c r="P427" s="170"/>
      <c r="Q427" s="170"/>
      <c r="R427" s="170">
        <f t="shared" si="41"/>
        <v>0</v>
      </c>
      <c r="S427" s="170"/>
      <c r="T427" s="170"/>
      <c r="U427" s="170"/>
      <c r="V427" s="170"/>
      <c r="W427" s="170"/>
      <c r="X427" s="171">
        <f t="shared" ref="X427:X451" si="47">SUM(T427:W427)</f>
        <v>0</v>
      </c>
      <c r="Y427" s="239">
        <f t="shared" ref="Y427:Y451" si="48">R427+X427</f>
        <v>0</v>
      </c>
      <c r="Z427" s="398"/>
      <c r="AA427" s="353"/>
    </row>
    <row r="428" spans="1:27" ht="20.100000000000001" hidden="1" customHeight="1" x14ac:dyDescent="0.2">
      <c r="A428" s="26"/>
      <c r="B428" s="74"/>
      <c r="C428" s="39"/>
      <c r="D428" s="170"/>
      <c r="E428" s="170"/>
      <c r="F428" s="170"/>
      <c r="G428" s="170"/>
      <c r="H428" s="170"/>
      <c r="I428" s="170"/>
      <c r="J428" s="170"/>
      <c r="K428" s="170"/>
      <c r="L428" s="170"/>
      <c r="M428" s="170"/>
      <c r="N428" s="170"/>
      <c r="O428" s="170"/>
      <c r="P428" s="170"/>
      <c r="Q428" s="170"/>
      <c r="R428" s="170">
        <f t="shared" si="41"/>
        <v>0</v>
      </c>
      <c r="S428" s="170"/>
      <c r="T428" s="170"/>
      <c r="U428" s="170"/>
      <c r="V428" s="170"/>
      <c r="W428" s="170"/>
      <c r="X428" s="171">
        <f t="shared" si="47"/>
        <v>0</v>
      </c>
      <c r="Y428" s="239">
        <f t="shared" si="48"/>
        <v>0</v>
      </c>
      <c r="Z428" s="398"/>
      <c r="AA428" s="353"/>
    </row>
    <row r="429" spans="1:27" ht="20.100000000000001" hidden="1" customHeight="1" x14ac:dyDescent="0.2">
      <c r="A429" s="26"/>
      <c r="B429" s="74"/>
      <c r="C429" s="39"/>
      <c r="D429" s="170"/>
      <c r="E429" s="170"/>
      <c r="F429" s="170"/>
      <c r="G429" s="170"/>
      <c r="H429" s="170"/>
      <c r="I429" s="170"/>
      <c r="J429" s="170"/>
      <c r="K429" s="170"/>
      <c r="L429" s="170"/>
      <c r="M429" s="170"/>
      <c r="N429" s="170"/>
      <c r="O429" s="170"/>
      <c r="P429" s="170"/>
      <c r="Q429" s="170"/>
      <c r="R429" s="170">
        <f t="shared" si="41"/>
        <v>0</v>
      </c>
      <c r="S429" s="170"/>
      <c r="T429" s="170"/>
      <c r="U429" s="170"/>
      <c r="V429" s="170"/>
      <c r="W429" s="170"/>
      <c r="X429" s="171">
        <f t="shared" si="47"/>
        <v>0</v>
      </c>
      <c r="Y429" s="239">
        <f t="shared" si="48"/>
        <v>0</v>
      </c>
      <c r="Z429" s="398"/>
      <c r="AA429" s="353"/>
    </row>
    <row r="430" spans="1:27" ht="20.100000000000001" hidden="1" customHeight="1" x14ac:dyDescent="0.2">
      <c r="A430" s="26"/>
      <c r="B430" s="74"/>
      <c r="C430" s="39"/>
      <c r="D430" s="170"/>
      <c r="E430" s="170"/>
      <c r="F430" s="170"/>
      <c r="G430" s="170"/>
      <c r="H430" s="170"/>
      <c r="I430" s="170"/>
      <c r="J430" s="170"/>
      <c r="K430" s="170"/>
      <c r="L430" s="170"/>
      <c r="M430" s="170"/>
      <c r="N430" s="170"/>
      <c r="O430" s="170"/>
      <c r="P430" s="170"/>
      <c r="Q430" s="170"/>
      <c r="R430" s="170">
        <f t="shared" si="41"/>
        <v>0</v>
      </c>
      <c r="S430" s="170"/>
      <c r="T430" s="170"/>
      <c r="U430" s="170"/>
      <c r="V430" s="170"/>
      <c r="W430" s="170"/>
      <c r="X430" s="171">
        <f t="shared" si="47"/>
        <v>0</v>
      </c>
      <c r="Y430" s="239">
        <f t="shared" si="48"/>
        <v>0</v>
      </c>
      <c r="Z430" s="398"/>
      <c r="AA430" s="353"/>
    </row>
    <row r="431" spans="1:27" ht="20.100000000000001" hidden="1" customHeight="1" x14ac:dyDescent="0.2">
      <c r="A431" s="26"/>
      <c r="B431" s="74"/>
      <c r="C431" s="39"/>
      <c r="D431" s="170"/>
      <c r="E431" s="170"/>
      <c r="F431" s="170"/>
      <c r="G431" s="170"/>
      <c r="H431" s="170"/>
      <c r="I431" s="170"/>
      <c r="J431" s="170"/>
      <c r="K431" s="170"/>
      <c r="L431" s="170"/>
      <c r="M431" s="170"/>
      <c r="N431" s="170"/>
      <c r="O431" s="170"/>
      <c r="P431" s="170"/>
      <c r="Q431" s="170"/>
      <c r="R431" s="170">
        <f t="shared" si="41"/>
        <v>0</v>
      </c>
      <c r="S431" s="170"/>
      <c r="T431" s="170"/>
      <c r="U431" s="170"/>
      <c r="V431" s="170"/>
      <c r="W431" s="170"/>
      <c r="X431" s="171">
        <f t="shared" si="47"/>
        <v>0</v>
      </c>
      <c r="Y431" s="239">
        <f t="shared" si="48"/>
        <v>0</v>
      </c>
      <c r="Z431" s="398"/>
      <c r="AA431" s="353"/>
    </row>
    <row r="432" spans="1:27" ht="20.100000000000001" hidden="1" customHeight="1" x14ac:dyDescent="0.2">
      <c r="A432" s="26"/>
      <c r="B432" s="74"/>
      <c r="C432" s="39"/>
      <c r="D432" s="170"/>
      <c r="E432" s="170"/>
      <c r="F432" s="170"/>
      <c r="G432" s="170"/>
      <c r="H432" s="170"/>
      <c r="I432" s="170"/>
      <c r="J432" s="170"/>
      <c r="K432" s="170"/>
      <c r="L432" s="170"/>
      <c r="M432" s="170"/>
      <c r="N432" s="170"/>
      <c r="O432" s="170"/>
      <c r="P432" s="170"/>
      <c r="Q432" s="170"/>
      <c r="R432" s="170">
        <f t="shared" si="41"/>
        <v>0</v>
      </c>
      <c r="S432" s="170"/>
      <c r="T432" s="170"/>
      <c r="U432" s="170"/>
      <c r="V432" s="170"/>
      <c r="W432" s="170"/>
      <c r="X432" s="171">
        <f t="shared" si="47"/>
        <v>0</v>
      </c>
      <c r="Y432" s="239">
        <f t="shared" si="48"/>
        <v>0</v>
      </c>
      <c r="Z432" s="398"/>
      <c r="AA432" s="353"/>
    </row>
    <row r="433" spans="1:27" ht="20.100000000000001" hidden="1" customHeight="1" x14ac:dyDescent="0.2">
      <c r="A433" s="26"/>
      <c r="B433" s="399"/>
      <c r="C433" s="39"/>
      <c r="D433" s="170"/>
      <c r="E433" s="170"/>
      <c r="F433" s="170"/>
      <c r="G433" s="170"/>
      <c r="H433" s="170"/>
      <c r="I433" s="170"/>
      <c r="J433" s="170"/>
      <c r="K433" s="170"/>
      <c r="L433" s="170"/>
      <c r="M433" s="170"/>
      <c r="N433" s="170"/>
      <c r="O433" s="170"/>
      <c r="P433" s="170"/>
      <c r="Q433" s="170"/>
      <c r="R433" s="170">
        <f t="shared" si="41"/>
        <v>0</v>
      </c>
      <c r="S433" s="170"/>
      <c r="T433" s="170"/>
      <c r="U433" s="170"/>
      <c r="V433" s="170"/>
      <c r="W433" s="170"/>
      <c r="X433" s="171">
        <f t="shared" si="47"/>
        <v>0</v>
      </c>
      <c r="Y433" s="239">
        <f t="shared" si="48"/>
        <v>0</v>
      </c>
      <c r="Z433" s="398"/>
      <c r="AA433" s="353"/>
    </row>
    <row r="434" spans="1:27" ht="20.100000000000001" hidden="1" customHeight="1" x14ac:dyDescent="0.2">
      <c r="A434" s="26"/>
      <c r="B434" s="399"/>
      <c r="C434" s="39"/>
      <c r="D434" s="170"/>
      <c r="E434" s="170"/>
      <c r="F434" s="170"/>
      <c r="G434" s="170"/>
      <c r="H434" s="170"/>
      <c r="I434" s="170"/>
      <c r="J434" s="170"/>
      <c r="K434" s="170"/>
      <c r="L434" s="170"/>
      <c r="M434" s="170"/>
      <c r="N434" s="170"/>
      <c r="O434" s="170"/>
      <c r="P434" s="170"/>
      <c r="Q434" s="170"/>
      <c r="R434" s="170">
        <f t="shared" ref="R434:R456" si="49">SUM(D434:Q434)</f>
        <v>0</v>
      </c>
      <c r="S434" s="170"/>
      <c r="T434" s="170"/>
      <c r="U434" s="170"/>
      <c r="V434" s="170"/>
      <c r="W434" s="170"/>
      <c r="X434" s="171">
        <f t="shared" si="47"/>
        <v>0</v>
      </c>
      <c r="Y434" s="239">
        <f t="shared" si="48"/>
        <v>0</v>
      </c>
      <c r="Z434" s="398"/>
      <c r="AA434" s="353"/>
    </row>
    <row r="435" spans="1:27" ht="20.100000000000001" hidden="1" customHeight="1" x14ac:dyDescent="0.2">
      <c r="A435" s="26"/>
      <c r="B435" s="74"/>
      <c r="C435" s="39"/>
      <c r="D435" s="170"/>
      <c r="E435" s="170"/>
      <c r="F435" s="170"/>
      <c r="G435" s="170"/>
      <c r="H435" s="170"/>
      <c r="I435" s="170"/>
      <c r="J435" s="170"/>
      <c r="K435" s="170"/>
      <c r="L435" s="170"/>
      <c r="M435" s="170"/>
      <c r="N435" s="170"/>
      <c r="O435" s="170"/>
      <c r="P435" s="170"/>
      <c r="Q435" s="170"/>
      <c r="R435" s="170">
        <f t="shared" si="49"/>
        <v>0</v>
      </c>
      <c r="S435" s="170"/>
      <c r="T435" s="170"/>
      <c r="U435" s="170"/>
      <c r="V435" s="170"/>
      <c r="W435" s="170"/>
      <c r="X435" s="171">
        <f t="shared" si="47"/>
        <v>0</v>
      </c>
      <c r="Y435" s="239">
        <f t="shared" si="48"/>
        <v>0</v>
      </c>
      <c r="Z435" s="386"/>
      <c r="AA435" s="353"/>
    </row>
    <row r="436" spans="1:27" ht="20.100000000000001" hidden="1" customHeight="1" x14ac:dyDescent="0.2">
      <c r="A436" s="26"/>
      <c r="B436" s="74"/>
      <c r="C436" s="39"/>
      <c r="D436" s="170"/>
      <c r="E436" s="170"/>
      <c r="F436" s="170"/>
      <c r="G436" s="170"/>
      <c r="H436" s="170"/>
      <c r="I436" s="170"/>
      <c r="K436" s="170"/>
      <c r="L436" s="170"/>
      <c r="M436" s="170"/>
      <c r="N436" s="170"/>
      <c r="O436" s="170"/>
      <c r="P436" s="170"/>
      <c r="Q436" s="170"/>
      <c r="R436" s="170">
        <f t="shared" si="49"/>
        <v>0</v>
      </c>
      <c r="S436" s="170"/>
      <c r="T436" s="170"/>
      <c r="U436" s="170"/>
      <c r="V436" s="170"/>
      <c r="W436" s="170"/>
      <c r="X436" s="171">
        <f t="shared" si="47"/>
        <v>0</v>
      </c>
      <c r="Y436" s="239">
        <f t="shared" si="48"/>
        <v>0</v>
      </c>
      <c r="Z436" s="386"/>
      <c r="AA436" s="353"/>
    </row>
    <row r="437" spans="1:27" ht="20.100000000000001" hidden="1" customHeight="1" x14ac:dyDescent="0.2">
      <c r="A437" s="26"/>
      <c r="B437" s="74"/>
      <c r="C437" s="39"/>
      <c r="D437" s="170"/>
      <c r="E437" s="170"/>
      <c r="F437" s="170"/>
      <c r="G437" s="170"/>
      <c r="H437" s="170"/>
      <c r="I437" s="170"/>
      <c r="J437" s="170"/>
      <c r="K437" s="170"/>
      <c r="L437" s="170"/>
      <c r="M437" s="170"/>
      <c r="N437" s="170"/>
      <c r="O437" s="170"/>
      <c r="P437" s="170"/>
      <c r="Q437" s="170"/>
      <c r="R437" s="170">
        <f t="shared" si="49"/>
        <v>0</v>
      </c>
      <c r="S437" s="170"/>
      <c r="T437" s="170"/>
      <c r="U437" s="170"/>
      <c r="V437" s="170"/>
      <c r="W437" s="170"/>
      <c r="X437" s="171">
        <f t="shared" si="47"/>
        <v>0</v>
      </c>
      <c r="Y437" s="239">
        <f t="shared" si="48"/>
        <v>0</v>
      </c>
      <c r="Z437" s="386"/>
      <c r="AA437" s="353"/>
    </row>
    <row r="438" spans="1:27" ht="20.100000000000001" hidden="1" customHeight="1" x14ac:dyDescent="0.2">
      <c r="A438" s="26"/>
      <c r="B438" s="399"/>
      <c r="C438" s="39"/>
      <c r="D438" s="170"/>
      <c r="E438" s="170"/>
      <c r="F438" s="170"/>
      <c r="G438" s="170"/>
      <c r="H438" s="170"/>
      <c r="I438" s="170"/>
      <c r="J438" s="170"/>
      <c r="K438" s="170"/>
      <c r="L438" s="170"/>
      <c r="M438" s="170"/>
      <c r="N438" s="170"/>
      <c r="O438" s="170"/>
      <c r="P438" s="170"/>
      <c r="Q438" s="170"/>
      <c r="R438" s="170">
        <f t="shared" si="49"/>
        <v>0</v>
      </c>
      <c r="S438" s="170"/>
      <c r="T438" s="170"/>
      <c r="U438" s="170"/>
      <c r="V438" s="170"/>
      <c r="W438" s="170"/>
      <c r="X438" s="171">
        <f t="shared" si="47"/>
        <v>0</v>
      </c>
      <c r="Y438" s="239">
        <f t="shared" si="48"/>
        <v>0</v>
      </c>
      <c r="Z438" s="386"/>
      <c r="AA438" s="353"/>
    </row>
    <row r="439" spans="1:27" ht="20.100000000000001" hidden="1" customHeight="1" x14ac:dyDescent="0.2">
      <c r="A439" s="26"/>
      <c r="B439" s="74"/>
      <c r="C439" s="39"/>
      <c r="D439" s="170"/>
      <c r="E439" s="170"/>
      <c r="F439" s="170"/>
      <c r="G439" s="170"/>
      <c r="H439" s="170"/>
      <c r="I439" s="170"/>
      <c r="J439" s="170"/>
      <c r="K439" s="170"/>
      <c r="L439" s="170"/>
      <c r="M439" s="170"/>
      <c r="N439" s="170"/>
      <c r="O439" s="170"/>
      <c r="P439" s="170"/>
      <c r="Q439" s="170"/>
      <c r="R439" s="170">
        <f t="shared" si="49"/>
        <v>0</v>
      </c>
      <c r="S439" s="170"/>
      <c r="T439" s="170"/>
      <c r="U439" s="170"/>
      <c r="V439" s="170"/>
      <c r="W439" s="170"/>
      <c r="X439" s="171">
        <f t="shared" si="47"/>
        <v>0</v>
      </c>
      <c r="Y439" s="239">
        <f t="shared" si="48"/>
        <v>0</v>
      </c>
      <c r="Z439" s="386"/>
      <c r="AA439" s="353"/>
    </row>
    <row r="440" spans="1:27" ht="20.100000000000001" hidden="1" customHeight="1" x14ac:dyDescent="0.2">
      <c r="A440" s="26"/>
      <c r="B440" s="74"/>
      <c r="C440" s="39"/>
      <c r="D440" s="170"/>
      <c r="E440" s="170"/>
      <c r="F440" s="170"/>
      <c r="G440" s="170"/>
      <c r="H440" s="170"/>
      <c r="I440" s="170"/>
      <c r="J440" s="170"/>
      <c r="K440" s="170"/>
      <c r="L440" s="170"/>
      <c r="M440" s="170"/>
      <c r="N440" s="170"/>
      <c r="O440" s="170"/>
      <c r="P440" s="170"/>
      <c r="Q440" s="170"/>
      <c r="R440" s="170">
        <f t="shared" si="49"/>
        <v>0</v>
      </c>
      <c r="S440" s="170"/>
      <c r="T440" s="170"/>
      <c r="U440" s="170"/>
      <c r="V440" s="170"/>
      <c r="W440" s="170"/>
      <c r="X440" s="171">
        <f t="shared" si="47"/>
        <v>0</v>
      </c>
      <c r="Y440" s="239">
        <f t="shared" si="48"/>
        <v>0</v>
      </c>
      <c r="Z440" s="386"/>
      <c r="AA440" s="353"/>
    </row>
    <row r="441" spans="1:27" ht="20.100000000000001" hidden="1" customHeight="1" x14ac:dyDescent="0.2">
      <c r="A441" s="26"/>
      <c r="B441" s="74"/>
      <c r="C441" s="39"/>
      <c r="D441" s="170"/>
      <c r="E441" s="170"/>
      <c r="F441" s="170"/>
      <c r="G441" s="170"/>
      <c r="H441" s="170"/>
      <c r="I441" s="170"/>
      <c r="J441" s="170"/>
      <c r="K441" s="170"/>
      <c r="L441" s="170"/>
      <c r="M441" s="170"/>
      <c r="N441" s="170"/>
      <c r="O441" s="170"/>
      <c r="P441" s="170"/>
      <c r="Q441" s="170"/>
      <c r="R441" s="170">
        <f t="shared" si="49"/>
        <v>0</v>
      </c>
      <c r="S441" s="170"/>
      <c r="T441" s="170"/>
      <c r="U441" s="170"/>
      <c r="V441" s="170"/>
      <c r="W441" s="170"/>
      <c r="X441" s="171">
        <f t="shared" si="47"/>
        <v>0</v>
      </c>
      <c r="Y441" s="239">
        <f t="shared" si="48"/>
        <v>0</v>
      </c>
      <c r="Z441" s="386"/>
      <c r="AA441" s="353"/>
    </row>
    <row r="442" spans="1:27" ht="20.100000000000001" hidden="1" customHeight="1" x14ac:dyDescent="0.2">
      <c r="A442" s="26"/>
      <c r="B442" s="399"/>
      <c r="C442" s="39"/>
      <c r="D442" s="170"/>
      <c r="E442" s="170"/>
      <c r="F442" s="170"/>
      <c r="G442" s="170"/>
      <c r="H442" s="170"/>
      <c r="I442" s="170"/>
      <c r="J442" s="170"/>
      <c r="K442" s="170"/>
      <c r="L442" s="170"/>
      <c r="M442" s="170"/>
      <c r="N442" s="170"/>
      <c r="O442" s="170"/>
      <c r="P442" s="170"/>
      <c r="Q442" s="170"/>
      <c r="R442" s="170">
        <f t="shared" si="49"/>
        <v>0</v>
      </c>
      <c r="S442" s="170"/>
      <c r="T442" s="170"/>
      <c r="U442" s="170"/>
      <c r="V442" s="170"/>
      <c r="W442" s="170"/>
      <c r="X442" s="171">
        <f t="shared" si="47"/>
        <v>0</v>
      </c>
      <c r="Y442" s="239">
        <f t="shared" si="48"/>
        <v>0</v>
      </c>
      <c r="Z442" s="386"/>
      <c r="AA442" s="353"/>
    </row>
    <row r="443" spans="1:27" ht="20.100000000000001" hidden="1" customHeight="1" x14ac:dyDescent="0.2">
      <c r="A443" s="26"/>
      <c r="B443" s="74"/>
      <c r="C443" s="39"/>
      <c r="D443" s="170"/>
      <c r="E443" s="170"/>
      <c r="F443" s="170"/>
      <c r="G443" s="170"/>
      <c r="H443" s="170"/>
      <c r="I443" s="170"/>
      <c r="J443" s="170"/>
      <c r="K443" s="170"/>
      <c r="L443" s="170"/>
      <c r="M443" s="170"/>
      <c r="N443" s="170"/>
      <c r="O443" s="170"/>
      <c r="P443" s="170"/>
      <c r="Q443" s="170"/>
      <c r="R443" s="170">
        <f t="shared" si="49"/>
        <v>0</v>
      </c>
      <c r="S443" s="170"/>
      <c r="T443" s="170"/>
      <c r="U443" s="170"/>
      <c r="V443" s="170"/>
      <c r="W443" s="170"/>
      <c r="X443" s="171">
        <f t="shared" si="47"/>
        <v>0</v>
      </c>
      <c r="Y443" s="239">
        <f t="shared" si="48"/>
        <v>0</v>
      </c>
      <c r="Z443" s="386"/>
      <c r="AA443" s="353"/>
    </row>
    <row r="444" spans="1:27" ht="20.100000000000001" hidden="1" customHeight="1" x14ac:dyDescent="0.2">
      <c r="A444" s="26"/>
      <c r="B444" s="74"/>
      <c r="C444" s="39"/>
      <c r="D444" s="170"/>
      <c r="E444" s="170"/>
      <c r="F444" s="170"/>
      <c r="G444" s="170"/>
      <c r="H444" s="170"/>
      <c r="I444" s="170"/>
      <c r="J444" s="170"/>
      <c r="K444" s="170"/>
      <c r="L444" s="170"/>
      <c r="M444" s="170"/>
      <c r="N444" s="170"/>
      <c r="O444" s="170"/>
      <c r="P444" s="170"/>
      <c r="Q444" s="170"/>
      <c r="R444" s="170">
        <f t="shared" si="49"/>
        <v>0</v>
      </c>
      <c r="S444" s="170"/>
      <c r="T444" s="170"/>
      <c r="U444" s="170"/>
      <c r="V444" s="170"/>
      <c r="W444" s="170"/>
      <c r="X444" s="171">
        <f t="shared" si="47"/>
        <v>0</v>
      </c>
      <c r="Y444" s="239">
        <f t="shared" si="48"/>
        <v>0</v>
      </c>
      <c r="Z444" s="386"/>
      <c r="AA444" s="353"/>
    </row>
    <row r="445" spans="1:27" ht="20.100000000000001" hidden="1" customHeight="1" x14ac:dyDescent="0.2">
      <c r="A445" s="26"/>
      <c r="B445" s="74"/>
      <c r="C445" s="39"/>
      <c r="D445" s="170"/>
      <c r="E445" s="170"/>
      <c r="F445" s="170"/>
      <c r="G445" s="170"/>
      <c r="H445" s="170"/>
      <c r="I445" s="170"/>
      <c r="J445" s="170"/>
      <c r="K445" s="170"/>
      <c r="L445" s="170"/>
      <c r="M445" s="170"/>
      <c r="N445" s="170"/>
      <c r="O445" s="170"/>
      <c r="P445" s="170"/>
      <c r="Q445" s="170"/>
      <c r="R445" s="170">
        <f t="shared" si="49"/>
        <v>0</v>
      </c>
      <c r="S445" s="170"/>
      <c r="T445" s="170"/>
      <c r="U445" s="170"/>
      <c r="V445" s="170"/>
      <c r="W445" s="170"/>
      <c r="X445" s="171">
        <f t="shared" si="47"/>
        <v>0</v>
      </c>
      <c r="Y445" s="239">
        <f t="shared" si="48"/>
        <v>0</v>
      </c>
      <c r="Z445" s="386"/>
      <c r="AA445" s="353"/>
    </row>
    <row r="446" spans="1:27" ht="20.100000000000001" hidden="1" customHeight="1" x14ac:dyDescent="0.2">
      <c r="A446" s="26"/>
      <c r="B446" s="74"/>
      <c r="C446" s="39"/>
      <c r="D446" s="170"/>
      <c r="E446" s="170"/>
      <c r="F446" s="170"/>
      <c r="G446" s="170"/>
      <c r="H446" s="170"/>
      <c r="I446" s="170"/>
      <c r="J446" s="170"/>
      <c r="K446" s="170"/>
      <c r="L446" s="170"/>
      <c r="M446" s="170"/>
      <c r="N446" s="170"/>
      <c r="O446" s="170"/>
      <c r="P446" s="170"/>
      <c r="Q446" s="170"/>
      <c r="R446" s="170">
        <f t="shared" si="49"/>
        <v>0</v>
      </c>
      <c r="S446" s="170"/>
      <c r="T446" s="170"/>
      <c r="U446" s="170"/>
      <c r="V446" s="170"/>
      <c r="W446" s="170"/>
      <c r="X446" s="171">
        <f t="shared" si="47"/>
        <v>0</v>
      </c>
      <c r="Y446" s="239">
        <f t="shared" si="48"/>
        <v>0</v>
      </c>
      <c r="Z446" s="386"/>
      <c r="AA446" s="353"/>
    </row>
    <row r="447" spans="1:27" ht="20.100000000000001" hidden="1" customHeight="1" x14ac:dyDescent="0.2">
      <c r="A447" s="26"/>
      <c r="B447" s="74"/>
      <c r="C447" s="39"/>
      <c r="D447" s="170"/>
      <c r="E447" s="170"/>
      <c r="F447" s="170"/>
      <c r="G447" s="170"/>
      <c r="H447" s="170"/>
      <c r="I447" s="170"/>
      <c r="J447" s="170"/>
      <c r="K447" s="170"/>
      <c r="L447" s="170"/>
      <c r="M447" s="170"/>
      <c r="N447" s="170"/>
      <c r="O447" s="170"/>
      <c r="P447" s="170"/>
      <c r="Q447" s="170"/>
      <c r="R447" s="170">
        <f t="shared" si="49"/>
        <v>0</v>
      </c>
      <c r="S447" s="170"/>
      <c r="T447" s="170"/>
      <c r="U447" s="170"/>
      <c r="V447" s="170"/>
      <c r="W447" s="170"/>
      <c r="X447" s="171">
        <f t="shared" si="47"/>
        <v>0</v>
      </c>
      <c r="Y447" s="239">
        <f t="shared" si="48"/>
        <v>0</v>
      </c>
      <c r="Z447" s="386"/>
      <c r="AA447" s="353"/>
    </row>
    <row r="448" spans="1:27" ht="20.100000000000001" hidden="1" customHeight="1" x14ac:dyDescent="0.2">
      <c r="A448" s="26"/>
      <c r="B448" s="74"/>
      <c r="C448" s="39"/>
      <c r="D448" s="170"/>
      <c r="E448" s="170"/>
      <c r="F448" s="170"/>
      <c r="G448" s="170"/>
      <c r="H448" s="170"/>
      <c r="I448" s="170"/>
      <c r="J448" s="170"/>
      <c r="K448" s="170"/>
      <c r="L448" s="170"/>
      <c r="M448" s="170"/>
      <c r="N448" s="170"/>
      <c r="O448" s="170"/>
      <c r="P448" s="170"/>
      <c r="Q448" s="170"/>
      <c r="R448" s="170">
        <f t="shared" si="49"/>
        <v>0</v>
      </c>
      <c r="S448" s="170"/>
      <c r="T448" s="170"/>
      <c r="U448" s="170"/>
      <c r="V448" s="170"/>
      <c r="W448" s="170"/>
      <c r="X448" s="171">
        <f t="shared" si="47"/>
        <v>0</v>
      </c>
      <c r="Y448" s="239">
        <f t="shared" si="48"/>
        <v>0</v>
      </c>
      <c r="Z448" s="386"/>
      <c r="AA448" s="353"/>
    </row>
    <row r="449" spans="1:28" ht="20.100000000000001" hidden="1" customHeight="1" x14ac:dyDescent="0.2">
      <c r="A449" s="26"/>
      <c r="B449" s="74"/>
      <c r="C449" s="39"/>
      <c r="D449" s="170"/>
      <c r="E449" s="170"/>
      <c r="F449" s="170"/>
      <c r="G449" s="170"/>
      <c r="H449" s="170"/>
      <c r="I449" s="170"/>
      <c r="J449" s="170"/>
      <c r="K449" s="170"/>
      <c r="L449" s="170"/>
      <c r="M449" s="170"/>
      <c r="N449" s="170"/>
      <c r="O449" s="170"/>
      <c r="P449" s="170"/>
      <c r="Q449" s="170"/>
      <c r="R449" s="170">
        <f t="shared" si="49"/>
        <v>0</v>
      </c>
      <c r="S449" s="170"/>
      <c r="T449" s="170"/>
      <c r="U449" s="170"/>
      <c r="V449" s="170"/>
      <c r="W449" s="170"/>
      <c r="X449" s="171">
        <f t="shared" si="47"/>
        <v>0</v>
      </c>
      <c r="Y449" s="239">
        <f t="shared" si="48"/>
        <v>0</v>
      </c>
      <c r="Z449" s="386"/>
      <c r="AA449" s="353"/>
    </row>
    <row r="450" spans="1:28" ht="20.100000000000001" customHeight="1" x14ac:dyDescent="0.2">
      <c r="A450" s="26"/>
      <c r="B450" s="293"/>
      <c r="C450" s="39"/>
      <c r="D450" s="170"/>
      <c r="E450" s="170"/>
      <c r="F450" s="170"/>
      <c r="G450" s="170"/>
      <c r="H450" s="170"/>
      <c r="I450" s="170"/>
      <c r="J450" s="170"/>
      <c r="K450" s="170"/>
      <c r="L450" s="170"/>
      <c r="M450" s="170"/>
      <c r="N450" s="170"/>
      <c r="O450" s="170"/>
      <c r="P450" s="170"/>
      <c r="Q450" s="170"/>
      <c r="R450" s="170"/>
      <c r="S450" s="170"/>
      <c r="T450" s="170"/>
      <c r="U450" s="170"/>
      <c r="V450" s="170"/>
      <c r="W450" s="170"/>
      <c r="X450" s="171"/>
      <c r="Y450" s="239"/>
      <c r="Z450" s="386"/>
      <c r="AA450" s="353"/>
    </row>
    <row r="451" spans="1:28" ht="20.100000000000001" customHeight="1" x14ac:dyDescent="0.2">
      <c r="A451" s="26"/>
      <c r="B451" s="74"/>
      <c r="C451" s="207" t="s">
        <v>68</v>
      </c>
      <c r="D451" s="170"/>
      <c r="E451" s="170"/>
      <c r="F451" s="170"/>
      <c r="G451" s="170"/>
      <c r="H451" s="170"/>
      <c r="I451" s="170"/>
      <c r="J451" s="170"/>
      <c r="K451" s="170"/>
      <c r="L451" s="170"/>
      <c r="M451" s="170"/>
      <c r="N451" s="170"/>
      <c r="O451" s="170"/>
      <c r="P451" s="170"/>
      <c r="Q451" s="170"/>
      <c r="R451" s="170">
        <f t="shared" si="49"/>
        <v>0</v>
      </c>
      <c r="S451" s="170"/>
      <c r="T451" s="170"/>
      <c r="U451" s="170"/>
      <c r="V451" s="170"/>
      <c r="W451" s="170"/>
      <c r="X451" s="171">
        <f t="shared" si="47"/>
        <v>0</v>
      </c>
      <c r="Y451" s="239">
        <f t="shared" si="48"/>
        <v>0</v>
      </c>
      <c r="Z451" s="386">
        <v>-0.5</v>
      </c>
      <c r="AA451" s="353"/>
    </row>
    <row r="452" spans="1:28" ht="20.100000000000001" hidden="1" customHeight="1" x14ac:dyDescent="0.2">
      <c r="A452" s="26"/>
      <c r="B452" s="74"/>
      <c r="C452" s="207"/>
      <c r="D452" s="170"/>
      <c r="E452" s="170"/>
      <c r="F452" s="170"/>
      <c r="G452" s="170"/>
      <c r="H452" s="170"/>
      <c r="I452" s="170"/>
      <c r="J452" s="170"/>
      <c r="K452" s="170"/>
      <c r="L452" s="170"/>
      <c r="M452" s="170"/>
      <c r="N452" s="170"/>
      <c r="O452" s="170"/>
      <c r="P452" s="170"/>
      <c r="Q452" s="170"/>
      <c r="R452" s="170"/>
      <c r="S452" s="170"/>
      <c r="T452" s="170"/>
      <c r="U452" s="170"/>
      <c r="V452" s="170"/>
      <c r="W452" s="170"/>
      <c r="X452" s="171"/>
      <c r="Y452" s="239"/>
      <c r="Z452" s="386"/>
      <c r="AA452" s="353"/>
    </row>
    <row r="453" spans="1:28" ht="15" customHeight="1" thickBot="1" x14ac:dyDescent="0.25">
      <c r="A453" s="26"/>
      <c r="B453" s="74"/>
      <c r="C453" s="39"/>
      <c r="D453" s="170"/>
      <c r="E453" s="170"/>
      <c r="F453" s="170"/>
      <c r="G453" s="170"/>
      <c r="H453" s="170"/>
      <c r="I453" s="170"/>
      <c r="J453" s="170"/>
      <c r="K453" s="170"/>
      <c r="L453" s="170"/>
      <c r="M453" s="170"/>
      <c r="N453" s="170"/>
      <c r="O453" s="170"/>
      <c r="P453" s="170"/>
      <c r="Q453" s="170"/>
      <c r="R453" s="170"/>
      <c r="S453" s="170"/>
      <c r="T453" s="170"/>
      <c r="U453" s="170"/>
      <c r="V453" s="170"/>
      <c r="W453" s="170"/>
      <c r="X453" s="171"/>
      <c r="Y453" s="239"/>
      <c r="Z453" s="386"/>
      <c r="AA453" s="353"/>
    </row>
    <row r="454" spans="1:28" ht="24.75" customHeight="1" thickTop="1" thickBot="1" x14ac:dyDescent="0.25">
      <c r="A454" s="47"/>
      <c r="B454" s="264" t="s">
        <v>193</v>
      </c>
      <c r="C454" s="44" t="s">
        <v>31</v>
      </c>
      <c r="D454" s="183">
        <f t="shared" ref="D454:Q454" si="50">SUM(D372:D453)</f>
        <v>-1354.4</v>
      </c>
      <c r="E454" s="183">
        <f t="shared" si="50"/>
        <v>-372.43799999999999</v>
      </c>
      <c r="F454" s="183">
        <f t="shared" si="50"/>
        <v>28862.372999999996</v>
      </c>
      <c r="G454" s="183">
        <f t="shared" si="50"/>
        <v>-28400</v>
      </c>
      <c r="H454" s="183">
        <f t="shared" si="50"/>
        <v>5252</v>
      </c>
      <c r="I454" s="183">
        <f t="shared" si="50"/>
        <v>0</v>
      </c>
      <c r="J454" s="183">
        <f t="shared" si="50"/>
        <v>-3202</v>
      </c>
      <c r="K454" s="183">
        <f t="shared" si="50"/>
        <v>-146602.91500000001</v>
      </c>
      <c r="L454" s="183">
        <f t="shared" si="50"/>
        <v>-1851.5020000000009</v>
      </c>
      <c r="M454" s="183">
        <f t="shared" si="50"/>
        <v>3300</v>
      </c>
      <c r="N454" s="183">
        <f t="shared" si="50"/>
        <v>0</v>
      </c>
      <c r="O454" s="183">
        <f t="shared" si="50"/>
        <v>0</v>
      </c>
      <c r="P454" s="183">
        <f t="shared" si="50"/>
        <v>0</v>
      </c>
      <c r="Q454" s="183">
        <f t="shared" si="50"/>
        <v>150909</v>
      </c>
      <c r="R454" s="183">
        <f t="shared" si="49"/>
        <v>6540.1179999999877</v>
      </c>
      <c r="S454" s="183"/>
      <c r="T454" s="183">
        <f>SUM(T372:T453)</f>
        <v>0</v>
      </c>
      <c r="U454" s="183">
        <f>SUM(U372:U453)</f>
        <v>0</v>
      </c>
      <c r="V454" s="183">
        <f>SUM(V372:V453)</f>
        <v>0</v>
      </c>
      <c r="W454" s="183">
        <f>SUM(W372:W453)</f>
        <v>0</v>
      </c>
      <c r="X454" s="473">
        <f>SUM(T454:W454)</f>
        <v>0</v>
      </c>
      <c r="Y454" s="373">
        <f>R454+X454</f>
        <v>6540.1179999999877</v>
      </c>
      <c r="Z454" s="184">
        <f>SUM(Z372:Z453)</f>
        <v>23326.311999999998</v>
      </c>
      <c r="AA454" s="356"/>
    </row>
    <row r="455" spans="1:28" ht="27.75" customHeight="1" thickTop="1" thickBot="1" x14ac:dyDescent="0.25">
      <c r="A455" s="47"/>
      <c r="B455" s="43" t="s">
        <v>192</v>
      </c>
      <c r="C455" s="44" t="s">
        <v>158</v>
      </c>
      <c r="D455" s="554">
        <f t="shared" ref="D455:Q455" si="51">D370+D454</f>
        <v>103295.52</v>
      </c>
      <c r="E455" s="554">
        <f t="shared" si="51"/>
        <v>28526.691000000003</v>
      </c>
      <c r="F455" s="554">
        <f t="shared" si="51"/>
        <v>4807722.5489999996</v>
      </c>
      <c r="G455" s="554">
        <f t="shared" si="51"/>
        <v>209326.19499999998</v>
      </c>
      <c r="H455" s="554">
        <f t="shared" si="51"/>
        <v>13844</v>
      </c>
      <c r="I455" s="554">
        <f t="shared" si="51"/>
        <v>58458</v>
      </c>
      <c r="J455" s="554">
        <f t="shared" si="51"/>
        <v>643584</v>
      </c>
      <c r="K455" s="554">
        <f t="shared" si="51"/>
        <v>1694861.9450000001</v>
      </c>
      <c r="L455" s="554">
        <f t="shared" si="51"/>
        <v>3852634.7390000001</v>
      </c>
      <c r="M455" s="554">
        <f t="shared" si="51"/>
        <v>66595</v>
      </c>
      <c r="N455" s="554">
        <f t="shared" si="51"/>
        <v>69837</v>
      </c>
      <c r="O455" s="554">
        <f t="shared" si="51"/>
        <v>13183</v>
      </c>
      <c r="P455" s="554">
        <f t="shared" si="51"/>
        <v>0</v>
      </c>
      <c r="Q455" s="554">
        <f t="shared" si="51"/>
        <v>707619</v>
      </c>
      <c r="R455" s="554">
        <f t="shared" si="49"/>
        <v>12269487.639</v>
      </c>
      <c r="S455" s="172"/>
      <c r="T455" s="554">
        <f>T370+T454</f>
        <v>0</v>
      </c>
      <c r="U455" s="554">
        <f>U370+U454</f>
        <v>6650000</v>
      </c>
      <c r="V455" s="554">
        <f>V370+V454</f>
        <v>54061.391000000003</v>
      </c>
      <c r="W455" s="554">
        <f>W370+W454</f>
        <v>0</v>
      </c>
      <c r="X455" s="555">
        <f>SUM(T455:W455)</f>
        <v>6704061.3909999998</v>
      </c>
      <c r="Y455" s="555">
        <f>R455+X455</f>
        <v>18973549.030000001</v>
      </c>
      <c r="Z455" s="556">
        <f>Z370+Z454</f>
        <v>6484864.2960000001</v>
      </c>
      <c r="AA455" s="356"/>
      <c r="AB455" s="85"/>
    </row>
    <row r="456" spans="1:28" ht="24.95" hidden="1" customHeight="1" thickTop="1" x14ac:dyDescent="0.2">
      <c r="A456" s="586"/>
      <c r="B456" s="188" t="s">
        <v>194</v>
      </c>
      <c r="C456" s="563" t="s">
        <v>18</v>
      </c>
      <c r="D456" s="564">
        <f t="shared" ref="D456:Q456" si="52">D455</f>
        <v>103295.52</v>
      </c>
      <c r="E456" s="564">
        <f t="shared" si="52"/>
        <v>28526.691000000003</v>
      </c>
      <c r="F456" s="564">
        <f t="shared" si="52"/>
        <v>4807722.5489999996</v>
      </c>
      <c r="G456" s="564">
        <f t="shared" si="52"/>
        <v>209326.19499999998</v>
      </c>
      <c r="H456" s="564">
        <f t="shared" si="52"/>
        <v>13844</v>
      </c>
      <c r="I456" s="564">
        <f t="shared" si="52"/>
        <v>58458</v>
      </c>
      <c r="J456" s="564">
        <f t="shared" si="52"/>
        <v>643584</v>
      </c>
      <c r="K456" s="564">
        <f t="shared" si="52"/>
        <v>1694861.9450000001</v>
      </c>
      <c r="L456" s="564">
        <f t="shared" si="52"/>
        <v>3852634.7390000001</v>
      </c>
      <c r="M456" s="564">
        <f t="shared" si="52"/>
        <v>66595</v>
      </c>
      <c r="N456" s="564">
        <f t="shared" si="52"/>
        <v>69837</v>
      </c>
      <c r="O456" s="564">
        <f t="shared" si="52"/>
        <v>13183</v>
      </c>
      <c r="P456" s="564">
        <f t="shared" si="52"/>
        <v>0</v>
      </c>
      <c r="Q456" s="564">
        <f t="shared" si="52"/>
        <v>707619</v>
      </c>
      <c r="R456" s="564">
        <f t="shared" si="49"/>
        <v>12269487.639</v>
      </c>
      <c r="S456" s="564"/>
      <c r="T456" s="564">
        <f>T455</f>
        <v>0</v>
      </c>
      <c r="U456" s="564">
        <f>U455</f>
        <v>6650000</v>
      </c>
      <c r="V456" s="564">
        <f>V455</f>
        <v>54061.391000000003</v>
      </c>
      <c r="W456" s="564">
        <f>W455</f>
        <v>0</v>
      </c>
      <c r="X456" s="565">
        <f>SUM(T456:W456)</f>
        <v>6704061.3909999998</v>
      </c>
      <c r="Y456" s="566">
        <f>R456+X456</f>
        <v>18973549.030000001</v>
      </c>
      <c r="Z456" s="567">
        <f>Z455</f>
        <v>6484864.2960000001</v>
      </c>
    </row>
    <row r="457" spans="1:28" ht="20.100000000000001" hidden="1" customHeight="1" x14ac:dyDescent="0.2">
      <c r="A457" s="26">
        <v>1</v>
      </c>
      <c r="B457" s="74"/>
      <c r="C457" s="39"/>
      <c r="D457" s="170"/>
      <c r="E457" s="170"/>
      <c r="F457" s="170"/>
      <c r="G457" s="170"/>
      <c r="H457" s="170"/>
      <c r="I457" s="170"/>
      <c r="J457" s="170"/>
      <c r="K457" s="170"/>
      <c r="L457" s="170"/>
      <c r="M457" s="170"/>
      <c r="N457" s="170"/>
      <c r="O457" s="170"/>
      <c r="P457" s="170"/>
      <c r="Q457" s="170"/>
      <c r="R457" s="170">
        <f t="shared" ref="R457:R463" si="53">SUM(D457:Q457)</f>
        <v>0</v>
      </c>
      <c r="S457" s="170"/>
      <c r="T457" s="170"/>
      <c r="U457" s="170"/>
      <c r="V457" s="170"/>
      <c r="W457" s="170"/>
      <c r="X457" s="171">
        <f t="shared" ref="X457:X463" si="54">SUM(T457:W457)</f>
        <v>0</v>
      </c>
      <c r="Y457" s="239">
        <f t="shared" ref="Y457:Y463" si="55">R457+X457</f>
        <v>0</v>
      </c>
      <c r="Z457" s="386"/>
    </row>
    <row r="458" spans="1:28" ht="20.100000000000001" hidden="1" customHeight="1" x14ac:dyDescent="0.2">
      <c r="A458" s="26">
        <v>2</v>
      </c>
      <c r="B458" s="74"/>
      <c r="C458" s="39"/>
      <c r="D458" s="170"/>
      <c r="E458" s="170"/>
      <c r="F458" s="170"/>
      <c r="G458" s="170"/>
      <c r="H458" s="170"/>
      <c r="I458" s="170"/>
      <c r="J458" s="170"/>
      <c r="K458" s="170"/>
      <c r="L458" s="170"/>
      <c r="M458" s="170"/>
      <c r="N458" s="170"/>
      <c r="O458" s="170"/>
      <c r="P458" s="170"/>
      <c r="Q458" s="170"/>
      <c r="R458" s="170">
        <f t="shared" si="53"/>
        <v>0</v>
      </c>
      <c r="S458" s="170"/>
      <c r="T458" s="170"/>
      <c r="U458" s="170"/>
      <c r="V458" s="170"/>
      <c r="W458" s="170"/>
      <c r="X458" s="171">
        <f t="shared" si="54"/>
        <v>0</v>
      </c>
      <c r="Y458" s="239">
        <f t="shared" si="55"/>
        <v>0</v>
      </c>
      <c r="Z458" s="386"/>
    </row>
    <row r="459" spans="1:28" ht="20.100000000000001" hidden="1" customHeight="1" x14ac:dyDescent="0.2">
      <c r="A459" s="26">
        <v>3</v>
      </c>
      <c r="B459" s="74"/>
      <c r="C459" s="39"/>
      <c r="D459" s="170"/>
      <c r="E459" s="170"/>
      <c r="F459" s="170"/>
      <c r="G459" s="170"/>
      <c r="H459" s="170"/>
      <c r="I459" s="170"/>
      <c r="J459" s="170"/>
      <c r="K459" s="170"/>
      <c r="L459" s="170"/>
      <c r="M459" s="170"/>
      <c r="N459" s="170"/>
      <c r="O459" s="170"/>
      <c r="P459" s="170"/>
      <c r="Q459" s="170"/>
      <c r="R459" s="170">
        <f t="shared" si="53"/>
        <v>0</v>
      </c>
      <c r="S459" s="170"/>
      <c r="T459" s="170"/>
      <c r="U459" s="170"/>
      <c r="V459" s="170"/>
      <c r="W459" s="170"/>
      <c r="X459" s="171">
        <f t="shared" si="54"/>
        <v>0</v>
      </c>
      <c r="Y459" s="239">
        <f t="shared" si="55"/>
        <v>0</v>
      </c>
      <c r="Z459" s="386"/>
    </row>
    <row r="460" spans="1:28" ht="20.100000000000001" hidden="1" customHeight="1" x14ac:dyDescent="0.2">
      <c r="A460" s="26">
        <v>4</v>
      </c>
      <c r="B460" s="74"/>
      <c r="C460" s="39"/>
      <c r="D460" s="170"/>
      <c r="E460" s="170"/>
      <c r="F460" s="170"/>
      <c r="G460" s="170"/>
      <c r="H460" s="170"/>
      <c r="I460" s="170"/>
      <c r="J460" s="170"/>
      <c r="K460" s="170"/>
      <c r="L460" s="170"/>
      <c r="M460" s="170"/>
      <c r="N460" s="170"/>
      <c r="O460" s="170"/>
      <c r="P460" s="170"/>
      <c r="Q460" s="170"/>
      <c r="R460" s="170">
        <f t="shared" si="53"/>
        <v>0</v>
      </c>
      <c r="S460" s="170"/>
      <c r="T460" s="170"/>
      <c r="U460" s="170"/>
      <c r="V460" s="170"/>
      <c r="W460" s="170"/>
      <c r="X460" s="171">
        <f t="shared" si="54"/>
        <v>0</v>
      </c>
      <c r="Y460" s="239">
        <f t="shared" si="55"/>
        <v>0</v>
      </c>
      <c r="Z460" s="386"/>
    </row>
    <row r="461" spans="1:28" ht="20.100000000000001" hidden="1" customHeight="1" x14ac:dyDescent="0.2">
      <c r="A461" s="26">
        <v>5</v>
      </c>
      <c r="B461" s="74"/>
      <c r="C461" s="39"/>
      <c r="D461" s="170"/>
      <c r="E461" s="170"/>
      <c r="F461" s="170"/>
      <c r="G461" s="170"/>
      <c r="H461" s="170"/>
      <c r="I461" s="170"/>
      <c r="J461" s="170"/>
      <c r="K461" s="170"/>
      <c r="L461" s="170"/>
      <c r="M461" s="170"/>
      <c r="N461" s="170"/>
      <c r="O461" s="170"/>
      <c r="P461" s="170"/>
      <c r="Q461" s="170"/>
      <c r="R461" s="170">
        <f t="shared" si="53"/>
        <v>0</v>
      </c>
      <c r="S461" s="170"/>
      <c r="T461" s="170"/>
      <c r="U461" s="170"/>
      <c r="V461" s="170"/>
      <c r="W461" s="170"/>
      <c r="X461" s="171">
        <f t="shared" si="54"/>
        <v>0</v>
      </c>
      <c r="Y461" s="239">
        <f t="shared" si="55"/>
        <v>0</v>
      </c>
      <c r="Z461" s="386"/>
    </row>
    <row r="462" spans="1:28" ht="20.100000000000001" hidden="1" customHeight="1" x14ac:dyDescent="0.2">
      <c r="A462" s="26">
        <v>6</v>
      </c>
      <c r="B462" s="74"/>
      <c r="C462" s="39"/>
      <c r="D462" s="170"/>
      <c r="E462" s="170"/>
      <c r="F462" s="170"/>
      <c r="G462" s="170"/>
      <c r="H462" s="170"/>
      <c r="I462" s="170"/>
      <c r="J462" s="170"/>
      <c r="K462" s="170"/>
      <c r="L462" s="170"/>
      <c r="M462" s="170"/>
      <c r="N462" s="170"/>
      <c r="O462" s="170"/>
      <c r="P462" s="170"/>
      <c r="Q462" s="170"/>
      <c r="R462" s="170">
        <f t="shared" si="53"/>
        <v>0</v>
      </c>
      <c r="S462" s="170"/>
      <c r="T462" s="170"/>
      <c r="U462" s="170"/>
      <c r="V462" s="170"/>
      <c r="W462" s="170"/>
      <c r="X462" s="171">
        <f t="shared" si="54"/>
        <v>0</v>
      </c>
      <c r="Y462" s="239">
        <f t="shared" si="55"/>
        <v>0</v>
      </c>
      <c r="Z462" s="386"/>
    </row>
    <row r="463" spans="1:28" ht="20.100000000000001" hidden="1" customHeight="1" x14ac:dyDescent="0.2">
      <c r="A463" s="26">
        <v>7</v>
      </c>
      <c r="B463" s="74"/>
      <c r="C463" s="39"/>
      <c r="D463" s="170"/>
      <c r="E463" s="170"/>
      <c r="F463" s="170"/>
      <c r="G463" s="170"/>
      <c r="H463" s="170"/>
      <c r="I463" s="170"/>
      <c r="J463" s="170"/>
      <c r="K463" s="170"/>
      <c r="L463" s="170"/>
      <c r="M463" s="170"/>
      <c r="N463" s="170"/>
      <c r="O463" s="170"/>
      <c r="P463" s="170"/>
      <c r="Q463" s="170"/>
      <c r="R463" s="170">
        <f t="shared" si="53"/>
        <v>0</v>
      </c>
      <c r="S463" s="170"/>
      <c r="T463" s="170"/>
      <c r="U463" s="170"/>
      <c r="V463" s="170"/>
      <c r="W463" s="170"/>
      <c r="X463" s="171">
        <f t="shared" si="54"/>
        <v>0</v>
      </c>
      <c r="Y463" s="239">
        <f t="shared" si="55"/>
        <v>0</v>
      </c>
      <c r="Z463" s="386"/>
    </row>
    <row r="464" spans="1:28" ht="20.100000000000001" hidden="1" customHeight="1" x14ac:dyDescent="0.2">
      <c r="A464" s="26">
        <v>8</v>
      </c>
      <c r="B464" s="74"/>
      <c r="C464" s="39"/>
      <c r="D464" s="170"/>
      <c r="E464" s="170"/>
      <c r="F464" s="170"/>
      <c r="G464" s="170"/>
      <c r="H464" s="170"/>
      <c r="I464" s="170"/>
      <c r="J464" s="170"/>
      <c r="K464" s="170"/>
      <c r="L464" s="170"/>
      <c r="M464" s="170"/>
      <c r="N464" s="170"/>
      <c r="O464" s="170"/>
      <c r="P464" s="170"/>
      <c r="Q464" s="170"/>
      <c r="R464" s="170">
        <f t="shared" ref="R464:R511" si="56">SUM(D464:Q464)</f>
        <v>0</v>
      </c>
      <c r="S464" s="170"/>
      <c r="T464" s="170"/>
      <c r="U464" s="170"/>
      <c r="V464" s="170"/>
      <c r="W464" s="170"/>
      <c r="X464" s="171">
        <f t="shared" ref="X464:X511" si="57">SUM(T464:W464)</f>
        <v>0</v>
      </c>
      <c r="Y464" s="239">
        <f t="shared" ref="Y464:Y511" si="58">R464+X464</f>
        <v>0</v>
      </c>
      <c r="Z464" s="386"/>
    </row>
    <row r="465" spans="1:26" ht="20.100000000000001" hidden="1" customHeight="1" x14ac:dyDescent="0.2">
      <c r="A465" s="26">
        <v>9</v>
      </c>
      <c r="B465" s="74"/>
      <c r="C465" s="39"/>
      <c r="D465" s="170"/>
      <c r="E465" s="170"/>
      <c r="F465" s="170"/>
      <c r="G465" s="170"/>
      <c r="H465" s="170"/>
      <c r="I465" s="170"/>
      <c r="J465" s="170"/>
      <c r="K465" s="170"/>
      <c r="L465" s="170"/>
      <c r="M465" s="170"/>
      <c r="N465" s="170"/>
      <c r="O465" s="170"/>
      <c r="P465" s="170"/>
      <c r="Q465" s="170"/>
      <c r="R465" s="170">
        <f t="shared" si="56"/>
        <v>0</v>
      </c>
      <c r="S465" s="170"/>
      <c r="T465" s="170"/>
      <c r="U465" s="170"/>
      <c r="V465" s="170"/>
      <c r="W465" s="170"/>
      <c r="X465" s="171">
        <f t="shared" si="57"/>
        <v>0</v>
      </c>
      <c r="Y465" s="239">
        <f t="shared" si="58"/>
        <v>0</v>
      </c>
      <c r="Z465" s="386"/>
    </row>
    <row r="466" spans="1:26" ht="20.100000000000001" hidden="1" customHeight="1" x14ac:dyDescent="0.2">
      <c r="A466" s="26">
        <v>10</v>
      </c>
      <c r="B466" s="74"/>
      <c r="C466" s="39"/>
      <c r="D466" s="170"/>
      <c r="E466" s="170"/>
      <c r="F466" s="170"/>
      <c r="G466" s="170"/>
      <c r="H466" s="170"/>
      <c r="I466" s="170"/>
      <c r="J466" s="170"/>
      <c r="K466" s="170"/>
      <c r="L466" s="170"/>
      <c r="M466" s="170"/>
      <c r="N466" s="170"/>
      <c r="O466" s="170"/>
      <c r="P466" s="170"/>
      <c r="Q466" s="170"/>
      <c r="R466" s="170">
        <f t="shared" si="56"/>
        <v>0</v>
      </c>
      <c r="S466" s="170"/>
      <c r="T466" s="170"/>
      <c r="U466" s="170"/>
      <c r="V466" s="170"/>
      <c r="W466" s="170"/>
      <c r="X466" s="171">
        <f t="shared" si="57"/>
        <v>0</v>
      </c>
      <c r="Y466" s="239">
        <f t="shared" si="58"/>
        <v>0</v>
      </c>
      <c r="Z466" s="386"/>
    </row>
    <row r="467" spans="1:26" ht="20.100000000000001" hidden="1" customHeight="1" x14ac:dyDescent="0.2">
      <c r="A467" s="26">
        <v>11</v>
      </c>
      <c r="B467" s="74"/>
      <c r="C467" s="39"/>
      <c r="D467" s="170"/>
      <c r="E467" s="170"/>
      <c r="F467" s="170"/>
      <c r="G467" s="170"/>
      <c r="H467" s="170"/>
      <c r="I467" s="170"/>
      <c r="J467" s="170"/>
      <c r="K467" s="170"/>
      <c r="L467" s="170"/>
      <c r="M467" s="170"/>
      <c r="N467" s="170"/>
      <c r="O467" s="170"/>
      <c r="P467" s="170"/>
      <c r="Q467" s="170"/>
      <c r="R467" s="170">
        <f t="shared" si="56"/>
        <v>0</v>
      </c>
      <c r="S467" s="170"/>
      <c r="T467" s="170"/>
      <c r="U467" s="170"/>
      <c r="V467" s="170"/>
      <c r="W467" s="170"/>
      <c r="X467" s="171">
        <f t="shared" si="57"/>
        <v>0</v>
      </c>
      <c r="Y467" s="239">
        <f t="shared" si="58"/>
        <v>0</v>
      </c>
      <c r="Z467" s="386"/>
    </row>
    <row r="468" spans="1:26" ht="20.100000000000001" hidden="1" customHeight="1" x14ac:dyDescent="0.2">
      <c r="A468" s="26">
        <v>12</v>
      </c>
      <c r="B468" s="293"/>
      <c r="C468" s="39"/>
      <c r="D468" s="170"/>
      <c r="E468" s="170"/>
      <c r="F468" s="170"/>
      <c r="G468" s="170"/>
      <c r="H468" s="170"/>
      <c r="I468" s="170"/>
      <c r="J468" s="170"/>
      <c r="K468" s="170"/>
      <c r="L468" s="170"/>
      <c r="M468" s="170"/>
      <c r="N468" s="170"/>
      <c r="O468" s="170"/>
      <c r="P468" s="170"/>
      <c r="Q468" s="170"/>
      <c r="R468" s="170">
        <f t="shared" si="56"/>
        <v>0</v>
      </c>
      <c r="S468" s="170"/>
      <c r="T468" s="170"/>
      <c r="U468" s="170"/>
      <c r="V468" s="170"/>
      <c r="W468" s="170"/>
      <c r="X468" s="171">
        <f t="shared" si="57"/>
        <v>0</v>
      </c>
      <c r="Y468" s="239">
        <f t="shared" si="58"/>
        <v>0</v>
      </c>
      <c r="Z468" s="386"/>
    </row>
    <row r="469" spans="1:26" ht="20.100000000000001" hidden="1" customHeight="1" x14ac:dyDescent="0.2">
      <c r="A469" s="26">
        <v>13</v>
      </c>
      <c r="B469" s="74"/>
      <c r="C469" s="39"/>
      <c r="D469" s="170"/>
      <c r="E469" s="170"/>
      <c r="F469" s="170"/>
      <c r="G469" s="170"/>
      <c r="H469" s="170"/>
      <c r="I469" s="170"/>
      <c r="J469" s="170"/>
      <c r="K469" s="170"/>
      <c r="L469" s="170"/>
      <c r="M469" s="170"/>
      <c r="N469" s="170"/>
      <c r="O469" s="170"/>
      <c r="P469" s="170"/>
      <c r="Q469" s="170"/>
      <c r="R469" s="170">
        <f t="shared" si="56"/>
        <v>0</v>
      </c>
      <c r="S469" s="170"/>
      <c r="T469" s="170"/>
      <c r="U469" s="170"/>
      <c r="V469" s="170"/>
      <c r="W469" s="170"/>
      <c r="X469" s="171">
        <f t="shared" si="57"/>
        <v>0</v>
      </c>
      <c r="Y469" s="239">
        <f t="shared" si="58"/>
        <v>0</v>
      </c>
      <c r="Z469" s="386"/>
    </row>
    <row r="470" spans="1:26" ht="20.100000000000001" hidden="1" customHeight="1" x14ac:dyDescent="0.2">
      <c r="A470" s="26">
        <v>14</v>
      </c>
      <c r="B470" s="74"/>
      <c r="C470" s="39"/>
      <c r="D470" s="170"/>
      <c r="E470" s="170"/>
      <c r="F470" s="170"/>
      <c r="G470" s="170"/>
      <c r="H470" s="170"/>
      <c r="I470" s="170"/>
      <c r="J470" s="170"/>
      <c r="K470" s="170"/>
      <c r="L470" s="170"/>
      <c r="M470" s="170"/>
      <c r="N470" s="170"/>
      <c r="O470" s="170"/>
      <c r="P470" s="170"/>
      <c r="Q470" s="170"/>
      <c r="R470" s="170">
        <f t="shared" si="56"/>
        <v>0</v>
      </c>
      <c r="S470" s="170"/>
      <c r="T470" s="170"/>
      <c r="U470" s="170"/>
      <c r="V470" s="170"/>
      <c r="W470" s="170"/>
      <c r="X470" s="171">
        <f t="shared" si="57"/>
        <v>0</v>
      </c>
      <c r="Y470" s="239">
        <f t="shared" si="58"/>
        <v>0</v>
      </c>
      <c r="Z470" s="386"/>
    </row>
    <row r="471" spans="1:26" ht="20.100000000000001" hidden="1" customHeight="1" x14ac:dyDescent="0.2">
      <c r="A471" s="26">
        <v>15</v>
      </c>
      <c r="B471" s="74"/>
      <c r="C471" s="39"/>
      <c r="D471" s="170"/>
      <c r="E471" s="170"/>
      <c r="F471" s="170"/>
      <c r="G471" s="170"/>
      <c r="H471" s="170"/>
      <c r="I471" s="170"/>
      <c r="J471" s="170"/>
      <c r="K471" s="170"/>
      <c r="L471" s="170"/>
      <c r="M471" s="170"/>
      <c r="N471" s="170"/>
      <c r="O471" s="170"/>
      <c r="P471" s="170"/>
      <c r="Q471" s="170"/>
      <c r="R471" s="170">
        <f t="shared" si="56"/>
        <v>0</v>
      </c>
      <c r="S471" s="170"/>
      <c r="T471" s="170"/>
      <c r="U471" s="170"/>
      <c r="V471" s="170"/>
      <c r="W471" s="170"/>
      <c r="X471" s="171">
        <f t="shared" si="57"/>
        <v>0</v>
      </c>
      <c r="Y471" s="239">
        <f t="shared" si="58"/>
        <v>0</v>
      </c>
      <c r="Z471" s="386"/>
    </row>
    <row r="472" spans="1:26" ht="20.100000000000001" hidden="1" customHeight="1" x14ac:dyDescent="0.2">
      <c r="A472" s="26"/>
      <c r="B472" s="74"/>
      <c r="C472" s="39"/>
      <c r="D472" s="170"/>
      <c r="E472" s="170"/>
      <c r="F472" s="170"/>
      <c r="G472" s="170"/>
      <c r="H472" s="170"/>
      <c r="I472" s="170"/>
      <c r="J472" s="170"/>
      <c r="K472" s="170"/>
      <c r="L472" s="170"/>
      <c r="M472" s="170"/>
      <c r="N472" s="170"/>
      <c r="O472" s="170"/>
      <c r="P472" s="170"/>
      <c r="Q472" s="170"/>
      <c r="R472" s="170">
        <f t="shared" si="56"/>
        <v>0</v>
      </c>
      <c r="S472" s="170"/>
      <c r="T472" s="170"/>
      <c r="U472" s="170"/>
      <c r="V472" s="170"/>
      <c r="W472" s="170"/>
      <c r="X472" s="171">
        <f t="shared" si="57"/>
        <v>0</v>
      </c>
      <c r="Y472" s="239">
        <f t="shared" si="58"/>
        <v>0</v>
      </c>
      <c r="Z472" s="386"/>
    </row>
    <row r="473" spans="1:26" ht="20.100000000000001" hidden="1" customHeight="1" x14ac:dyDescent="0.2">
      <c r="A473" s="26">
        <v>16</v>
      </c>
      <c r="B473" s="293"/>
      <c r="C473" s="39"/>
      <c r="D473" s="170"/>
      <c r="E473" s="170"/>
      <c r="F473" s="170"/>
      <c r="G473" s="170"/>
      <c r="H473" s="170"/>
      <c r="I473" s="170"/>
      <c r="J473" s="170"/>
      <c r="K473" s="170"/>
      <c r="L473" s="170"/>
      <c r="M473" s="170"/>
      <c r="N473" s="170"/>
      <c r="O473" s="170"/>
      <c r="P473" s="170"/>
      <c r="Q473" s="170"/>
      <c r="R473" s="170">
        <f t="shared" si="56"/>
        <v>0</v>
      </c>
      <c r="S473" s="170"/>
      <c r="T473" s="170"/>
      <c r="U473" s="170"/>
      <c r="V473" s="170"/>
      <c r="W473" s="170"/>
      <c r="X473" s="171">
        <f t="shared" si="57"/>
        <v>0</v>
      </c>
      <c r="Y473" s="239">
        <f t="shared" si="58"/>
        <v>0</v>
      </c>
      <c r="Z473" s="386"/>
    </row>
    <row r="474" spans="1:26" ht="20.100000000000001" hidden="1" customHeight="1" x14ac:dyDescent="0.2">
      <c r="A474" s="26">
        <v>17</v>
      </c>
      <c r="B474" s="74"/>
      <c r="C474" s="39"/>
      <c r="D474" s="170"/>
      <c r="E474" s="170"/>
      <c r="F474" s="170"/>
      <c r="G474" s="170"/>
      <c r="H474" s="170"/>
      <c r="I474" s="170"/>
      <c r="J474" s="170"/>
      <c r="K474" s="170"/>
      <c r="L474" s="170"/>
      <c r="M474" s="170"/>
      <c r="N474" s="170"/>
      <c r="O474" s="170"/>
      <c r="P474" s="170"/>
      <c r="Q474" s="170"/>
      <c r="R474" s="170">
        <f t="shared" si="56"/>
        <v>0</v>
      </c>
      <c r="S474" s="170"/>
      <c r="T474" s="170"/>
      <c r="U474" s="170"/>
      <c r="V474" s="170"/>
      <c r="W474" s="170"/>
      <c r="X474" s="171">
        <f t="shared" si="57"/>
        <v>0</v>
      </c>
      <c r="Y474" s="239">
        <f t="shared" si="58"/>
        <v>0</v>
      </c>
      <c r="Z474" s="386"/>
    </row>
    <row r="475" spans="1:26" ht="20.100000000000001" hidden="1" customHeight="1" x14ac:dyDescent="0.2">
      <c r="A475" s="26">
        <v>18</v>
      </c>
      <c r="B475" s="74"/>
      <c r="C475" s="39"/>
      <c r="D475" s="170"/>
      <c r="E475" s="170"/>
      <c r="F475" s="170"/>
      <c r="G475" s="170"/>
      <c r="H475" s="170"/>
      <c r="I475" s="170"/>
      <c r="J475" s="170"/>
      <c r="K475" s="170"/>
      <c r="L475" s="170"/>
      <c r="M475" s="170"/>
      <c r="N475" s="170"/>
      <c r="O475" s="170"/>
      <c r="P475" s="170"/>
      <c r="Q475" s="170"/>
      <c r="R475" s="170">
        <f t="shared" si="56"/>
        <v>0</v>
      </c>
      <c r="S475" s="170"/>
      <c r="T475" s="170"/>
      <c r="U475" s="170"/>
      <c r="V475" s="170"/>
      <c r="W475" s="170"/>
      <c r="X475" s="171">
        <f t="shared" si="57"/>
        <v>0</v>
      </c>
      <c r="Y475" s="239">
        <f t="shared" si="58"/>
        <v>0</v>
      </c>
      <c r="Z475" s="386"/>
    </row>
    <row r="476" spans="1:26" ht="20.100000000000001" hidden="1" customHeight="1" x14ac:dyDescent="0.2">
      <c r="A476" s="26">
        <v>19</v>
      </c>
      <c r="B476" s="74"/>
      <c r="C476" s="39"/>
      <c r="D476" s="170"/>
      <c r="E476" s="170"/>
      <c r="F476" s="170"/>
      <c r="G476" s="170"/>
      <c r="H476" s="170"/>
      <c r="I476" s="170"/>
      <c r="J476" s="170"/>
      <c r="K476" s="170"/>
      <c r="L476" s="170"/>
      <c r="M476" s="170"/>
      <c r="N476" s="170"/>
      <c r="O476" s="170"/>
      <c r="P476" s="170"/>
      <c r="Q476" s="170"/>
      <c r="R476" s="170">
        <f t="shared" si="56"/>
        <v>0</v>
      </c>
      <c r="S476" s="170"/>
      <c r="T476" s="170"/>
      <c r="U476" s="170"/>
      <c r="V476" s="170"/>
      <c r="W476" s="170"/>
      <c r="X476" s="171">
        <f t="shared" si="57"/>
        <v>0</v>
      </c>
      <c r="Y476" s="239">
        <f t="shared" si="58"/>
        <v>0</v>
      </c>
      <c r="Z476" s="386"/>
    </row>
    <row r="477" spans="1:26" ht="20.100000000000001" hidden="1" customHeight="1" x14ac:dyDescent="0.2">
      <c r="A477" s="26">
        <v>20</v>
      </c>
      <c r="B477" s="74"/>
      <c r="C477" s="39"/>
      <c r="D477" s="170"/>
      <c r="E477" s="170"/>
      <c r="F477" s="170"/>
      <c r="G477" s="170"/>
      <c r="H477" s="170"/>
      <c r="I477" s="170"/>
      <c r="J477" s="170"/>
      <c r="K477" s="170"/>
      <c r="L477" s="170"/>
      <c r="M477" s="170"/>
      <c r="N477" s="170"/>
      <c r="O477" s="170"/>
      <c r="P477" s="170"/>
      <c r="Q477" s="170"/>
      <c r="R477" s="170">
        <f t="shared" si="56"/>
        <v>0</v>
      </c>
      <c r="S477" s="170"/>
      <c r="T477" s="170"/>
      <c r="U477" s="170"/>
      <c r="V477" s="170"/>
      <c r="W477" s="170"/>
      <c r="X477" s="171">
        <f t="shared" si="57"/>
        <v>0</v>
      </c>
      <c r="Y477" s="239">
        <f t="shared" si="58"/>
        <v>0</v>
      </c>
      <c r="Z477" s="386"/>
    </row>
    <row r="478" spans="1:26" ht="20.100000000000001" hidden="1" customHeight="1" x14ac:dyDescent="0.2">
      <c r="A478" s="26">
        <v>21</v>
      </c>
      <c r="B478" s="74"/>
      <c r="C478" s="39"/>
      <c r="D478" s="170"/>
      <c r="E478" s="170"/>
      <c r="F478" s="170"/>
      <c r="G478" s="170"/>
      <c r="H478" s="170"/>
      <c r="I478" s="170"/>
      <c r="J478" s="170"/>
      <c r="K478" s="170"/>
      <c r="L478" s="170"/>
      <c r="M478" s="170"/>
      <c r="N478" s="170"/>
      <c r="P478" s="170"/>
      <c r="Q478" s="170"/>
      <c r="R478" s="170">
        <f>SUM(D478:Q478)</f>
        <v>0</v>
      </c>
      <c r="S478" s="170"/>
      <c r="T478" s="170"/>
      <c r="U478" s="170"/>
      <c r="V478" s="170"/>
      <c r="W478" s="170"/>
      <c r="X478" s="171">
        <f t="shared" si="57"/>
        <v>0</v>
      </c>
      <c r="Y478" s="239">
        <f t="shared" si="58"/>
        <v>0</v>
      </c>
      <c r="Z478" s="386"/>
    </row>
    <row r="479" spans="1:26" ht="20.100000000000001" hidden="1" customHeight="1" x14ac:dyDescent="0.2">
      <c r="A479" s="26">
        <v>22</v>
      </c>
      <c r="B479" s="293"/>
      <c r="C479" s="39"/>
      <c r="D479" s="170"/>
      <c r="E479" s="170"/>
      <c r="F479" s="170"/>
      <c r="G479" s="170"/>
      <c r="H479" s="170"/>
      <c r="I479" s="170"/>
      <c r="J479" s="170"/>
      <c r="K479" s="170"/>
      <c r="L479" s="170"/>
      <c r="M479" s="170"/>
      <c r="N479" s="170"/>
      <c r="O479" s="170"/>
      <c r="P479" s="170"/>
      <c r="Q479" s="170"/>
      <c r="R479" s="170">
        <f t="shared" si="56"/>
        <v>0</v>
      </c>
      <c r="S479" s="170"/>
      <c r="T479" s="170"/>
      <c r="U479" s="170"/>
      <c r="V479" s="170"/>
      <c r="W479" s="170"/>
      <c r="X479" s="171">
        <f t="shared" si="57"/>
        <v>0</v>
      </c>
      <c r="Y479" s="239">
        <f t="shared" si="58"/>
        <v>0</v>
      </c>
      <c r="Z479" s="386"/>
    </row>
    <row r="480" spans="1:26" ht="20.100000000000001" hidden="1" customHeight="1" x14ac:dyDescent="0.2">
      <c r="A480" s="26">
        <v>23</v>
      </c>
      <c r="B480" s="293"/>
      <c r="C480" s="39"/>
      <c r="D480" s="170"/>
      <c r="E480" s="170"/>
      <c r="F480" s="170"/>
      <c r="G480" s="170"/>
      <c r="H480" s="170"/>
      <c r="I480" s="170"/>
      <c r="J480" s="170"/>
      <c r="K480" s="170"/>
      <c r="L480" s="170"/>
      <c r="M480" s="170"/>
      <c r="N480" s="170"/>
      <c r="O480" s="170"/>
      <c r="P480" s="170"/>
      <c r="Q480" s="170"/>
      <c r="R480" s="170">
        <f t="shared" si="56"/>
        <v>0</v>
      </c>
      <c r="S480" s="170"/>
      <c r="T480" s="170"/>
      <c r="U480" s="170"/>
      <c r="V480" s="170"/>
      <c r="W480" s="170"/>
      <c r="X480" s="171">
        <f t="shared" si="57"/>
        <v>0</v>
      </c>
      <c r="Y480" s="239">
        <f t="shared" si="58"/>
        <v>0</v>
      </c>
      <c r="Z480" s="386"/>
    </row>
    <row r="481" spans="1:26" ht="20.100000000000001" hidden="1" customHeight="1" x14ac:dyDescent="0.2">
      <c r="A481" s="26">
        <v>24</v>
      </c>
      <c r="B481" s="74"/>
      <c r="C481" s="39"/>
      <c r="D481" s="170"/>
      <c r="E481" s="170"/>
      <c r="F481" s="170"/>
      <c r="G481" s="170"/>
      <c r="H481" s="170"/>
      <c r="I481" s="170"/>
      <c r="J481" s="170"/>
      <c r="K481" s="170"/>
      <c r="L481" s="170"/>
      <c r="M481" s="170"/>
      <c r="N481" s="170"/>
      <c r="O481" s="170"/>
      <c r="P481" s="170"/>
      <c r="Q481" s="170"/>
      <c r="R481" s="170">
        <f t="shared" si="56"/>
        <v>0</v>
      </c>
      <c r="S481" s="170"/>
      <c r="T481" s="170"/>
      <c r="U481" s="170"/>
      <c r="V481" s="170"/>
      <c r="W481" s="170"/>
      <c r="X481" s="171">
        <f t="shared" si="57"/>
        <v>0</v>
      </c>
      <c r="Y481" s="239">
        <f t="shared" si="58"/>
        <v>0</v>
      </c>
      <c r="Z481" s="386"/>
    </row>
    <row r="482" spans="1:26" ht="20.100000000000001" hidden="1" customHeight="1" x14ac:dyDescent="0.2">
      <c r="A482" s="26">
        <v>25</v>
      </c>
      <c r="B482" s="74"/>
      <c r="C482" s="39"/>
      <c r="D482" s="170"/>
      <c r="E482" s="170"/>
      <c r="F482" s="170"/>
      <c r="G482" s="170"/>
      <c r="H482" s="170"/>
      <c r="I482" s="170"/>
      <c r="J482" s="170"/>
      <c r="K482" s="170"/>
      <c r="L482" s="170"/>
      <c r="M482" s="170"/>
      <c r="N482" s="170"/>
      <c r="O482" s="170"/>
      <c r="P482" s="170"/>
      <c r="Q482" s="170"/>
      <c r="R482" s="170">
        <f t="shared" si="56"/>
        <v>0</v>
      </c>
      <c r="S482" s="170"/>
      <c r="T482" s="170"/>
      <c r="U482" s="170"/>
      <c r="V482" s="170"/>
      <c r="W482" s="170"/>
      <c r="X482" s="171">
        <f t="shared" si="57"/>
        <v>0</v>
      </c>
      <c r="Y482" s="239">
        <f t="shared" si="58"/>
        <v>0</v>
      </c>
      <c r="Z482" s="386"/>
    </row>
    <row r="483" spans="1:26" ht="20.100000000000001" hidden="1" customHeight="1" x14ac:dyDescent="0.2">
      <c r="A483" s="26">
        <v>26</v>
      </c>
      <c r="B483" s="74"/>
      <c r="C483" s="39"/>
      <c r="D483" s="170"/>
      <c r="E483" s="170"/>
      <c r="F483" s="170"/>
      <c r="G483" s="170"/>
      <c r="H483" s="170"/>
      <c r="I483" s="170"/>
      <c r="J483" s="170"/>
      <c r="K483" s="170"/>
      <c r="L483" s="170"/>
      <c r="M483" s="170"/>
      <c r="N483" s="170"/>
      <c r="O483" s="170"/>
      <c r="P483" s="170"/>
      <c r="Q483" s="170"/>
      <c r="R483" s="170">
        <f t="shared" si="56"/>
        <v>0</v>
      </c>
      <c r="S483" s="170"/>
      <c r="T483" s="170"/>
      <c r="U483" s="170"/>
      <c r="V483" s="170"/>
      <c r="W483" s="170"/>
      <c r="X483" s="171">
        <f t="shared" si="57"/>
        <v>0</v>
      </c>
      <c r="Y483" s="239">
        <f t="shared" si="58"/>
        <v>0</v>
      </c>
      <c r="Z483" s="386"/>
    </row>
    <row r="484" spans="1:26" ht="20.100000000000001" hidden="1" customHeight="1" x14ac:dyDescent="0.2">
      <c r="A484" s="26">
        <v>27</v>
      </c>
      <c r="B484" s="74"/>
      <c r="C484" s="39"/>
      <c r="D484" s="170"/>
      <c r="E484" s="170"/>
      <c r="F484" s="170"/>
      <c r="G484" s="170"/>
      <c r="H484" s="170"/>
      <c r="I484" s="170"/>
      <c r="J484" s="170"/>
      <c r="K484" s="170"/>
      <c r="L484" s="170"/>
      <c r="M484" s="170"/>
      <c r="N484" s="170"/>
      <c r="O484" s="170"/>
      <c r="P484" s="170"/>
      <c r="Q484" s="170"/>
      <c r="R484" s="170">
        <f t="shared" si="56"/>
        <v>0</v>
      </c>
      <c r="S484" s="170"/>
      <c r="T484" s="170"/>
      <c r="U484" s="170"/>
      <c r="V484" s="170"/>
      <c r="W484" s="170"/>
      <c r="X484" s="171">
        <f t="shared" si="57"/>
        <v>0</v>
      </c>
      <c r="Y484" s="239">
        <f t="shared" si="58"/>
        <v>0</v>
      </c>
      <c r="Z484" s="386"/>
    </row>
    <row r="485" spans="1:26" ht="20.100000000000001" hidden="1" customHeight="1" x14ac:dyDescent="0.2">
      <c r="A485" s="26">
        <v>28</v>
      </c>
      <c r="B485" s="293"/>
      <c r="C485" s="39"/>
      <c r="D485" s="170"/>
      <c r="E485" s="170"/>
      <c r="F485" s="170"/>
      <c r="G485" s="170"/>
      <c r="H485" s="170"/>
      <c r="I485" s="170"/>
      <c r="J485" s="170"/>
      <c r="K485" s="170"/>
      <c r="L485" s="170"/>
      <c r="M485" s="170"/>
      <c r="N485" s="170"/>
      <c r="O485" s="170"/>
      <c r="P485" s="170"/>
      <c r="Q485" s="170"/>
      <c r="R485" s="170">
        <f t="shared" si="56"/>
        <v>0</v>
      </c>
      <c r="S485" s="170"/>
      <c r="T485" s="170"/>
      <c r="U485" s="170"/>
      <c r="V485" s="170"/>
      <c r="W485" s="170"/>
      <c r="X485" s="171">
        <f t="shared" si="57"/>
        <v>0</v>
      </c>
      <c r="Y485" s="239">
        <f t="shared" si="58"/>
        <v>0</v>
      </c>
      <c r="Z485" s="386"/>
    </row>
    <row r="486" spans="1:26" ht="20.100000000000001" hidden="1" customHeight="1" x14ac:dyDescent="0.2">
      <c r="A486" s="26">
        <v>29</v>
      </c>
      <c r="B486" s="74"/>
      <c r="C486" s="39"/>
      <c r="D486" s="170"/>
      <c r="E486" s="170"/>
      <c r="F486" s="170"/>
      <c r="G486" s="170"/>
      <c r="H486" s="170"/>
      <c r="I486" s="170"/>
      <c r="J486" s="170"/>
      <c r="K486" s="170"/>
      <c r="L486" s="170"/>
      <c r="M486" s="170"/>
      <c r="N486" s="170"/>
      <c r="O486" s="170"/>
      <c r="P486" s="170"/>
      <c r="Q486" s="170"/>
      <c r="R486" s="170">
        <f t="shared" si="56"/>
        <v>0</v>
      </c>
      <c r="S486" s="170"/>
      <c r="T486" s="170"/>
      <c r="U486" s="170"/>
      <c r="V486" s="170"/>
      <c r="W486" s="170"/>
      <c r="X486" s="171">
        <f t="shared" si="57"/>
        <v>0</v>
      </c>
      <c r="Y486" s="239">
        <f t="shared" si="58"/>
        <v>0</v>
      </c>
      <c r="Z486" s="386"/>
    </row>
    <row r="487" spans="1:26" ht="20.100000000000001" hidden="1" customHeight="1" x14ac:dyDescent="0.2">
      <c r="A487" s="26">
        <v>30</v>
      </c>
      <c r="B487" s="293"/>
      <c r="C487" s="39"/>
      <c r="D487" s="170"/>
      <c r="E487" s="170"/>
      <c r="F487" s="170"/>
      <c r="G487" s="170"/>
      <c r="H487" s="170"/>
      <c r="I487" s="170"/>
      <c r="J487" s="170"/>
      <c r="K487" s="170"/>
      <c r="L487" s="170"/>
      <c r="M487" s="170"/>
      <c r="N487" s="170"/>
      <c r="O487" s="170"/>
      <c r="P487" s="170"/>
      <c r="Q487" s="170"/>
      <c r="R487" s="170">
        <f t="shared" si="56"/>
        <v>0</v>
      </c>
      <c r="S487" s="170"/>
      <c r="T487" s="170"/>
      <c r="U487" s="170"/>
      <c r="V487" s="170"/>
      <c r="W487" s="170"/>
      <c r="X487" s="171">
        <f t="shared" si="57"/>
        <v>0</v>
      </c>
      <c r="Y487" s="239">
        <f t="shared" si="58"/>
        <v>0</v>
      </c>
      <c r="Z487" s="386"/>
    </row>
    <row r="488" spans="1:26" ht="20.100000000000001" hidden="1" customHeight="1" x14ac:dyDescent="0.2">
      <c r="A488" s="26">
        <v>31</v>
      </c>
      <c r="B488" s="74"/>
      <c r="C488" s="39"/>
      <c r="D488" s="170"/>
      <c r="E488" s="170"/>
      <c r="F488" s="170"/>
      <c r="G488" s="170"/>
      <c r="H488" s="170"/>
      <c r="I488" s="170"/>
      <c r="J488" s="170"/>
      <c r="K488" s="170"/>
      <c r="L488" s="170"/>
      <c r="M488" s="170"/>
      <c r="N488" s="170"/>
      <c r="O488" s="170"/>
      <c r="P488" s="170"/>
      <c r="Q488" s="170"/>
      <c r="R488" s="170">
        <f t="shared" si="56"/>
        <v>0</v>
      </c>
      <c r="S488" s="170"/>
      <c r="T488" s="170"/>
      <c r="U488" s="170"/>
      <c r="V488" s="170"/>
      <c r="W488" s="170"/>
      <c r="X488" s="171">
        <f t="shared" si="57"/>
        <v>0</v>
      </c>
      <c r="Y488" s="239">
        <f t="shared" si="58"/>
        <v>0</v>
      </c>
      <c r="Z488" s="386"/>
    </row>
    <row r="489" spans="1:26" ht="20.100000000000001" hidden="1" customHeight="1" x14ac:dyDescent="0.2">
      <c r="A489" s="26">
        <v>32</v>
      </c>
      <c r="B489" s="74"/>
      <c r="C489" s="39"/>
      <c r="D489" s="170"/>
      <c r="E489" s="170"/>
      <c r="F489" s="170"/>
      <c r="G489" s="170"/>
      <c r="H489" s="170"/>
      <c r="I489" s="170"/>
      <c r="J489" s="170"/>
      <c r="K489" s="170"/>
      <c r="L489" s="170"/>
      <c r="M489" s="170"/>
      <c r="N489" s="170"/>
      <c r="O489" s="170"/>
      <c r="P489" s="170"/>
      <c r="Q489" s="170"/>
      <c r="R489" s="170">
        <f t="shared" si="56"/>
        <v>0</v>
      </c>
      <c r="S489" s="170"/>
      <c r="T489" s="170"/>
      <c r="U489" s="170"/>
      <c r="V489" s="170"/>
      <c r="W489" s="170"/>
      <c r="X489" s="171">
        <f t="shared" si="57"/>
        <v>0</v>
      </c>
      <c r="Y489" s="239">
        <f t="shared" si="58"/>
        <v>0</v>
      </c>
      <c r="Z489" s="386"/>
    </row>
    <row r="490" spans="1:26" ht="20.100000000000001" hidden="1" customHeight="1" x14ac:dyDescent="0.2">
      <c r="A490" s="26">
        <v>33</v>
      </c>
      <c r="B490" s="293"/>
      <c r="C490" s="39"/>
      <c r="D490" s="170"/>
      <c r="E490" s="170"/>
      <c r="F490" s="170"/>
      <c r="G490" s="170"/>
      <c r="H490" s="170"/>
      <c r="I490" s="170"/>
      <c r="J490" s="170"/>
      <c r="K490" s="170"/>
      <c r="L490" s="170"/>
      <c r="M490" s="170"/>
      <c r="N490" s="170"/>
      <c r="O490" s="170"/>
      <c r="P490" s="170"/>
      <c r="Q490" s="170"/>
      <c r="R490" s="170">
        <f t="shared" si="56"/>
        <v>0</v>
      </c>
      <c r="S490" s="170"/>
      <c r="T490" s="170"/>
      <c r="U490" s="170"/>
      <c r="V490" s="170"/>
      <c r="W490" s="170"/>
      <c r="X490" s="171">
        <f t="shared" si="57"/>
        <v>0</v>
      </c>
      <c r="Y490" s="239">
        <f t="shared" si="58"/>
        <v>0</v>
      </c>
      <c r="Z490" s="386"/>
    </row>
    <row r="491" spans="1:26" ht="20.100000000000001" hidden="1" customHeight="1" x14ac:dyDescent="0.2">
      <c r="A491" s="26">
        <v>34</v>
      </c>
      <c r="B491" s="74"/>
      <c r="C491" s="39"/>
      <c r="D491" s="170"/>
      <c r="E491" s="170"/>
      <c r="F491" s="170"/>
      <c r="G491" s="170"/>
      <c r="H491" s="170"/>
      <c r="I491" s="170"/>
      <c r="J491" s="170"/>
      <c r="K491" s="170"/>
      <c r="L491" s="170"/>
      <c r="M491" s="170"/>
      <c r="N491" s="170"/>
      <c r="O491" s="170"/>
      <c r="P491" s="170"/>
      <c r="Q491" s="170"/>
      <c r="R491" s="170">
        <f t="shared" si="56"/>
        <v>0</v>
      </c>
      <c r="S491" s="170"/>
      <c r="T491" s="170"/>
      <c r="U491" s="170"/>
      <c r="V491" s="170"/>
      <c r="W491" s="170"/>
      <c r="X491" s="171">
        <f t="shared" si="57"/>
        <v>0</v>
      </c>
      <c r="Y491" s="239">
        <f t="shared" si="58"/>
        <v>0</v>
      </c>
      <c r="Z491" s="386"/>
    </row>
    <row r="492" spans="1:26" ht="20.100000000000001" hidden="1" customHeight="1" x14ac:dyDescent="0.2">
      <c r="A492" s="26">
        <v>35</v>
      </c>
      <c r="B492" s="74"/>
      <c r="C492" s="39"/>
      <c r="D492" s="170"/>
      <c r="E492" s="170"/>
      <c r="F492" s="170"/>
      <c r="G492" s="170"/>
      <c r="H492" s="170"/>
      <c r="I492" s="170"/>
      <c r="J492" s="170"/>
      <c r="K492" s="170"/>
      <c r="L492" s="170"/>
      <c r="M492" s="170"/>
      <c r="N492" s="170"/>
      <c r="O492" s="170"/>
      <c r="P492" s="170"/>
      <c r="Q492" s="170"/>
      <c r="R492" s="170">
        <f t="shared" si="56"/>
        <v>0</v>
      </c>
      <c r="S492" s="170"/>
      <c r="T492" s="170"/>
      <c r="U492" s="170"/>
      <c r="V492" s="170"/>
      <c r="W492" s="170"/>
      <c r="X492" s="171">
        <f t="shared" si="57"/>
        <v>0</v>
      </c>
      <c r="Y492" s="239">
        <f t="shared" si="58"/>
        <v>0</v>
      </c>
      <c r="Z492" s="386"/>
    </row>
    <row r="493" spans="1:26" ht="20.100000000000001" hidden="1" customHeight="1" x14ac:dyDescent="0.2">
      <c r="A493" s="26">
        <v>36</v>
      </c>
      <c r="B493" s="74"/>
      <c r="C493" s="39"/>
      <c r="D493" s="170"/>
      <c r="E493" s="170"/>
      <c r="F493" s="170"/>
      <c r="G493" s="170"/>
      <c r="H493" s="170"/>
      <c r="I493" s="170"/>
      <c r="J493" s="170"/>
      <c r="K493" s="170"/>
      <c r="L493" s="170"/>
      <c r="M493" s="170"/>
      <c r="N493" s="170"/>
      <c r="O493" s="170"/>
      <c r="P493" s="170"/>
      <c r="Q493" s="170"/>
      <c r="R493" s="170">
        <f t="shared" si="56"/>
        <v>0</v>
      </c>
      <c r="S493" s="170"/>
      <c r="T493" s="170"/>
      <c r="U493" s="170"/>
      <c r="V493" s="170"/>
      <c r="W493" s="170"/>
      <c r="X493" s="171">
        <f t="shared" si="57"/>
        <v>0</v>
      </c>
      <c r="Y493" s="239">
        <f t="shared" si="58"/>
        <v>0</v>
      </c>
      <c r="Z493" s="386"/>
    </row>
    <row r="494" spans="1:26" ht="20.100000000000001" hidden="1" customHeight="1" x14ac:dyDescent="0.2">
      <c r="A494" s="26">
        <v>37</v>
      </c>
      <c r="B494" s="293"/>
      <c r="C494" s="39"/>
      <c r="D494" s="170"/>
      <c r="E494" s="170"/>
      <c r="F494" s="170"/>
      <c r="G494" s="170"/>
      <c r="H494" s="170"/>
      <c r="I494" s="170"/>
      <c r="J494" s="170"/>
      <c r="K494" s="170"/>
      <c r="L494" s="170"/>
      <c r="M494" s="170"/>
      <c r="N494" s="170"/>
      <c r="O494" s="170"/>
      <c r="P494" s="170"/>
      <c r="Q494" s="170"/>
      <c r="R494" s="170">
        <f t="shared" si="56"/>
        <v>0</v>
      </c>
      <c r="S494" s="170"/>
      <c r="T494" s="170"/>
      <c r="U494" s="170"/>
      <c r="V494" s="170"/>
      <c r="W494" s="170"/>
      <c r="X494" s="171">
        <f t="shared" si="57"/>
        <v>0</v>
      </c>
      <c r="Y494" s="239">
        <f t="shared" si="58"/>
        <v>0</v>
      </c>
      <c r="Z494" s="386"/>
    </row>
    <row r="495" spans="1:26" ht="20.100000000000001" hidden="1" customHeight="1" x14ac:dyDescent="0.2">
      <c r="A495" s="26">
        <v>38</v>
      </c>
      <c r="B495" s="74"/>
      <c r="C495" s="39"/>
      <c r="D495" s="170"/>
      <c r="E495" s="170"/>
      <c r="F495" s="170"/>
      <c r="G495" s="170"/>
      <c r="H495" s="170"/>
      <c r="I495" s="170"/>
      <c r="J495" s="170"/>
      <c r="K495" s="170"/>
      <c r="L495" s="170"/>
      <c r="M495" s="170"/>
      <c r="N495" s="170"/>
      <c r="O495" s="170"/>
      <c r="P495" s="170"/>
      <c r="Q495" s="170"/>
      <c r="R495" s="170">
        <f t="shared" si="56"/>
        <v>0</v>
      </c>
      <c r="S495" s="170"/>
      <c r="T495" s="170"/>
      <c r="U495" s="170"/>
      <c r="V495" s="170"/>
      <c r="W495" s="170"/>
      <c r="X495" s="171">
        <f t="shared" si="57"/>
        <v>0</v>
      </c>
      <c r="Y495" s="239">
        <f t="shared" si="58"/>
        <v>0</v>
      </c>
      <c r="Z495" s="386"/>
    </row>
    <row r="496" spans="1:26" ht="20.100000000000001" hidden="1" customHeight="1" x14ac:dyDescent="0.2">
      <c r="A496" s="26">
        <v>39</v>
      </c>
      <c r="B496" s="74"/>
      <c r="C496" s="39"/>
      <c r="D496" s="170"/>
      <c r="E496" s="170"/>
      <c r="F496" s="170"/>
      <c r="G496" s="170"/>
      <c r="H496" s="170"/>
      <c r="I496" s="170"/>
      <c r="J496" s="170"/>
      <c r="K496" s="170"/>
      <c r="L496" s="170"/>
      <c r="M496" s="170"/>
      <c r="N496" s="170"/>
      <c r="O496" s="170"/>
      <c r="P496" s="170"/>
      <c r="Q496" s="170"/>
      <c r="R496" s="170">
        <f t="shared" si="56"/>
        <v>0</v>
      </c>
      <c r="S496" s="170"/>
      <c r="T496" s="170"/>
      <c r="U496" s="170"/>
      <c r="V496" s="170"/>
      <c r="W496" s="170"/>
      <c r="X496" s="171">
        <f t="shared" si="57"/>
        <v>0</v>
      </c>
      <c r="Y496" s="239">
        <f t="shared" si="58"/>
        <v>0</v>
      </c>
      <c r="Z496" s="386"/>
    </row>
    <row r="497" spans="1:26" ht="20.100000000000001" hidden="1" customHeight="1" x14ac:dyDescent="0.2">
      <c r="A497" s="26">
        <v>40</v>
      </c>
      <c r="B497" s="74"/>
      <c r="C497" s="39"/>
      <c r="D497" s="170"/>
      <c r="E497" s="170"/>
      <c r="F497" s="170"/>
      <c r="G497" s="170"/>
      <c r="H497" s="170"/>
      <c r="I497" s="170"/>
      <c r="J497" s="170"/>
      <c r="K497" s="170"/>
      <c r="L497" s="170"/>
      <c r="M497" s="170"/>
      <c r="N497" s="170"/>
      <c r="O497" s="170"/>
      <c r="P497" s="170"/>
      <c r="Q497" s="170"/>
      <c r="R497" s="170">
        <f t="shared" si="56"/>
        <v>0</v>
      </c>
      <c r="S497" s="170"/>
      <c r="T497" s="170"/>
      <c r="U497" s="170"/>
      <c r="V497" s="170"/>
      <c r="W497" s="170"/>
      <c r="X497" s="171">
        <f t="shared" si="57"/>
        <v>0</v>
      </c>
      <c r="Y497" s="239">
        <f t="shared" si="58"/>
        <v>0</v>
      </c>
      <c r="Z497" s="386"/>
    </row>
    <row r="498" spans="1:26" ht="20.100000000000001" hidden="1" customHeight="1" x14ac:dyDescent="0.2">
      <c r="A498" s="26">
        <v>41</v>
      </c>
      <c r="B498" s="293"/>
      <c r="C498" s="39"/>
      <c r="D498" s="170"/>
      <c r="E498" s="170"/>
      <c r="F498" s="170"/>
      <c r="G498" s="170"/>
      <c r="H498" s="170"/>
      <c r="I498" s="170"/>
      <c r="J498" s="170"/>
      <c r="K498" s="170"/>
      <c r="L498" s="170"/>
      <c r="M498" s="170"/>
      <c r="N498" s="170"/>
      <c r="O498" s="170"/>
      <c r="P498" s="170"/>
      <c r="Q498" s="170"/>
      <c r="R498" s="170">
        <f t="shared" si="56"/>
        <v>0</v>
      </c>
      <c r="S498" s="170"/>
      <c r="T498" s="170"/>
      <c r="U498" s="170"/>
      <c r="V498" s="170"/>
      <c r="W498" s="170"/>
      <c r="X498" s="171">
        <f t="shared" si="57"/>
        <v>0</v>
      </c>
      <c r="Y498" s="239">
        <f t="shared" si="58"/>
        <v>0</v>
      </c>
      <c r="Z498" s="386"/>
    </row>
    <row r="499" spans="1:26" ht="20.100000000000001" hidden="1" customHeight="1" x14ac:dyDescent="0.2">
      <c r="A499" s="26">
        <v>42</v>
      </c>
      <c r="B499" s="74"/>
      <c r="C499" s="39"/>
      <c r="D499" s="170"/>
      <c r="E499" s="170"/>
      <c r="F499" s="170"/>
      <c r="G499" s="170"/>
      <c r="H499" s="170"/>
      <c r="I499" s="170"/>
      <c r="J499" s="170"/>
      <c r="K499" s="170"/>
      <c r="L499" s="170"/>
      <c r="M499" s="170"/>
      <c r="N499" s="170"/>
      <c r="O499" s="170"/>
      <c r="P499" s="170"/>
      <c r="Q499" s="170"/>
      <c r="R499" s="170">
        <f t="shared" si="56"/>
        <v>0</v>
      </c>
      <c r="S499" s="170"/>
      <c r="T499" s="170"/>
      <c r="U499" s="170"/>
      <c r="V499" s="170"/>
      <c r="W499" s="170"/>
      <c r="X499" s="171">
        <f t="shared" si="57"/>
        <v>0</v>
      </c>
      <c r="Y499" s="239">
        <f t="shared" si="58"/>
        <v>0</v>
      </c>
      <c r="Z499" s="386"/>
    </row>
    <row r="500" spans="1:26" ht="20.100000000000001" hidden="1" customHeight="1" x14ac:dyDescent="0.2">
      <c r="A500" s="26">
        <v>43</v>
      </c>
      <c r="B500" s="293"/>
      <c r="C500" s="39"/>
      <c r="D500" s="170"/>
      <c r="E500" s="170"/>
      <c r="F500" s="170"/>
      <c r="G500" s="170"/>
      <c r="H500" s="170"/>
      <c r="I500" s="170"/>
      <c r="J500" s="170"/>
      <c r="K500" s="170"/>
      <c r="L500" s="170"/>
      <c r="M500" s="170"/>
      <c r="N500" s="170"/>
      <c r="O500" s="170"/>
      <c r="P500" s="170"/>
      <c r="Q500" s="170"/>
      <c r="R500" s="170">
        <f t="shared" si="56"/>
        <v>0</v>
      </c>
      <c r="S500" s="170"/>
      <c r="T500" s="170"/>
      <c r="U500" s="170"/>
      <c r="V500" s="170"/>
      <c r="W500" s="170"/>
      <c r="X500" s="171">
        <f t="shared" si="57"/>
        <v>0</v>
      </c>
      <c r="Y500" s="239">
        <f t="shared" si="58"/>
        <v>0</v>
      </c>
      <c r="Z500" s="386"/>
    </row>
    <row r="501" spans="1:26" ht="20.100000000000001" hidden="1" customHeight="1" x14ac:dyDescent="0.2">
      <c r="A501" s="26">
        <v>44</v>
      </c>
      <c r="B501" s="74"/>
      <c r="C501" s="39"/>
      <c r="D501" s="170"/>
      <c r="E501" s="170"/>
      <c r="F501" s="170"/>
      <c r="G501" s="170"/>
      <c r="H501" s="170"/>
      <c r="I501" s="170"/>
      <c r="J501" s="170"/>
      <c r="K501" s="170"/>
      <c r="L501" s="170"/>
      <c r="M501" s="170"/>
      <c r="N501" s="170"/>
      <c r="O501" s="170"/>
      <c r="P501" s="170"/>
      <c r="Q501" s="170"/>
      <c r="R501" s="170">
        <f t="shared" si="56"/>
        <v>0</v>
      </c>
      <c r="S501" s="170"/>
      <c r="T501" s="170"/>
      <c r="U501" s="170"/>
      <c r="V501" s="170"/>
      <c r="W501" s="170"/>
      <c r="X501" s="171">
        <f t="shared" si="57"/>
        <v>0</v>
      </c>
      <c r="Y501" s="239">
        <f t="shared" si="58"/>
        <v>0</v>
      </c>
      <c r="Z501" s="386"/>
    </row>
    <row r="502" spans="1:26" ht="20.100000000000001" hidden="1" customHeight="1" x14ac:dyDescent="0.2">
      <c r="A502" s="26">
        <v>45</v>
      </c>
      <c r="B502" s="293"/>
      <c r="C502" s="39"/>
      <c r="D502" s="170"/>
      <c r="E502" s="170"/>
      <c r="F502" s="170"/>
      <c r="G502" s="170"/>
      <c r="H502" s="170"/>
      <c r="I502" s="170"/>
      <c r="J502" s="170"/>
      <c r="K502" s="170"/>
      <c r="L502" s="170"/>
      <c r="M502" s="170"/>
      <c r="N502" s="170"/>
      <c r="O502" s="170"/>
      <c r="P502" s="170"/>
      <c r="Q502" s="170"/>
      <c r="R502" s="170">
        <f t="shared" si="56"/>
        <v>0</v>
      </c>
      <c r="S502" s="170"/>
      <c r="T502" s="170"/>
      <c r="U502" s="170"/>
      <c r="V502" s="170"/>
      <c r="W502" s="170"/>
      <c r="X502" s="171">
        <f t="shared" si="57"/>
        <v>0</v>
      </c>
      <c r="Y502" s="239">
        <f t="shared" si="58"/>
        <v>0</v>
      </c>
      <c r="Z502" s="386"/>
    </row>
    <row r="503" spans="1:26" ht="20.100000000000001" hidden="1" customHeight="1" x14ac:dyDescent="0.2">
      <c r="A503" s="26">
        <v>46</v>
      </c>
      <c r="B503" s="74"/>
      <c r="C503" s="39"/>
      <c r="D503" s="170"/>
      <c r="E503" s="170"/>
      <c r="F503" s="170"/>
      <c r="G503" s="170"/>
      <c r="H503" s="170"/>
      <c r="I503" s="170"/>
      <c r="J503" s="170"/>
      <c r="K503" s="170"/>
      <c r="L503" s="170"/>
      <c r="M503" s="170"/>
      <c r="N503" s="170"/>
      <c r="O503" s="170"/>
      <c r="P503" s="170"/>
      <c r="Q503" s="170"/>
      <c r="R503" s="170">
        <f t="shared" si="56"/>
        <v>0</v>
      </c>
      <c r="S503" s="170"/>
      <c r="T503" s="170"/>
      <c r="U503" s="170"/>
      <c r="V503" s="170"/>
      <c r="W503" s="170"/>
      <c r="X503" s="171">
        <f t="shared" si="57"/>
        <v>0</v>
      </c>
      <c r="Y503" s="239">
        <f t="shared" si="58"/>
        <v>0</v>
      </c>
      <c r="Z503" s="386"/>
    </row>
    <row r="504" spans="1:26" ht="20.100000000000001" hidden="1" customHeight="1" x14ac:dyDescent="0.2">
      <c r="A504" s="26">
        <v>47</v>
      </c>
      <c r="B504" s="293"/>
      <c r="C504" s="39"/>
      <c r="D504" s="170"/>
      <c r="E504" s="170"/>
      <c r="F504" s="170"/>
      <c r="G504" s="170"/>
      <c r="H504" s="170"/>
      <c r="I504" s="170"/>
      <c r="J504" s="170"/>
      <c r="K504" s="170"/>
      <c r="L504" s="170"/>
      <c r="M504" s="170"/>
      <c r="N504" s="170"/>
      <c r="O504" s="170"/>
      <c r="P504" s="170"/>
      <c r="Q504" s="170"/>
      <c r="R504" s="170">
        <f t="shared" si="56"/>
        <v>0</v>
      </c>
      <c r="S504" s="170"/>
      <c r="T504" s="170"/>
      <c r="U504" s="170"/>
      <c r="V504" s="170"/>
      <c r="W504" s="170"/>
      <c r="X504" s="171">
        <f t="shared" si="57"/>
        <v>0</v>
      </c>
      <c r="Y504" s="239">
        <f t="shared" si="58"/>
        <v>0</v>
      </c>
      <c r="Z504" s="386"/>
    </row>
    <row r="505" spans="1:26" ht="20.100000000000001" hidden="1" customHeight="1" x14ac:dyDescent="0.2">
      <c r="A505" s="26">
        <v>48</v>
      </c>
      <c r="B505" s="74"/>
      <c r="C505" s="39"/>
      <c r="D505" s="170"/>
      <c r="E505" s="170"/>
      <c r="F505" s="170"/>
      <c r="G505" s="170"/>
      <c r="H505" s="170"/>
      <c r="I505" s="170"/>
      <c r="J505" s="170"/>
      <c r="K505" s="170"/>
      <c r="L505" s="170"/>
      <c r="M505" s="170"/>
      <c r="N505" s="170"/>
      <c r="O505" s="170"/>
      <c r="P505" s="170"/>
      <c r="Q505" s="170"/>
      <c r="R505" s="170">
        <f t="shared" si="56"/>
        <v>0</v>
      </c>
      <c r="S505" s="170"/>
      <c r="T505" s="170"/>
      <c r="U505" s="170"/>
      <c r="V505" s="170"/>
      <c r="W505" s="170"/>
      <c r="X505" s="171">
        <f t="shared" si="57"/>
        <v>0</v>
      </c>
      <c r="Y505" s="239">
        <f t="shared" si="58"/>
        <v>0</v>
      </c>
      <c r="Z505" s="386"/>
    </row>
    <row r="506" spans="1:26" ht="20.100000000000001" hidden="1" customHeight="1" x14ac:dyDescent="0.2">
      <c r="A506" s="26">
        <v>49</v>
      </c>
      <c r="B506" s="74"/>
      <c r="C506" s="39"/>
      <c r="D506" s="170"/>
      <c r="E506" s="170"/>
      <c r="F506" s="170"/>
      <c r="G506" s="170"/>
      <c r="H506" s="170"/>
      <c r="I506" s="170"/>
      <c r="J506" s="170"/>
      <c r="K506" s="170"/>
      <c r="L506" s="170"/>
      <c r="M506" s="170"/>
      <c r="N506" s="170"/>
      <c r="O506" s="170"/>
      <c r="P506" s="170"/>
      <c r="Q506" s="170"/>
      <c r="R506" s="170">
        <f t="shared" si="56"/>
        <v>0</v>
      </c>
      <c r="S506" s="170"/>
      <c r="T506" s="170"/>
      <c r="U506" s="170"/>
      <c r="V506" s="170"/>
      <c r="W506" s="170"/>
      <c r="X506" s="171">
        <f t="shared" si="57"/>
        <v>0</v>
      </c>
      <c r="Y506" s="239">
        <f t="shared" si="58"/>
        <v>0</v>
      </c>
      <c r="Z506" s="386"/>
    </row>
    <row r="507" spans="1:26" ht="20.100000000000001" hidden="1" customHeight="1" x14ac:dyDescent="0.2">
      <c r="A507" s="26"/>
      <c r="B507" s="74"/>
      <c r="C507" s="39"/>
      <c r="D507" s="170"/>
      <c r="E507" s="170"/>
      <c r="F507" s="170"/>
      <c r="G507" s="170"/>
      <c r="H507" s="170"/>
      <c r="I507" s="170"/>
      <c r="J507" s="170"/>
      <c r="K507" s="170"/>
      <c r="L507" s="170"/>
      <c r="M507" s="170"/>
      <c r="N507" s="170"/>
      <c r="O507" s="170"/>
      <c r="P507" s="170"/>
      <c r="Q507" s="170"/>
      <c r="R507" s="170">
        <f t="shared" si="56"/>
        <v>0</v>
      </c>
      <c r="S507" s="170"/>
      <c r="T507" s="170"/>
      <c r="U507" s="170"/>
      <c r="V507" s="170"/>
      <c r="W507" s="170"/>
      <c r="X507" s="171">
        <f t="shared" si="57"/>
        <v>0</v>
      </c>
      <c r="Y507" s="239">
        <f t="shared" si="58"/>
        <v>0</v>
      </c>
      <c r="Z507" s="386"/>
    </row>
    <row r="508" spans="1:26" ht="20.100000000000001" hidden="1" customHeight="1" x14ac:dyDescent="0.2">
      <c r="A508" s="26"/>
      <c r="B508" s="74"/>
      <c r="C508" s="39"/>
      <c r="D508" s="170"/>
      <c r="E508" s="170"/>
      <c r="F508" s="170"/>
      <c r="G508" s="170"/>
      <c r="H508" s="170"/>
      <c r="I508" s="170"/>
      <c r="J508" s="170"/>
      <c r="K508" s="170"/>
      <c r="L508" s="170"/>
      <c r="M508" s="170"/>
      <c r="N508" s="170"/>
      <c r="O508" s="170"/>
      <c r="P508" s="170"/>
      <c r="Q508" s="170"/>
      <c r="R508" s="170">
        <f t="shared" si="56"/>
        <v>0</v>
      </c>
      <c r="S508" s="170"/>
      <c r="T508" s="170"/>
      <c r="U508" s="170"/>
      <c r="V508" s="170"/>
      <c r="W508" s="170"/>
      <c r="X508" s="171">
        <f t="shared" si="57"/>
        <v>0</v>
      </c>
      <c r="Y508" s="239">
        <f t="shared" si="58"/>
        <v>0</v>
      </c>
      <c r="Z508" s="386"/>
    </row>
    <row r="509" spans="1:26" ht="20.100000000000001" hidden="1" customHeight="1" x14ac:dyDescent="0.2">
      <c r="A509" s="26"/>
      <c r="B509" s="74"/>
      <c r="C509" s="39"/>
      <c r="D509" s="170"/>
      <c r="E509" s="170"/>
      <c r="F509" s="170"/>
      <c r="G509" s="170"/>
      <c r="H509" s="170"/>
      <c r="I509" s="170"/>
      <c r="J509" s="170"/>
      <c r="K509" s="170"/>
      <c r="L509" s="170"/>
      <c r="M509" s="170"/>
      <c r="N509" s="170"/>
      <c r="O509" s="170"/>
      <c r="P509" s="170"/>
      <c r="Q509" s="170"/>
      <c r="R509" s="170">
        <f t="shared" si="56"/>
        <v>0</v>
      </c>
      <c r="S509" s="170"/>
      <c r="T509" s="170"/>
      <c r="U509" s="170"/>
      <c r="V509" s="170"/>
      <c r="W509" s="170"/>
      <c r="X509" s="171">
        <f t="shared" si="57"/>
        <v>0</v>
      </c>
      <c r="Y509" s="239">
        <f t="shared" si="58"/>
        <v>0</v>
      </c>
      <c r="Z509" s="386"/>
    </row>
    <row r="510" spans="1:26" hidden="1" x14ac:dyDescent="0.2">
      <c r="A510" s="26"/>
      <c r="B510" s="74"/>
      <c r="C510" s="39"/>
      <c r="D510" s="170"/>
      <c r="E510" s="170"/>
      <c r="F510" s="170"/>
      <c r="G510" s="170"/>
      <c r="H510" s="170"/>
      <c r="I510" s="170"/>
      <c r="J510" s="170"/>
      <c r="K510" s="170"/>
      <c r="L510" s="170"/>
      <c r="M510" s="170"/>
      <c r="N510" s="170"/>
      <c r="O510" s="170"/>
      <c r="P510" s="170"/>
      <c r="Q510" s="170"/>
      <c r="R510" s="170">
        <f t="shared" si="56"/>
        <v>0</v>
      </c>
      <c r="S510" s="170"/>
      <c r="T510" s="170"/>
      <c r="U510" s="170"/>
      <c r="V510" s="170"/>
      <c r="W510" s="170"/>
      <c r="X510" s="171">
        <f t="shared" si="57"/>
        <v>0</v>
      </c>
      <c r="Y510" s="239">
        <f t="shared" si="58"/>
        <v>0</v>
      </c>
      <c r="Z510" s="386"/>
    </row>
    <row r="511" spans="1:26" ht="20.100000000000001" hidden="1" customHeight="1" x14ac:dyDescent="0.2">
      <c r="A511" s="26"/>
      <c r="B511" s="279"/>
      <c r="C511" s="207" t="s">
        <v>68</v>
      </c>
      <c r="D511" s="170"/>
      <c r="E511" s="170"/>
      <c r="F511" s="170"/>
      <c r="G511" s="170"/>
      <c r="H511" s="170"/>
      <c r="I511" s="170"/>
      <c r="J511" s="170"/>
      <c r="K511" s="170"/>
      <c r="L511" s="170"/>
      <c r="M511" s="170"/>
      <c r="N511" s="170"/>
      <c r="O511" s="170"/>
      <c r="P511" s="170"/>
      <c r="Q511" s="170"/>
      <c r="R511" s="170">
        <f t="shared" si="56"/>
        <v>0</v>
      </c>
      <c r="S511" s="170"/>
      <c r="T511" s="170"/>
      <c r="U511" s="170"/>
      <c r="V511" s="170"/>
      <c r="W511" s="170"/>
      <c r="X511" s="171">
        <f t="shared" si="57"/>
        <v>0</v>
      </c>
      <c r="Y511" s="239">
        <f t="shared" si="58"/>
        <v>0</v>
      </c>
      <c r="Z511" s="386"/>
    </row>
    <row r="512" spans="1:26" ht="17.25" hidden="1" thickBot="1" x14ac:dyDescent="0.3">
      <c r="A512" s="577"/>
      <c r="B512" s="578"/>
      <c r="C512" s="579"/>
      <c r="D512" s="579"/>
      <c r="E512" s="579"/>
      <c r="F512" s="579"/>
      <c r="G512" s="579"/>
      <c r="H512" s="579"/>
      <c r="I512" s="579"/>
      <c r="J512" s="579"/>
      <c r="K512" s="579"/>
      <c r="L512" s="579"/>
      <c r="M512" s="579"/>
      <c r="N512" s="579"/>
      <c r="O512" s="579"/>
      <c r="P512" s="579"/>
      <c r="Q512" s="579"/>
      <c r="R512" s="579"/>
      <c r="S512" s="579"/>
      <c r="T512" s="579"/>
      <c r="U512" s="579"/>
      <c r="V512" s="579"/>
      <c r="W512" s="579"/>
      <c r="X512" s="579"/>
      <c r="Y512" s="580"/>
      <c r="Z512" s="581"/>
    </row>
    <row r="513" spans="1:28" ht="24.95" hidden="1" customHeight="1" thickTop="1" thickBot="1" x14ac:dyDescent="0.25">
      <c r="A513" s="47"/>
      <c r="B513" s="264" t="s">
        <v>193</v>
      </c>
      <c r="C513" s="44" t="s">
        <v>31</v>
      </c>
      <c r="D513" s="183">
        <f>SUM(D457:D512)</f>
        <v>0</v>
      </c>
      <c r="E513" s="183">
        <f t="shared" ref="E513:Q513" si="59">SUM(E457:E512)</f>
        <v>0</v>
      </c>
      <c r="F513" s="183">
        <f t="shared" si="59"/>
        <v>0</v>
      </c>
      <c r="G513" s="183">
        <f t="shared" si="59"/>
        <v>0</v>
      </c>
      <c r="H513" s="183">
        <f t="shared" si="59"/>
        <v>0</v>
      </c>
      <c r="I513" s="183">
        <f t="shared" si="59"/>
        <v>0</v>
      </c>
      <c r="J513" s="183">
        <f t="shared" si="59"/>
        <v>0</v>
      </c>
      <c r="K513" s="183">
        <f t="shared" si="59"/>
        <v>0</v>
      </c>
      <c r="L513" s="183">
        <f t="shared" si="59"/>
        <v>0</v>
      </c>
      <c r="M513" s="183">
        <f t="shared" si="59"/>
        <v>0</v>
      </c>
      <c r="N513" s="183">
        <f t="shared" si="59"/>
        <v>0</v>
      </c>
      <c r="O513" s="183">
        <f t="shared" si="59"/>
        <v>0</v>
      </c>
      <c r="P513" s="183">
        <f t="shared" si="59"/>
        <v>0</v>
      </c>
      <c r="Q513" s="183">
        <f t="shared" si="59"/>
        <v>0</v>
      </c>
      <c r="R513" s="183">
        <f>SUM(D513:Q513)</f>
        <v>0</v>
      </c>
      <c r="S513" s="183"/>
      <c r="T513" s="183">
        <f>SUM(T457:T512)</f>
        <v>0</v>
      </c>
      <c r="U513" s="183">
        <f>SUM(U457:U512)</f>
        <v>0</v>
      </c>
      <c r="V513" s="183">
        <f>SUM(V457:V512)</f>
        <v>0</v>
      </c>
      <c r="W513" s="183">
        <f>SUM(W457:W512)</f>
        <v>0</v>
      </c>
      <c r="X513" s="473">
        <f>SUM(T513:W513)</f>
        <v>0</v>
      </c>
      <c r="Y513" s="373">
        <f>R513+X513</f>
        <v>0</v>
      </c>
      <c r="Z513" s="184">
        <f>SUM(Z457:Z512)</f>
        <v>0</v>
      </c>
    </row>
    <row r="514" spans="1:28" ht="24.95" hidden="1" customHeight="1" thickTop="1" thickBot="1" x14ac:dyDescent="0.25">
      <c r="A514" s="47"/>
      <c r="B514" s="43" t="s">
        <v>194</v>
      </c>
      <c r="C514" s="44" t="s">
        <v>158</v>
      </c>
      <c r="D514" s="554">
        <f>D456+D513</f>
        <v>103295.52</v>
      </c>
      <c r="E514" s="554">
        <f t="shared" ref="E514:Q514" si="60">E456+E513</f>
        <v>28526.691000000003</v>
      </c>
      <c r="F514" s="554">
        <f t="shared" si="60"/>
        <v>4807722.5489999996</v>
      </c>
      <c r="G514" s="554">
        <f t="shared" si="60"/>
        <v>209326.19499999998</v>
      </c>
      <c r="H514" s="554">
        <f t="shared" si="60"/>
        <v>13844</v>
      </c>
      <c r="I514" s="554">
        <f t="shared" si="60"/>
        <v>58458</v>
      </c>
      <c r="J514" s="554">
        <f t="shared" si="60"/>
        <v>643584</v>
      </c>
      <c r="K514" s="554">
        <f t="shared" si="60"/>
        <v>1694861.9450000001</v>
      </c>
      <c r="L514" s="554">
        <f t="shared" si="60"/>
        <v>3852634.7390000001</v>
      </c>
      <c r="M514" s="554">
        <f t="shared" si="60"/>
        <v>66595</v>
      </c>
      <c r="N514" s="554">
        <f t="shared" si="60"/>
        <v>69837</v>
      </c>
      <c r="O514" s="554">
        <f t="shared" si="60"/>
        <v>13183</v>
      </c>
      <c r="P514" s="554">
        <f t="shared" si="60"/>
        <v>0</v>
      </c>
      <c r="Q514" s="554">
        <f t="shared" si="60"/>
        <v>707619</v>
      </c>
      <c r="R514" s="554">
        <f>SUM(D514:Q514)</f>
        <v>12269487.639</v>
      </c>
      <c r="S514" s="172"/>
      <c r="T514" s="554">
        <f>T456+T513</f>
        <v>0</v>
      </c>
      <c r="U514" s="554">
        <f>U456+U513</f>
        <v>6650000</v>
      </c>
      <c r="V514" s="554">
        <f>V456+V513</f>
        <v>54061.391000000003</v>
      </c>
      <c r="W514" s="554">
        <f>W456+W513</f>
        <v>0</v>
      </c>
      <c r="X514" s="555">
        <f>SUM(T514:W514)</f>
        <v>6704061.3909999998</v>
      </c>
      <c r="Y514" s="555">
        <f>R514+X514</f>
        <v>18973549.030000001</v>
      </c>
      <c r="Z514" s="556">
        <f>Z456+Z513</f>
        <v>6484864.2960000001</v>
      </c>
      <c r="AB514" s="85">
        <f>Y514+Z514</f>
        <v>25458413.326000001</v>
      </c>
    </row>
    <row r="515" spans="1:28" ht="17.25" thickTop="1" x14ac:dyDescent="0.25">
      <c r="Y515" s="53"/>
      <c r="Z515" s="2"/>
    </row>
    <row r="516" spans="1:28" ht="18.75" hidden="1" thickTop="1" thickBot="1" x14ac:dyDescent="0.3">
      <c r="C516" s="2" t="s">
        <v>96</v>
      </c>
      <c r="D516" s="210">
        <v>103296</v>
      </c>
      <c r="E516" s="210">
        <v>28527</v>
      </c>
      <c r="F516" s="391">
        <v>4807723</v>
      </c>
      <c r="G516" s="210">
        <v>209326</v>
      </c>
      <c r="H516" s="210">
        <v>13844</v>
      </c>
      <c r="I516" s="210">
        <v>58458</v>
      </c>
      <c r="J516" s="210">
        <v>643584</v>
      </c>
      <c r="K516" s="210">
        <v>1694862</v>
      </c>
      <c r="L516" s="210">
        <v>3852635</v>
      </c>
      <c r="M516" s="210">
        <v>66595</v>
      </c>
      <c r="N516" s="210">
        <v>69837</v>
      </c>
      <c r="O516" s="210">
        <v>13183</v>
      </c>
      <c r="P516" s="210">
        <v>0</v>
      </c>
      <c r="Q516" s="210">
        <v>707619</v>
      </c>
      <c r="R516" s="391">
        <v>12269488</v>
      </c>
      <c r="S516" s="210"/>
      <c r="T516" s="210">
        <v>0</v>
      </c>
      <c r="U516" s="210">
        <v>6650000</v>
      </c>
      <c r="V516" s="210">
        <v>54061.391000000003</v>
      </c>
      <c r="W516" s="210">
        <v>0</v>
      </c>
      <c r="X516" s="210">
        <v>6704061</v>
      </c>
      <c r="Y516" s="210">
        <v>18973549</v>
      </c>
      <c r="Z516" s="741">
        <v>6484864</v>
      </c>
      <c r="AA516" s="134">
        <f>SUM(Y516:Z516)</f>
        <v>25458413</v>
      </c>
    </row>
    <row r="517" spans="1:28" ht="17.25" hidden="1" thickTop="1" x14ac:dyDescent="0.25">
      <c r="F517" s="173"/>
      <c r="R517" s="719">
        <f>SUM(D516:Q516)</f>
        <v>12269489</v>
      </c>
      <c r="Y517" s="720">
        <f>R517+X516</f>
        <v>18973550</v>
      </c>
      <c r="Z517" s="2"/>
    </row>
    <row r="518" spans="1:28" hidden="1" x14ac:dyDescent="0.25">
      <c r="F518" s="173"/>
      <c r="Y518" s="53"/>
      <c r="Z518" s="2"/>
    </row>
    <row r="519" spans="1:28" hidden="1" x14ac:dyDescent="0.25">
      <c r="C519" s="2" t="s">
        <v>97</v>
      </c>
      <c r="D519" s="685">
        <f t="shared" ref="D519:R519" si="61">D516-D514</f>
        <v>0.47999999999592546</v>
      </c>
      <c r="E519" s="685">
        <f t="shared" si="61"/>
        <v>0.30899999999746797</v>
      </c>
      <c r="F519" s="685">
        <f t="shared" si="61"/>
        <v>0.45100000035017729</v>
      </c>
      <c r="G519" s="685">
        <f t="shared" si="61"/>
        <v>-0.19499999997788109</v>
      </c>
      <c r="H519" s="685">
        <f t="shared" si="61"/>
        <v>0</v>
      </c>
      <c r="I519" s="685">
        <f t="shared" si="61"/>
        <v>0</v>
      </c>
      <c r="J519" s="685">
        <f t="shared" si="61"/>
        <v>0</v>
      </c>
      <c r="K519" s="685">
        <f t="shared" si="61"/>
        <v>5.499999993480742E-2</v>
      </c>
      <c r="L519" s="685">
        <f t="shared" si="61"/>
        <v>0.26099999994039536</v>
      </c>
      <c r="M519" s="685">
        <f t="shared" si="61"/>
        <v>0</v>
      </c>
      <c r="N519" s="685">
        <f t="shared" si="61"/>
        <v>0</v>
      </c>
      <c r="O519" s="685">
        <f t="shared" si="61"/>
        <v>0</v>
      </c>
      <c r="P519" s="685">
        <f t="shared" si="61"/>
        <v>0</v>
      </c>
      <c r="Q519" s="173">
        <f t="shared" si="61"/>
        <v>0</v>
      </c>
      <c r="R519" s="685">
        <f t="shared" si="61"/>
        <v>0.36099999956786633</v>
      </c>
      <c r="S519" s="685"/>
      <c r="T519" s="685">
        <f t="shared" ref="T519:Z519" si="62">T516-T514</f>
        <v>0</v>
      </c>
      <c r="U519" s="732">
        <f t="shared" si="62"/>
        <v>0</v>
      </c>
      <c r="V519" s="685">
        <f t="shared" si="62"/>
        <v>0</v>
      </c>
      <c r="W519" s="685">
        <f t="shared" si="62"/>
        <v>0</v>
      </c>
      <c r="X519" s="732">
        <f t="shared" si="62"/>
        <v>-0.39099999982863665</v>
      </c>
      <c r="Y519" s="685">
        <f t="shared" si="62"/>
        <v>-3.0000001192092896E-2</v>
      </c>
      <c r="Z519" s="742">
        <f t="shared" si="62"/>
        <v>-0.29600000008940697</v>
      </c>
      <c r="AA519" s="173"/>
    </row>
    <row r="520" spans="1:28" hidden="1" x14ac:dyDescent="0.25">
      <c r="Z520" s="2"/>
    </row>
  </sheetData>
  <mergeCells count="8">
    <mergeCell ref="AJ14:AK14"/>
    <mergeCell ref="A2:Z2"/>
    <mergeCell ref="A4:Z4"/>
    <mergeCell ref="D7:Z7"/>
    <mergeCell ref="AJ9:AK9"/>
    <mergeCell ref="D8:K8"/>
    <mergeCell ref="L8:Q8"/>
    <mergeCell ref="T8:W8"/>
  </mergeCells>
  <phoneticPr fontId="3" type="noConversion"/>
  <printOptions horizontalCentered="1"/>
  <pageMargins left="0" right="0" top="0.51181102362204722" bottom="0.47244094488188981" header="0.19685039370078741" footer="0.15748031496062992"/>
  <pageSetup paperSize="9" scale="4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0"/>
  <sheetViews>
    <sheetView topLeftCell="L1" zoomScale="75" zoomScaleNormal="75" workbookViewId="0">
      <selection activeCell="X1" sqref="X1"/>
    </sheetView>
  </sheetViews>
  <sheetFormatPr defaultRowHeight="16.5" x14ac:dyDescent="0.25"/>
  <cols>
    <col min="1" max="1" width="6.28515625" style="1" customWidth="1"/>
    <col min="2" max="2" width="12.7109375" style="1" hidden="1" customWidth="1"/>
    <col min="3" max="3" width="57.7109375" style="2" customWidth="1"/>
    <col min="4" max="11" width="12.7109375" style="2" customWidth="1"/>
    <col min="12" max="12" width="13.7109375" style="2" customWidth="1"/>
    <col min="13" max="14" width="12.7109375" style="2" customWidth="1"/>
    <col min="15" max="15" width="15.7109375" style="2" customWidth="1"/>
    <col min="16" max="16" width="1.85546875" style="2" customWidth="1"/>
    <col min="17" max="17" width="11.28515625" style="2" customWidth="1"/>
    <col min="18" max="18" width="11.85546875" style="2" customWidth="1"/>
    <col min="19" max="19" width="11.28515625" style="2" customWidth="1"/>
    <col min="20" max="20" width="10" style="2" customWidth="1"/>
    <col min="21" max="21" width="15.7109375" style="2" customWidth="1"/>
    <col min="22" max="22" width="1.85546875" style="2" customWidth="1"/>
    <col min="23" max="23" width="15.7109375" style="2" customWidth="1"/>
    <col min="24" max="24" width="17.140625" style="2" customWidth="1"/>
    <col min="25" max="25" width="11" style="2" hidden="1" customWidth="1"/>
    <col min="26" max="26" width="10.7109375" style="2" customWidth="1"/>
    <col min="27" max="32" width="9.140625" style="2"/>
    <col min="33" max="34" width="10.7109375" style="2" customWidth="1"/>
    <col min="35" max="35" width="10.28515625" style="2" customWidth="1"/>
    <col min="36" max="36" width="10" style="2" customWidth="1"/>
    <col min="37" max="37" width="10.28515625" style="2" customWidth="1"/>
    <col min="38" max="38" width="10.7109375" style="2" customWidth="1"/>
    <col min="39" max="39" width="10.5703125" style="2" customWidth="1"/>
    <col min="40" max="43" width="9.140625" style="2"/>
    <col min="44" max="44" width="11" style="2" customWidth="1"/>
    <col min="45" max="16384" width="9.140625" style="2"/>
  </cols>
  <sheetData>
    <row r="1" spans="1:38" ht="20.25" customHeight="1" x14ac:dyDescent="0.25">
      <c r="V1" s="3"/>
      <c r="W1" s="191"/>
      <c r="X1" s="191" t="s">
        <v>94</v>
      </c>
    </row>
    <row r="2" spans="1:38" ht="20.25" customHeight="1" x14ac:dyDescent="0.25">
      <c r="V2" s="3"/>
      <c r="W2" s="191"/>
      <c r="X2" s="191"/>
    </row>
    <row r="3" spans="1:38" ht="30" customHeight="1" x14ac:dyDescent="0.3">
      <c r="A3" s="751" t="s">
        <v>0</v>
      </c>
      <c r="B3" s="751"/>
      <c r="C3" s="751"/>
      <c r="D3" s="751"/>
      <c r="E3" s="751"/>
      <c r="F3" s="751"/>
      <c r="G3" s="751"/>
      <c r="H3" s="751"/>
      <c r="I3" s="751"/>
      <c r="J3" s="751"/>
      <c r="K3" s="751"/>
      <c r="L3" s="751"/>
      <c r="M3" s="751"/>
      <c r="N3" s="751"/>
      <c r="O3" s="751"/>
      <c r="P3" s="751"/>
      <c r="Q3" s="751"/>
      <c r="R3" s="751"/>
      <c r="S3" s="751"/>
      <c r="T3" s="751"/>
      <c r="U3" s="751"/>
      <c r="V3" s="751"/>
      <c r="W3" s="751"/>
      <c r="X3" s="751"/>
    </row>
    <row r="4" spans="1:38" ht="30" customHeight="1" x14ac:dyDescent="0.3">
      <c r="A4" s="457"/>
      <c r="B4" s="457"/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  <c r="X4" s="457"/>
    </row>
    <row r="5" spans="1:38" ht="50.1" customHeight="1" x14ac:dyDescent="0.3">
      <c r="A5" s="764" t="s">
        <v>624</v>
      </c>
      <c r="B5" s="764"/>
      <c r="C5" s="764"/>
      <c r="D5" s="764"/>
      <c r="E5" s="764"/>
      <c r="F5" s="764"/>
      <c r="G5" s="764"/>
      <c r="H5" s="764"/>
      <c r="I5" s="764"/>
      <c r="J5" s="764"/>
      <c r="K5" s="764"/>
      <c r="L5" s="764"/>
      <c r="M5" s="764"/>
      <c r="N5" s="764"/>
      <c r="O5" s="764"/>
      <c r="P5" s="764"/>
      <c r="Q5" s="764"/>
      <c r="R5" s="764"/>
      <c r="S5" s="764"/>
      <c r="T5" s="764"/>
      <c r="U5" s="764"/>
      <c r="V5" s="764"/>
      <c r="W5" s="764"/>
      <c r="X5" s="764"/>
    </row>
    <row r="6" spans="1:38" ht="24.95" customHeight="1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38" ht="17.2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6"/>
      <c r="X7" s="6" t="s">
        <v>1</v>
      </c>
    </row>
    <row r="8" spans="1:38" ht="18" customHeight="1" thickTop="1" x14ac:dyDescent="0.25">
      <c r="A8" s="7"/>
      <c r="B8" s="8"/>
      <c r="C8" s="9"/>
      <c r="D8" s="743" t="s">
        <v>123</v>
      </c>
      <c r="E8" s="744"/>
      <c r="F8" s="745"/>
      <c r="G8" s="411"/>
      <c r="H8" s="412"/>
      <c r="I8" s="413" t="s">
        <v>4</v>
      </c>
      <c r="J8" s="746" t="s">
        <v>131</v>
      </c>
      <c r="K8" s="747"/>
      <c r="L8" s="411"/>
      <c r="M8" s="414" t="s">
        <v>132</v>
      </c>
      <c r="N8" s="415"/>
      <c r="O8" s="416" t="s">
        <v>139</v>
      </c>
      <c r="P8" s="14"/>
      <c r="Q8" s="748" t="s">
        <v>141</v>
      </c>
      <c r="R8" s="749"/>
      <c r="S8" s="749"/>
      <c r="T8" s="750"/>
      <c r="U8" s="417" t="s">
        <v>153</v>
      </c>
      <c r="V8" s="405"/>
      <c r="W8" s="10" t="s">
        <v>2</v>
      </c>
      <c r="X8" s="244"/>
    </row>
    <row r="9" spans="1:38" x14ac:dyDescent="0.25">
      <c r="A9" s="11"/>
      <c r="B9" s="12"/>
      <c r="C9" s="13" t="s">
        <v>3</v>
      </c>
      <c r="D9" s="16" t="s">
        <v>124</v>
      </c>
      <c r="E9" s="13" t="s">
        <v>125</v>
      </c>
      <c r="F9" s="4" t="s">
        <v>126</v>
      </c>
      <c r="G9" s="17" t="s">
        <v>133</v>
      </c>
      <c r="H9" s="17" t="s">
        <v>5</v>
      </c>
      <c r="I9" s="17" t="s">
        <v>15</v>
      </c>
      <c r="J9" s="13" t="s">
        <v>6</v>
      </c>
      <c r="K9" s="13" t="s">
        <v>134</v>
      </c>
      <c r="L9" s="407" t="s">
        <v>105</v>
      </c>
      <c r="M9" s="13" t="s">
        <v>135</v>
      </c>
      <c r="N9" s="17" t="s">
        <v>4</v>
      </c>
      <c r="O9" s="408" t="s">
        <v>140</v>
      </c>
      <c r="P9" s="17"/>
      <c r="Q9" s="17" t="s">
        <v>142</v>
      </c>
      <c r="R9" s="17" t="s">
        <v>143</v>
      </c>
      <c r="S9" s="17" t="s">
        <v>144</v>
      </c>
      <c r="T9" s="17" t="s">
        <v>4</v>
      </c>
      <c r="U9" s="409" t="s">
        <v>154</v>
      </c>
      <c r="V9" s="404"/>
      <c r="W9" s="15" t="s">
        <v>7</v>
      </c>
      <c r="X9" s="309" t="s">
        <v>111</v>
      </c>
    </row>
    <row r="10" spans="1:38" x14ac:dyDescent="0.25">
      <c r="A10" s="18" t="s">
        <v>8</v>
      </c>
      <c r="B10" s="13"/>
      <c r="C10" s="13" t="s">
        <v>9</v>
      </c>
      <c r="D10" s="17" t="s">
        <v>15</v>
      </c>
      <c r="E10" s="13" t="s">
        <v>127</v>
      </c>
      <c r="F10" s="4" t="s">
        <v>79</v>
      </c>
      <c r="G10" s="17" t="s">
        <v>10</v>
      </c>
      <c r="H10" s="13" t="s">
        <v>10</v>
      </c>
      <c r="I10" s="13" t="s">
        <v>11</v>
      </c>
      <c r="J10" s="13" t="s">
        <v>11</v>
      </c>
      <c r="K10" s="13" t="s">
        <v>79</v>
      </c>
      <c r="L10" s="300" t="s">
        <v>106</v>
      </c>
      <c r="M10" s="17" t="s">
        <v>136</v>
      </c>
      <c r="N10" s="17" t="s">
        <v>107</v>
      </c>
      <c r="O10" s="408" t="s">
        <v>10</v>
      </c>
      <c r="P10" s="17"/>
      <c r="Q10" s="17" t="s">
        <v>145</v>
      </c>
      <c r="R10" s="17" t="s">
        <v>146</v>
      </c>
      <c r="S10" s="17" t="s">
        <v>147</v>
      </c>
      <c r="T10" s="17" t="s">
        <v>195</v>
      </c>
      <c r="U10" s="409" t="s">
        <v>10</v>
      </c>
      <c r="V10" s="406"/>
      <c r="W10" s="15" t="s">
        <v>12</v>
      </c>
      <c r="X10" s="309" t="s">
        <v>112</v>
      </c>
    </row>
    <row r="11" spans="1:38" x14ac:dyDescent="0.25">
      <c r="A11" s="11"/>
      <c r="B11" s="12"/>
      <c r="C11" s="13" t="s">
        <v>13</v>
      </c>
      <c r="D11" s="17" t="s">
        <v>128</v>
      </c>
      <c r="E11" s="13" t="s">
        <v>129</v>
      </c>
      <c r="F11" s="4" t="s">
        <v>130</v>
      </c>
      <c r="G11" s="17"/>
      <c r="H11" s="13"/>
      <c r="I11" s="13" t="s">
        <v>104</v>
      </c>
      <c r="J11" s="13" t="s">
        <v>137</v>
      </c>
      <c r="K11" s="13" t="s">
        <v>130</v>
      </c>
      <c r="L11" s="13" t="s">
        <v>10</v>
      </c>
      <c r="M11" s="17" t="s">
        <v>41</v>
      </c>
      <c r="N11" s="17" t="s">
        <v>138</v>
      </c>
      <c r="O11" s="408" t="s">
        <v>12</v>
      </c>
      <c r="P11" s="17"/>
      <c r="Q11" s="17" t="s">
        <v>148</v>
      </c>
      <c r="R11" s="17" t="s">
        <v>149</v>
      </c>
      <c r="S11" s="17" t="s">
        <v>150</v>
      </c>
      <c r="T11" s="17" t="s">
        <v>196</v>
      </c>
      <c r="U11" s="409" t="s">
        <v>12</v>
      </c>
      <c r="V11" s="406"/>
      <c r="W11" s="19" t="s">
        <v>156</v>
      </c>
      <c r="X11" s="310" t="s">
        <v>113</v>
      </c>
    </row>
    <row r="12" spans="1:38" x14ac:dyDescent="0.25">
      <c r="A12" s="11"/>
      <c r="B12" s="12"/>
      <c r="C12" s="13"/>
      <c r="D12" s="17"/>
      <c r="E12" s="13" t="s">
        <v>16</v>
      </c>
      <c r="F12" s="4" t="s">
        <v>103</v>
      </c>
      <c r="G12" s="17"/>
      <c r="H12" s="13"/>
      <c r="I12" s="13" t="s">
        <v>17</v>
      </c>
      <c r="J12" s="13" t="s">
        <v>50</v>
      </c>
      <c r="K12" s="13" t="s">
        <v>103</v>
      </c>
      <c r="L12" s="13"/>
      <c r="M12" s="20" t="s">
        <v>14</v>
      </c>
      <c r="N12" s="20" t="s">
        <v>17</v>
      </c>
      <c r="O12" s="4" t="s">
        <v>152</v>
      </c>
      <c r="P12" s="20"/>
      <c r="Q12" s="17" t="s">
        <v>16</v>
      </c>
      <c r="R12" s="20" t="s">
        <v>151</v>
      </c>
      <c r="S12" s="20" t="s">
        <v>50</v>
      </c>
      <c r="T12" s="20" t="s">
        <v>10</v>
      </c>
      <c r="U12" s="20" t="s">
        <v>155</v>
      </c>
      <c r="V12" s="21"/>
      <c r="W12" s="15"/>
      <c r="X12" s="310" t="s">
        <v>79</v>
      </c>
    </row>
    <row r="13" spans="1:38" hidden="1" x14ac:dyDescent="0.25">
      <c r="A13" s="113"/>
      <c r="B13" s="114"/>
      <c r="C13" s="115"/>
      <c r="D13" s="16" t="s">
        <v>295</v>
      </c>
      <c r="E13" s="115" t="s">
        <v>296</v>
      </c>
      <c r="F13" s="116" t="s">
        <v>297</v>
      </c>
      <c r="G13" s="16" t="s">
        <v>298</v>
      </c>
      <c r="H13" s="115" t="s">
        <v>299</v>
      </c>
      <c r="I13" s="115" t="s">
        <v>300</v>
      </c>
      <c r="J13" s="115" t="s">
        <v>301</v>
      </c>
      <c r="K13" s="124" t="s">
        <v>302</v>
      </c>
      <c r="L13" s="115" t="s">
        <v>303</v>
      </c>
      <c r="M13" s="117" t="s">
        <v>304</v>
      </c>
      <c r="N13" s="118" t="s">
        <v>305</v>
      </c>
      <c r="O13" s="116"/>
      <c r="P13" s="20"/>
      <c r="Q13" s="16" t="s">
        <v>306</v>
      </c>
      <c r="R13" s="118" t="s">
        <v>307</v>
      </c>
      <c r="S13" s="118" t="s">
        <v>308</v>
      </c>
      <c r="T13" s="115" t="s">
        <v>309</v>
      </c>
      <c r="U13" s="16"/>
      <c r="V13" s="119"/>
      <c r="W13" s="419"/>
      <c r="X13" s="245"/>
    </row>
    <row r="14" spans="1:38" ht="20.25" customHeight="1" thickBot="1" x14ac:dyDescent="0.25">
      <c r="A14" s="197">
        <v>1</v>
      </c>
      <c r="B14" s="218"/>
      <c r="C14" s="218">
        <v>2</v>
      </c>
      <c r="D14" s="218">
        <v>3</v>
      </c>
      <c r="E14" s="218">
        <v>4</v>
      </c>
      <c r="F14" s="218">
        <v>5</v>
      </c>
      <c r="G14" s="218">
        <v>6</v>
      </c>
      <c r="H14" s="218">
        <v>7</v>
      </c>
      <c r="I14" s="218">
        <v>8</v>
      </c>
      <c r="J14" s="218">
        <v>9</v>
      </c>
      <c r="K14" s="218">
        <v>10</v>
      </c>
      <c r="L14" s="218">
        <v>11</v>
      </c>
      <c r="M14" s="218">
        <v>12</v>
      </c>
      <c r="N14" s="218">
        <v>13</v>
      </c>
      <c r="O14" s="218">
        <v>14</v>
      </c>
      <c r="P14" s="218"/>
      <c r="Q14" s="218">
        <v>15</v>
      </c>
      <c r="R14" s="218">
        <v>16</v>
      </c>
      <c r="S14" s="218">
        <v>17</v>
      </c>
      <c r="T14" s="218">
        <v>18</v>
      </c>
      <c r="U14" s="218">
        <v>19</v>
      </c>
      <c r="V14" s="219"/>
      <c r="W14" s="220">
        <v>20</v>
      </c>
      <c r="X14" s="246">
        <v>21</v>
      </c>
    </row>
    <row r="15" spans="1:38" ht="22.5" hidden="1" customHeight="1" x14ac:dyDescent="0.25">
      <c r="A15" s="22"/>
      <c r="B15" s="23"/>
      <c r="C15" s="24" t="s">
        <v>67</v>
      </c>
      <c r="D15" s="25">
        <v>0</v>
      </c>
      <c r="E15" s="25">
        <v>0</v>
      </c>
      <c r="F15" s="25">
        <v>0</v>
      </c>
      <c r="G15" s="25">
        <v>7600</v>
      </c>
      <c r="H15" s="25">
        <v>13063</v>
      </c>
      <c r="I15" s="158">
        <v>0</v>
      </c>
      <c r="J15" s="25">
        <v>0</v>
      </c>
      <c r="K15" s="25">
        <v>0</v>
      </c>
      <c r="L15" s="25">
        <v>5100</v>
      </c>
      <c r="M15" s="25">
        <v>2200</v>
      </c>
      <c r="N15" s="25">
        <v>0</v>
      </c>
      <c r="O15" s="418">
        <f>SUM(D15:N15)</f>
        <v>27963</v>
      </c>
      <c r="P15" s="25"/>
      <c r="Q15" s="25">
        <v>0</v>
      </c>
      <c r="R15" s="25">
        <v>0</v>
      </c>
      <c r="S15" s="25">
        <v>0</v>
      </c>
      <c r="T15" s="25">
        <v>0</v>
      </c>
      <c r="U15" s="418">
        <f>SUM(Q15:T15)</f>
        <v>0</v>
      </c>
      <c r="V15" s="157"/>
      <c r="W15" s="143">
        <f>O15+U15</f>
        <v>27963</v>
      </c>
      <c r="X15" s="247">
        <v>2575138</v>
      </c>
    </row>
    <row r="16" spans="1:38" ht="20.100000000000001" hidden="1" customHeight="1" x14ac:dyDescent="0.25">
      <c r="A16" s="160"/>
      <c r="B16" s="140"/>
      <c r="C16" s="28" t="s">
        <v>110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145"/>
      <c r="W16" s="237">
        <f>O16+U16</f>
        <v>0</v>
      </c>
      <c r="X16" s="248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70"/>
    </row>
    <row r="17" spans="1:38" ht="20.100000000000001" hidden="1" customHeight="1" x14ac:dyDescent="0.25">
      <c r="A17" s="160"/>
      <c r="B17" s="27" t="s">
        <v>108</v>
      </c>
      <c r="C17" s="24" t="s">
        <v>18</v>
      </c>
      <c r="D17" s="155">
        <f t="shared" ref="D17:W17" si="0">SUM(D15:D16)</f>
        <v>0</v>
      </c>
      <c r="E17" s="155">
        <f t="shared" si="0"/>
        <v>0</v>
      </c>
      <c r="F17" s="155">
        <f t="shared" si="0"/>
        <v>0</v>
      </c>
      <c r="G17" s="155">
        <f t="shared" si="0"/>
        <v>7600</v>
      </c>
      <c r="H17" s="155">
        <f t="shared" si="0"/>
        <v>13063</v>
      </c>
      <c r="I17" s="155">
        <f t="shared" si="0"/>
        <v>0</v>
      </c>
      <c r="J17" s="155">
        <f t="shared" si="0"/>
        <v>0</v>
      </c>
      <c r="K17" s="155">
        <f t="shared" si="0"/>
        <v>0</v>
      </c>
      <c r="L17" s="155">
        <f t="shared" si="0"/>
        <v>5100</v>
      </c>
      <c r="M17" s="155">
        <f t="shared" si="0"/>
        <v>2200</v>
      </c>
      <c r="N17" s="155">
        <f t="shared" si="0"/>
        <v>0</v>
      </c>
      <c r="O17" s="447">
        <f t="shared" si="0"/>
        <v>27963</v>
      </c>
      <c r="P17" s="155"/>
      <c r="Q17" s="155">
        <f>SUM(Q15:Q16)</f>
        <v>0</v>
      </c>
      <c r="R17" s="155">
        <f>SUM(R15:R16)</f>
        <v>0</v>
      </c>
      <c r="S17" s="155">
        <f>SUM(S15:S16)</f>
        <v>0</v>
      </c>
      <c r="T17" s="155">
        <f t="shared" si="0"/>
        <v>0</v>
      </c>
      <c r="U17" s="155">
        <f t="shared" si="0"/>
        <v>0</v>
      </c>
      <c r="V17" s="155"/>
      <c r="W17" s="238">
        <f t="shared" si="0"/>
        <v>27963</v>
      </c>
      <c r="X17" s="249">
        <f>SUM(X15:X16)</f>
        <v>2575138</v>
      </c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70"/>
    </row>
    <row r="18" spans="1:38" ht="30" hidden="1" customHeight="1" x14ac:dyDescent="0.25">
      <c r="A18" s="82"/>
      <c r="B18" s="140"/>
      <c r="C18" s="28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>
        <f t="shared" ref="O18:O27" si="1">SUM(D18:N18)</f>
        <v>0</v>
      </c>
      <c r="P18" s="72"/>
      <c r="Q18" s="72"/>
      <c r="R18" s="72"/>
      <c r="S18" s="72"/>
      <c r="T18" s="72"/>
      <c r="U18" s="72">
        <f t="shared" ref="U18:U27" si="2">SUM(Q18:T18)</f>
        <v>0</v>
      </c>
      <c r="V18" s="162"/>
      <c r="W18" s="239">
        <f t="shared" ref="W18:W27" si="3">O18+U18</f>
        <v>0</v>
      </c>
      <c r="X18" s="328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70"/>
    </row>
    <row r="19" spans="1:38" ht="30" hidden="1" customHeight="1" x14ac:dyDescent="0.25">
      <c r="A19" s="82">
        <v>1</v>
      </c>
      <c r="B19" s="603" t="s">
        <v>241</v>
      </c>
      <c r="C19" s="28" t="s">
        <v>240</v>
      </c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>
        <f t="shared" si="1"/>
        <v>0</v>
      </c>
      <c r="P19" s="72"/>
      <c r="Q19" s="72"/>
      <c r="R19" s="72"/>
      <c r="S19" s="72"/>
      <c r="T19" s="72"/>
      <c r="U19" s="72">
        <f t="shared" si="2"/>
        <v>0</v>
      </c>
      <c r="V19" s="162"/>
      <c r="W19" s="239">
        <f t="shared" si="3"/>
        <v>0</v>
      </c>
      <c r="X19" s="328">
        <f>-14</f>
        <v>-14</v>
      </c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70"/>
    </row>
    <row r="20" spans="1:38" ht="30" hidden="1" customHeight="1" x14ac:dyDescent="0.25">
      <c r="A20" s="82">
        <v>2</v>
      </c>
      <c r="B20" s="141" t="s">
        <v>260</v>
      </c>
      <c r="C20" s="28" t="s">
        <v>259</v>
      </c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>
        <f t="shared" si="1"/>
        <v>0</v>
      </c>
      <c r="P20" s="72"/>
      <c r="Q20" s="72"/>
      <c r="R20" s="72"/>
      <c r="S20" s="72"/>
      <c r="T20" s="72"/>
      <c r="U20" s="72">
        <f t="shared" si="2"/>
        <v>0</v>
      </c>
      <c r="V20" s="162"/>
      <c r="W20" s="239">
        <f t="shared" si="3"/>
        <v>0</v>
      </c>
      <c r="X20" s="328">
        <f>1100.836</f>
        <v>1100.836</v>
      </c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</row>
    <row r="21" spans="1:38" ht="30" hidden="1" customHeight="1" x14ac:dyDescent="0.25">
      <c r="A21" s="227">
        <v>3</v>
      </c>
      <c r="B21" s="228" t="s">
        <v>264</v>
      </c>
      <c r="C21" s="33" t="s">
        <v>219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>
        <f t="shared" si="1"/>
        <v>0</v>
      </c>
      <c r="P21" s="72"/>
      <c r="Q21" s="72"/>
      <c r="R21" s="72"/>
      <c r="S21" s="72"/>
      <c r="T21" s="72"/>
      <c r="U21" s="72">
        <f t="shared" si="2"/>
        <v>0</v>
      </c>
      <c r="V21" s="162"/>
      <c r="W21" s="239">
        <f t="shared" si="3"/>
        <v>0</v>
      </c>
      <c r="X21" s="328">
        <f>3723.574</f>
        <v>3723.5740000000001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70"/>
    </row>
    <row r="22" spans="1:38" ht="30" hidden="1" customHeight="1" x14ac:dyDescent="0.25">
      <c r="A22" s="664">
        <v>4</v>
      </c>
      <c r="B22" s="665" t="s">
        <v>270</v>
      </c>
      <c r="C22" s="33" t="s">
        <v>269</v>
      </c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>
        <f t="shared" si="1"/>
        <v>0</v>
      </c>
      <c r="P22" s="72"/>
      <c r="Q22" s="72"/>
      <c r="R22" s="72"/>
      <c r="S22" s="72"/>
      <c r="T22" s="72"/>
      <c r="U22" s="72">
        <f t="shared" si="2"/>
        <v>0</v>
      </c>
      <c r="V22" s="162"/>
      <c r="W22" s="239">
        <f t="shared" si="3"/>
        <v>0</v>
      </c>
      <c r="X22" s="328">
        <f>-25400</f>
        <v>-25400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70"/>
    </row>
    <row r="23" spans="1:38" ht="30" hidden="1" customHeight="1" x14ac:dyDescent="0.25">
      <c r="A23" s="82"/>
      <c r="B23" s="141"/>
      <c r="C23" s="33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>
        <f t="shared" si="1"/>
        <v>0</v>
      </c>
      <c r="P23" s="72"/>
      <c r="Q23" s="72"/>
      <c r="R23" s="72"/>
      <c r="S23" s="72"/>
      <c r="T23" s="72"/>
      <c r="U23" s="72">
        <f t="shared" si="2"/>
        <v>0</v>
      </c>
      <c r="V23" s="162"/>
      <c r="W23" s="239">
        <f t="shared" si="3"/>
        <v>0</v>
      </c>
      <c r="X23" s="328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70"/>
    </row>
    <row r="24" spans="1:38" ht="30" hidden="1" customHeight="1" x14ac:dyDescent="0.25">
      <c r="A24" s="82"/>
      <c r="B24" s="141"/>
      <c r="C24" s="33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>
        <f t="shared" si="1"/>
        <v>0</v>
      </c>
      <c r="P24" s="72"/>
      <c r="Q24" s="72"/>
      <c r="R24" s="72"/>
      <c r="S24" s="72"/>
      <c r="T24" s="72"/>
      <c r="U24" s="72">
        <f t="shared" si="2"/>
        <v>0</v>
      </c>
      <c r="V24" s="162"/>
      <c r="W24" s="239">
        <f t="shared" si="3"/>
        <v>0</v>
      </c>
      <c r="X24" s="328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70"/>
    </row>
    <row r="25" spans="1:38" ht="30" hidden="1" customHeight="1" x14ac:dyDescent="0.25">
      <c r="A25" s="82"/>
      <c r="B25" s="141"/>
      <c r="C25" s="33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>
        <f t="shared" si="1"/>
        <v>0</v>
      </c>
      <c r="P25" s="72"/>
      <c r="Q25" s="72"/>
      <c r="R25" s="72"/>
      <c r="S25" s="72"/>
      <c r="T25" s="72"/>
      <c r="U25" s="72">
        <f t="shared" si="2"/>
        <v>0</v>
      </c>
      <c r="V25" s="162"/>
      <c r="W25" s="239">
        <f t="shared" si="3"/>
        <v>0</v>
      </c>
      <c r="X25" s="328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70"/>
    </row>
    <row r="26" spans="1:38" ht="30" hidden="1" customHeight="1" x14ac:dyDescent="0.25">
      <c r="A26" s="630">
        <v>5</v>
      </c>
      <c r="B26" s="599" t="s">
        <v>355</v>
      </c>
      <c r="C26" s="33" t="s">
        <v>219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>
        <f t="shared" si="1"/>
        <v>0</v>
      </c>
      <c r="P26" s="72"/>
      <c r="Q26" s="72"/>
      <c r="R26" s="72"/>
      <c r="S26" s="72"/>
      <c r="T26" s="72"/>
      <c r="U26" s="72">
        <f t="shared" si="2"/>
        <v>0</v>
      </c>
      <c r="V26" s="162"/>
      <c r="W26" s="239">
        <f t="shared" si="3"/>
        <v>0</v>
      </c>
      <c r="X26" s="328">
        <f>1039.407</f>
        <v>1039.4069999999999</v>
      </c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70"/>
    </row>
    <row r="27" spans="1:38" ht="30" hidden="1" customHeight="1" x14ac:dyDescent="0.25">
      <c r="A27" s="82"/>
      <c r="B27" s="141"/>
      <c r="C27" s="2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>
        <f t="shared" si="1"/>
        <v>0</v>
      </c>
      <c r="P27" s="72"/>
      <c r="Q27" s="72"/>
      <c r="R27" s="72"/>
      <c r="S27" s="72"/>
      <c r="T27" s="72"/>
      <c r="U27" s="72">
        <f t="shared" si="2"/>
        <v>0</v>
      </c>
      <c r="V27" s="162"/>
      <c r="W27" s="239">
        <f t="shared" si="3"/>
        <v>0</v>
      </c>
      <c r="X27" s="328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70"/>
    </row>
    <row r="28" spans="1:38" ht="9.9499999999999993" hidden="1" customHeight="1" x14ac:dyDescent="0.25">
      <c r="A28" s="82"/>
      <c r="B28" s="141"/>
      <c r="C28" s="28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162"/>
      <c r="W28" s="239"/>
      <c r="X28" s="328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70"/>
    </row>
    <row r="29" spans="1:38" ht="30" hidden="1" customHeight="1" x14ac:dyDescent="0.25">
      <c r="A29" s="216" t="s">
        <v>88</v>
      </c>
      <c r="B29" s="212"/>
      <c r="C29" s="217" t="s">
        <v>86</v>
      </c>
      <c r="D29" s="72">
        <f t="shared" ref="D29:O29" si="4">SUM(D18:D28)</f>
        <v>0</v>
      </c>
      <c r="E29" s="72">
        <f t="shared" si="4"/>
        <v>0</v>
      </c>
      <c r="F29" s="72">
        <f t="shared" si="4"/>
        <v>0</v>
      </c>
      <c r="G29" s="72">
        <f t="shared" si="4"/>
        <v>0</v>
      </c>
      <c r="H29" s="72">
        <f t="shared" si="4"/>
        <v>0</v>
      </c>
      <c r="I29" s="72">
        <f t="shared" si="4"/>
        <v>0</v>
      </c>
      <c r="J29" s="72">
        <f t="shared" si="4"/>
        <v>0</v>
      </c>
      <c r="K29" s="72">
        <f t="shared" si="4"/>
        <v>0</v>
      </c>
      <c r="L29" s="72">
        <f t="shared" si="4"/>
        <v>0</v>
      </c>
      <c r="M29" s="72">
        <f t="shared" si="4"/>
        <v>0</v>
      </c>
      <c r="N29" s="72">
        <f t="shared" si="4"/>
        <v>0</v>
      </c>
      <c r="O29" s="72">
        <f t="shared" si="4"/>
        <v>0</v>
      </c>
      <c r="P29" s="72"/>
      <c r="Q29" s="72"/>
      <c r="R29" s="72"/>
      <c r="S29" s="72">
        <f>SUM(S18:S28)</f>
        <v>0</v>
      </c>
      <c r="T29" s="72">
        <f>SUM(T18:T28)</f>
        <v>0</v>
      </c>
      <c r="U29" s="72">
        <f>SUM(U18:U28)</f>
        <v>0</v>
      </c>
      <c r="V29" s="214"/>
      <c r="W29" s="240">
        <f>O29+U29</f>
        <v>0</v>
      </c>
      <c r="X29" s="328">
        <f>SUM(X18:X28)</f>
        <v>-19550.183000000001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70"/>
    </row>
    <row r="30" spans="1:38" ht="9.9499999999999993" hidden="1" customHeight="1" x14ac:dyDescent="0.25">
      <c r="A30" s="82"/>
      <c r="B30" s="141"/>
      <c r="C30" s="28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162"/>
      <c r="W30" s="239"/>
      <c r="X30" s="328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70"/>
    </row>
    <row r="31" spans="1:38" ht="30" hidden="1" customHeight="1" x14ac:dyDescent="0.25">
      <c r="A31" s="82">
        <v>6</v>
      </c>
      <c r="B31" s="228" t="s">
        <v>273</v>
      </c>
      <c r="C31" s="28" t="s">
        <v>274</v>
      </c>
      <c r="D31" s="453"/>
      <c r="E31" s="453"/>
      <c r="F31" s="453"/>
      <c r="G31" s="453"/>
      <c r="H31" s="667">
        <f>2625+709</f>
        <v>3334</v>
      </c>
      <c r="I31" s="453"/>
      <c r="J31" s="453"/>
      <c r="K31" s="453"/>
      <c r="L31" s="453"/>
      <c r="M31" s="453"/>
      <c r="N31" s="453"/>
      <c r="O31" s="453">
        <f>SUM(D31:N31)</f>
        <v>3334</v>
      </c>
      <c r="P31" s="453"/>
      <c r="Q31" s="453"/>
      <c r="R31" s="453"/>
      <c r="S31" s="453"/>
      <c r="T31" s="453"/>
      <c r="U31" s="453">
        <f>SUM(Q31:T31)</f>
        <v>0</v>
      </c>
      <c r="V31" s="162"/>
      <c r="W31" s="239">
        <f>O31+U31</f>
        <v>3334</v>
      </c>
      <c r="X31" s="328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70"/>
    </row>
    <row r="32" spans="1:38" ht="30" hidden="1" customHeight="1" x14ac:dyDescent="0.25">
      <c r="A32" s="664">
        <v>7</v>
      </c>
      <c r="B32" s="666" t="s">
        <v>275</v>
      </c>
      <c r="C32" s="41" t="s">
        <v>276</v>
      </c>
      <c r="D32" s="453"/>
      <c r="E32" s="453"/>
      <c r="F32" s="667">
        <f>3487.87</f>
        <v>3487.87</v>
      </c>
      <c r="G32" s="453"/>
      <c r="H32" s="453"/>
      <c r="I32" s="453"/>
      <c r="J32" s="453"/>
      <c r="K32" s="453"/>
      <c r="L32" s="453"/>
      <c r="M32" s="453"/>
      <c r="N32" s="453"/>
      <c r="O32" s="453">
        <f>SUM(D32:N32)</f>
        <v>3487.87</v>
      </c>
      <c r="P32" s="453"/>
      <c r="Q32" s="453"/>
      <c r="R32" s="453"/>
      <c r="S32" s="453"/>
      <c r="T32" s="453"/>
      <c r="U32" s="453">
        <f>SUM(Q32:T32)</f>
        <v>0</v>
      </c>
      <c r="V32" s="162"/>
      <c r="W32" s="239">
        <f>O32+U32</f>
        <v>3487.87</v>
      </c>
      <c r="X32" s="328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70"/>
    </row>
    <row r="33" spans="1:38" ht="30" hidden="1" customHeight="1" x14ac:dyDescent="0.25">
      <c r="A33" s="227">
        <v>8</v>
      </c>
      <c r="B33" s="228" t="s">
        <v>345</v>
      </c>
      <c r="C33" s="28" t="s">
        <v>274</v>
      </c>
      <c r="D33" s="453"/>
      <c r="E33" s="453"/>
      <c r="F33" s="453"/>
      <c r="G33" s="453"/>
      <c r="H33" s="453">
        <f>13</f>
        <v>13</v>
      </c>
      <c r="I33" s="453"/>
      <c r="J33" s="453"/>
      <c r="K33" s="453"/>
      <c r="L33" s="453"/>
      <c r="M33" s="453"/>
      <c r="N33" s="453"/>
      <c r="O33" s="453">
        <f>SUM(D33:N33)</f>
        <v>13</v>
      </c>
      <c r="P33" s="453"/>
      <c r="Q33" s="453"/>
      <c r="R33" s="453"/>
      <c r="S33" s="453"/>
      <c r="T33" s="453"/>
      <c r="U33" s="453">
        <f>SUM(Q33:T33)</f>
        <v>0</v>
      </c>
      <c r="V33" s="162"/>
      <c r="W33" s="239">
        <f>O33+U33</f>
        <v>13</v>
      </c>
      <c r="X33" s="328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70"/>
    </row>
    <row r="34" spans="1:38" ht="30" hidden="1" customHeight="1" x14ac:dyDescent="0.25">
      <c r="A34" s="82">
        <v>9</v>
      </c>
      <c r="B34" s="141" t="s">
        <v>356</v>
      </c>
      <c r="C34" s="28" t="s">
        <v>357</v>
      </c>
      <c r="D34" s="453"/>
      <c r="E34" s="453"/>
      <c r="F34" s="453"/>
      <c r="G34" s="453"/>
      <c r="H34" s="453">
        <f>45</f>
        <v>45</v>
      </c>
      <c r="I34" s="453"/>
      <c r="J34" s="453"/>
      <c r="K34" s="453"/>
      <c r="L34" s="453">
        <f>4</f>
        <v>4</v>
      </c>
      <c r="M34" s="453"/>
      <c r="N34" s="453"/>
      <c r="O34" s="453">
        <f t="shared" ref="O34:O39" si="5">SUM(D34:N34)</f>
        <v>49</v>
      </c>
      <c r="P34" s="453"/>
      <c r="Q34" s="453"/>
      <c r="R34" s="453"/>
      <c r="S34" s="453"/>
      <c r="T34" s="453"/>
      <c r="U34" s="453">
        <f t="shared" ref="U34:U39" si="6">SUM(Q34:T34)</f>
        <v>0</v>
      </c>
      <c r="V34" s="162"/>
      <c r="W34" s="239">
        <f t="shared" ref="W34:W39" si="7">O34+U34</f>
        <v>49</v>
      </c>
      <c r="X34" s="328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70"/>
    </row>
    <row r="35" spans="1:38" ht="30" hidden="1" customHeight="1" x14ac:dyDescent="0.25">
      <c r="A35" s="630">
        <v>10</v>
      </c>
      <c r="B35" s="599" t="s">
        <v>374</v>
      </c>
      <c r="C35" s="28" t="s">
        <v>276</v>
      </c>
      <c r="D35" s="453"/>
      <c r="E35" s="453"/>
      <c r="F35" s="453">
        <f>2104.987</f>
        <v>2104.9870000000001</v>
      </c>
      <c r="G35" s="453"/>
      <c r="H35" s="453"/>
      <c r="I35" s="453"/>
      <c r="J35" s="453"/>
      <c r="K35" s="453"/>
      <c r="L35" s="453"/>
      <c r="M35" s="453"/>
      <c r="N35" s="453"/>
      <c r="O35" s="453">
        <f t="shared" si="5"/>
        <v>2104.9870000000001</v>
      </c>
      <c r="P35" s="453"/>
      <c r="Q35" s="453"/>
      <c r="R35" s="453"/>
      <c r="S35" s="453"/>
      <c r="T35" s="453"/>
      <c r="U35" s="453">
        <f t="shared" si="6"/>
        <v>0</v>
      </c>
      <c r="V35" s="162"/>
      <c r="W35" s="239">
        <f t="shared" si="7"/>
        <v>2104.9870000000001</v>
      </c>
      <c r="X35" s="328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70"/>
    </row>
    <row r="36" spans="1:38" ht="30" hidden="1" customHeight="1" x14ac:dyDescent="0.25">
      <c r="A36" s="82"/>
      <c r="B36" s="141"/>
      <c r="C36" s="28"/>
      <c r="D36" s="453"/>
      <c r="E36" s="453"/>
      <c r="F36" s="453"/>
      <c r="G36" s="453"/>
      <c r="H36" s="453"/>
      <c r="I36" s="453"/>
      <c r="J36" s="453"/>
      <c r="K36" s="453"/>
      <c r="L36" s="453"/>
      <c r="M36" s="453"/>
      <c r="N36" s="453"/>
      <c r="O36" s="453">
        <f t="shared" si="5"/>
        <v>0</v>
      </c>
      <c r="P36" s="453"/>
      <c r="Q36" s="453"/>
      <c r="R36" s="453"/>
      <c r="S36" s="453"/>
      <c r="T36" s="453"/>
      <c r="U36" s="453">
        <f t="shared" si="6"/>
        <v>0</v>
      </c>
      <c r="V36" s="162"/>
      <c r="W36" s="239">
        <f t="shared" si="7"/>
        <v>0</v>
      </c>
      <c r="X36" s="328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70"/>
    </row>
    <row r="37" spans="1:38" ht="30" hidden="1" customHeight="1" x14ac:dyDescent="0.25">
      <c r="A37" s="82"/>
      <c r="B37" s="141"/>
      <c r="C37" s="28"/>
      <c r="D37" s="453"/>
      <c r="E37" s="453"/>
      <c r="F37" s="453"/>
      <c r="G37" s="453"/>
      <c r="H37" s="453"/>
      <c r="I37" s="453"/>
      <c r="J37" s="453"/>
      <c r="K37" s="453"/>
      <c r="L37" s="453"/>
      <c r="M37" s="453"/>
      <c r="N37" s="453"/>
      <c r="O37" s="453">
        <f t="shared" si="5"/>
        <v>0</v>
      </c>
      <c r="P37" s="453"/>
      <c r="Q37" s="453"/>
      <c r="R37" s="453"/>
      <c r="S37" s="453"/>
      <c r="T37" s="453"/>
      <c r="U37" s="453">
        <f t="shared" si="6"/>
        <v>0</v>
      </c>
      <c r="V37" s="162"/>
      <c r="W37" s="239">
        <f t="shared" si="7"/>
        <v>0</v>
      </c>
      <c r="X37" s="328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70"/>
    </row>
    <row r="38" spans="1:38" ht="30" hidden="1" customHeight="1" x14ac:dyDescent="0.25">
      <c r="A38" s="82"/>
      <c r="B38" s="141"/>
      <c r="C38" s="28"/>
      <c r="D38" s="453"/>
      <c r="E38" s="453"/>
      <c r="F38" s="453"/>
      <c r="G38" s="453"/>
      <c r="H38" s="453"/>
      <c r="I38" s="453"/>
      <c r="J38" s="453"/>
      <c r="K38" s="453"/>
      <c r="L38" s="453"/>
      <c r="M38" s="453"/>
      <c r="N38" s="453"/>
      <c r="O38" s="453">
        <f t="shared" si="5"/>
        <v>0</v>
      </c>
      <c r="P38" s="453"/>
      <c r="Q38" s="453"/>
      <c r="R38" s="453"/>
      <c r="S38" s="453"/>
      <c r="T38" s="453"/>
      <c r="U38" s="453">
        <f t="shared" si="6"/>
        <v>0</v>
      </c>
      <c r="V38" s="162"/>
      <c r="W38" s="239">
        <f t="shared" si="7"/>
        <v>0</v>
      </c>
      <c r="X38" s="328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70"/>
    </row>
    <row r="39" spans="1:38" ht="30" hidden="1" customHeight="1" x14ac:dyDescent="0.25">
      <c r="A39" s="82"/>
      <c r="B39" s="141"/>
      <c r="C39" s="28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>
        <f t="shared" si="5"/>
        <v>0</v>
      </c>
      <c r="P39" s="453"/>
      <c r="Q39" s="453"/>
      <c r="R39" s="453"/>
      <c r="S39" s="453"/>
      <c r="T39" s="453"/>
      <c r="U39" s="453">
        <f t="shared" si="6"/>
        <v>0</v>
      </c>
      <c r="V39" s="162"/>
      <c r="W39" s="239">
        <f t="shared" si="7"/>
        <v>0</v>
      </c>
      <c r="X39" s="328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70"/>
    </row>
    <row r="40" spans="1:38" ht="9.9499999999999993" hidden="1" customHeight="1" x14ac:dyDescent="0.25">
      <c r="A40" s="82"/>
      <c r="B40" s="141"/>
      <c r="C40" s="28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  <c r="S40" s="453"/>
      <c r="T40" s="453"/>
      <c r="U40" s="453"/>
      <c r="V40" s="162"/>
      <c r="W40" s="239"/>
      <c r="X40" s="328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70"/>
    </row>
    <row r="41" spans="1:38" ht="30" hidden="1" customHeight="1" x14ac:dyDescent="0.25">
      <c r="A41" s="216" t="s">
        <v>89</v>
      </c>
      <c r="B41" s="212"/>
      <c r="C41" s="217" t="s">
        <v>87</v>
      </c>
      <c r="D41" s="604"/>
      <c r="E41" s="453">
        <f>SUM(E31:E40)</f>
        <v>0</v>
      </c>
      <c r="F41" s="453">
        <f t="shared" ref="F41:K41" si="8">SUM(F31:F40)</f>
        <v>5592.857</v>
      </c>
      <c r="G41" s="453">
        <f t="shared" si="8"/>
        <v>0</v>
      </c>
      <c r="H41" s="453">
        <f t="shared" si="8"/>
        <v>3392</v>
      </c>
      <c r="I41" s="453">
        <f t="shared" si="8"/>
        <v>0</v>
      </c>
      <c r="J41" s="453">
        <f t="shared" si="8"/>
        <v>0</v>
      </c>
      <c r="K41" s="453">
        <f t="shared" si="8"/>
        <v>0</v>
      </c>
      <c r="L41" s="453">
        <f t="shared" ref="L41:U41" si="9">SUM(L31:L40)</f>
        <v>4</v>
      </c>
      <c r="M41" s="453">
        <f t="shared" si="9"/>
        <v>0</v>
      </c>
      <c r="N41" s="453">
        <f t="shared" si="9"/>
        <v>0</v>
      </c>
      <c r="O41" s="453">
        <f t="shared" si="9"/>
        <v>8988.857</v>
      </c>
      <c r="P41" s="453"/>
      <c r="Q41" s="453"/>
      <c r="R41" s="453"/>
      <c r="S41" s="453">
        <f t="shared" si="9"/>
        <v>0</v>
      </c>
      <c r="T41" s="453">
        <f t="shared" si="9"/>
        <v>0</v>
      </c>
      <c r="U41" s="453">
        <f t="shared" si="9"/>
        <v>0</v>
      </c>
      <c r="V41" s="214"/>
      <c r="W41" s="240">
        <f>O41+U41</f>
        <v>8988.857</v>
      </c>
      <c r="X41" s="328">
        <f>SUM(X31:X40)</f>
        <v>0</v>
      </c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70"/>
    </row>
    <row r="42" spans="1:38" ht="20.100000000000001" hidden="1" customHeight="1" thickBot="1" x14ac:dyDescent="0.3">
      <c r="A42" s="68"/>
      <c r="B42" s="120"/>
      <c r="C42" s="28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146"/>
      <c r="W42" s="241"/>
      <c r="X42" s="248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70"/>
    </row>
    <row r="43" spans="1:38" ht="24.95" hidden="1" customHeight="1" thickTop="1" thickBot="1" x14ac:dyDescent="0.3">
      <c r="A43" s="35"/>
      <c r="B43" s="36"/>
      <c r="C43" s="44" t="s">
        <v>90</v>
      </c>
      <c r="D43" s="37">
        <f t="shared" ref="D43:U43" si="10">D29+D41</f>
        <v>0</v>
      </c>
      <c r="E43" s="37">
        <f t="shared" si="10"/>
        <v>0</v>
      </c>
      <c r="F43" s="37">
        <f t="shared" si="10"/>
        <v>5592.857</v>
      </c>
      <c r="G43" s="37">
        <f t="shared" si="10"/>
        <v>0</v>
      </c>
      <c r="H43" s="37">
        <f t="shared" si="10"/>
        <v>3392</v>
      </c>
      <c r="I43" s="37">
        <f t="shared" si="10"/>
        <v>0</v>
      </c>
      <c r="J43" s="37">
        <f t="shared" si="10"/>
        <v>0</v>
      </c>
      <c r="K43" s="37">
        <f t="shared" si="10"/>
        <v>0</v>
      </c>
      <c r="L43" s="37">
        <f t="shared" si="10"/>
        <v>4</v>
      </c>
      <c r="M43" s="37">
        <f t="shared" si="10"/>
        <v>0</v>
      </c>
      <c r="N43" s="37">
        <f t="shared" si="10"/>
        <v>0</v>
      </c>
      <c r="O43" s="37">
        <f t="shared" si="10"/>
        <v>8988.857</v>
      </c>
      <c r="P43" s="37"/>
      <c r="Q43" s="37">
        <f>Q29+Q41</f>
        <v>0</v>
      </c>
      <c r="R43" s="37">
        <f>R29+R41</f>
        <v>0</v>
      </c>
      <c r="S43" s="37">
        <f t="shared" si="10"/>
        <v>0</v>
      </c>
      <c r="T43" s="37">
        <f t="shared" si="10"/>
        <v>0</v>
      </c>
      <c r="U43" s="37">
        <f t="shared" si="10"/>
        <v>0</v>
      </c>
      <c r="V43" s="215"/>
      <c r="W43" s="242">
        <f>W29+W41</f>
        <v>8988.857</v>
      </c>
      <c r="X43" s="38">
        <f>X29+X41</f>
        <v>-19550.183000000001</v>
      </c>
    </row>
    <row r="44" spans="1:38" ht="24.95" hidden="1" customHeight="1" thickTop="1" thickBot="1" x14ac:dyDescent="0.3">
      <c r="A44" s="35"/>
      <c r="B44" s="36"/>
      <c r="C44" s="44" t="s">
        <v>157</v>
      </c>
      <c r="D44" s="210">
        <f t="shared" ref="D44:O44" si="11">D17+D43</f>
        <v>0</v>
      </c>
      <c r="E44" s="210">
        <f t="shared" si="11"/>
        <v>0</v>
      </c>
      <c r="F44" s="210">
        <f t="shared" si="11"/>
        <v>5592.857</v>
      </c>
      <c r="G44" s="210">
        <f t="shared" si="11"/>
        <v>7600</v>
      </c>
      <c r="H44" s="210">
        <f t="shared" si="11"/>
        <v>16455</v>
      </c>
      <c r="I44" s="210">
        <f t="shared" si="11"/>
        <v>0</v>
      </c>
      <c r="J44" s="210">
        <f t="shared" si="11"/>
        <v>0</v>
      </c>
      <c r="K44" s="210">
        <f t="shared" si="11"/>
        <v>0</v>
      </c>
      <c r="L44" s="210">
        <f t="shared" si="11"/>
        <v>5104</v>
      </c>
      <c r="M44" s="210">
        <f t="shared" si="11"/>
        <v>2200</v>
      </c>
      <c r="N44" s="37">
        <f t="shared" si="11"/>
        <v>0</v>
      </c>
      <c r="O44" s="37">
        <f t="shared" si="11"/>
        <v>36951.857000000004</v>
      </c>
      <c r="P44" s="37"/>
      <c r="Q44" s="37">
        <f>Q17+Q43</f>
        <v>0</v>
      </c>
      <c r="R44" s="37">
        <f>R17+R43</f>
        <v>0</v>
      </c>
      <c r="S44" s="37">
        <f>S17+S43</f>
        <v>0</v>
      </c>
      <c r="T44" s="37">
        <f>T17+T43</f>
        <v>0</v>
      </c>
      <c r="U44" s="37">
        <f>U17+U43</f>
        <v>0</v>
      </c>
      <c r="V44" s="37"/>
      <c r="W44" s="242">
        <f>O44+U44</f>
        <v>36951.857000000004</v>
      </c>
      <c r="X44" s="235">
        <f>X17+X43</f>
        <v>2555587.8169999998</v>
      </c>
    </row>
    <row r="45" spans="1:38" ht="15" hidden="1" customHeight="1" thickTop="1" thickBot="1" x14ac:dyDescent="0.3">
      <c r="A45" s="35"/>
      <c r="B45" s="36"/>
      <c r="C45" s="44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37"/>
      <c r="O45" s="37"/>
      <c r="P45" s="37"/>
      <c r="Q45" s="37"/>
      <c r="R45" s="37"/>
      <c r="S45" s="37"/>
      <c r="T45" s="37"/>
      <c r="U45" s="37"/>
      <c r="V45" s="37"/>
      <c r="W45" s="242"/>
      <c r="X45" s="235"/>
    </row>
    <row r="46" spans="1:38" ht="24.95" hidden="1" customHeight="1" thickTop="1" thickBot="1" x14ac:dyDescent="0.3">
      <c r="A46" s="35"/>
      <c r="B46" s="36"/>
      <c r="C46" s="307" t="s">
        <v>312</v>
      </c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37"/>
      <c r="O46" s="37">
        <f>SUM(D46:N46)</f>
        <v>0</v>
      </c>
      <c r="P46" s="37"/>
      <c r="Q46" s="37"/>
      <c r="R46" s="633">
        <v>39544</v>
      </c>
      <c r="S46" s="633"/>
      <c r="T46" s="37"/>
      <c r="U46" s="37">
        <f>SUM(Q46:T46)</f>
        <v>39544</v>
      </c>
      <c r="V46" s="37"/>
      <c r="W46" s="242">
        <f>O46+U46</f>
        <v>39544</v>
      </c>
      <c r="X46" s="235">
        <v>55701</v>
      </c>
    </row>
    <row r="47" spans="1:38" ht="15" hidden="1" customHeight="1" thickTop="1" thickBot="1" x14ac:dyDescent="0.3">
      <c r="A47" s="35"/>
      <c r="B47" s="36"/>
      <c r="C47" s="307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37"/>
      <c r="O47" s="37"/>
      <c r="P47" s="37"/>
      <c r="Q47" s="37"/>
      <c r="R47" s="37"/>
      <c r="S47" s="37"/>
      <c r="T47" s="37"/>
      <c r="U47" s="37"/>
      <c r="V47" s="37"/>
      <c r="W47" s="242"/>
      <c r="X47" s="235"/>
    </row>
    <row r="48" spans="1:38" ht="24.95" hidden="1" customHeight="1" thickTop="1" thickBot="1" x14ac:dyDescent="0.3">
      <c r="A48" s="35"/>
      <c r="B48" s="36"/>
      <c r="C48" s="307" t="s">
        <v>85</v>
      </c>
      <c r="D48" s="210"/>
      <c r="E48" s="210"/>
      <c r="F48" s="210"/>
      <c r="G48" s="210"/>
      <c r="H48" s="210"/>
      <c r="I48" s="210"/>
      <c r="J48" s="210"/>
      <c r="K48" s="210"/>
      <c r="L48" s="210"/>
      <c r="M48" s="37"/>
      <c r="N48" s="37"/>
      <c r="O48" s="37">
        <f>SUM(D48:N48)</f>
        <v>0</v>
      </c>
      <c r="P48" s="37"/>
      <c r="Q48" s="37"/>
      <c r="R48" s="37"/>
      <c r="S48" s="37"/>
      <c r="T48" s="37"/>
      <c r="U48" s="37">
        <f>SUM(Q48:T48)</f>
        <v>0</v>
      </c>
      <c r="V48" s="210"/>
      <c r="W48" s="242">
        <f>O48+U48</f>
        <v>0</v>
      </c>
      <c r="X48" s="235"/>
    </row>
    <row r="49" spans="1:24" ht="15" hidden="1" customHeight="1" thickTop="1" thickBot="1" x14ac:dyDescent="0.3">
      <c r="A49" s="35"/>
      <c r="B49" s="36"/>
      <c r="C49" s="307"/>
      <c r="D49" s="210"/>
      <c r="E49" s="210"/>
      <c r="F49" s="210"/>
      <c r="G49" s="210"/>
      <c r="H49" s="210"/>
      <c r="I49" s="210"/>
      <c r="J49" s="210"/>
      <c r="K49" s="210"/>
      <c r="L49" s="210"/>
      <c r="M49" s="37"/>
      <c r="N49" s="37"/>
      <c r="O49" s="37"/>
      <c r="P49" s="37"/>
      <c r="Q49" s="37"/>
      <c r="R49" s="37"/>
      <c r="S49" s="37"/>
      <c r="T49" s="37"/>
      <c r="U49" s="37"/>
      <c r="V49" s="210"/>
      <c r="W49" s="242"/>
      <c r="X49" s="235"/>
    </row>
    <row r="50" spans="1:24" ht="30" hidden="1" customHeight="1" thickTop="1" thickBot="1" x14ac:dyDescent="0.3">
      <c r="A50" s="35"/>
      <c r="B50" s="226" t="s">
        <v>180</v>
      </c>
      <c r="C50" s="44" t="s">
        <v>313</v>
      </c>
      <c r="D50" s="37">
        <f t="shared" ref="D50:U50" si="12">D44+D46+D48</f>
        <v>0</v>
      </c>
      <c r="E50" s="37">
        <f t="shared" si="12"/>
        <v>0</v>
      </c>
      <c r="F50" s="37">
        <f t="shared" si="12"/>
        <v>5592.857</v>
      </c>
      <c r="G50" s="37">
        <f t="shared" si="12"/>
        <v>7600</v>
      </c>
      <c r="H50" s="37">
        <f t="shared" si="12"/>
        <v>16455</v>
      </c>
      <c r="I50" s="37">
        <f t="shared" si="12"/>
        <v>0</v>
      </c>
      <c r="J50" s="37">
        <f t="shared" si="12"/>
        <v>0</v>
      </c>
      <c r="K50" s="37">
        <f t="shared" si="12"/>
        <v>0</v>
      </c>
      <c r="L50" s="37">
        <f t="shared" si="12"/>
        <v>5104</v>
      </c>
      <c r="M50" s="37">
        <f t="shared" si="12"/>
        <v>2200</v>
      </c>
      <c r="N50" s="37">
        <f t="shared" si="12"/>
        <v>0</v>
      </c>
      <c r="O50" s="37">
        <f t="shared" si="12"/>
        <v>36951.857000000004</v>
      </c>
      <c r="P50" s="37"/>
      <c r="Q50" s="37">
        <f t="shared" si="12"/>
        <v>0</v>
      </c>
      <c r="R50" s="37">
        <f t="shared" si="12"/>
        <v>39544</v>
      </c>
      <c r="S50" s="37">
        <f t="shared" si="12"/>
        <v>0</v>
      </c>
      <c r="T50" s="37">
        <f t="shared" si="12"/>
        <v>0</v>
      </c>
      <c r="U50" s="37">
        <f t="shared" si="12"/>
        <v>39544</v>
      </c>
      <c r="V50" s="210"/>
      <c r="W50" s="242">
        <f>W44+W46+W48</f>
        <v>76495.857000000004</v>
      </c>
      <c r="X50" s="235">
        <f>X44+X46</f>
        <v>2611288.8169999998</v>
      </c>
    </row>
    <row r="51" spans="1:24" ht="24.95" hidden="1" customHeight="1" x14ac:dyDescent="0.25">
      <c r="A51" s="22"/>
      <c r="B51" s="23"/>
      <c r="C51" s="24" t="s">
        <v>18</v>
      </c>
      <c r="D51" s="25">
        <f t="shared" ref="D51:L51" si="13">D50</f>
        <v>0</v>
      </c>
      <c r="E51" s="25">
        <f t="shared" si="13"/>
        <v>0</v>
      </c>
      <c r="F51" s="25">
        <f t="shared" si="13"/>
        <v>5592.857</v>
      </c>
      <c r="G51" s="25">
        <f t="shared" si="13"/>
        <v>7600</v>
      </c>
      <c r="H51" s="25">
        <f t="shared" si="13"/>
        <v>16455</v>
      </c>
      <c r="I51" s="25">
        <f t="shared" si="13"/>
        <v>0</v>
      </c>
      <c r="J51" s="25">
        <f t="shared" si="13"/>
        <v>0</v>
      </c>
      <c r="K51" s="25">
        <f t="shared" si="13"/>
        <v>0</v>
      </c>
      <c r="L51" s="25">
        <f t="shared" si="13"/>
        <v>5104</v>
      </c>
      <c r="M51" s="25">
        <f t="shared" ref="M51:U51" si="14">M50</f>
        <v>2200</v>
      </c>
      <c r="N51" s="25">
        <f t="shared" si="14"/>
        <v>0</v>
      </c>
      <c r="O51" s="25">
        <f t="shared" si="14"/>
        <v>36951.857000000004</v>
      </c>
      <c r="P51" s="25"/>
      <c r="Q51" s="25">
        <f>Q50</f>
        <v>0</v>
      </c>
      <c r="R51" s="25">
        <f>R50</f>
        <v>39544</v>
      </c>
      <c r="S51" s="25">
        <f t="shared" si="14"/>
        <v>0</v>
      </c>
      <c r="T51" s="25">
        <f t="shared" si="14"/>
        <v>0</v>
      </c>
      <c r="U51" s="25">
        <f t="shared" si="14"/>
        <v>39544</v>
      </c>
      <c r="V51" s="25"/>
      <c r="W51" s="672">
        <f>O51+U51</f>
        <v>76495.857000000004</v>
      </c>
      <c r="X51" s="250">
        <f>X50</f>
        <v>2611288.8169999998</v>
      </c>
    </row>
    <row r="52" spans="1:24" ht="24.95" hidden="1" customHeight="1" x14ac:dyDescent="0.25">
      <c r="A52" s="504"/>
      <c r="B52" s="505"/>
      <c r="C52" s="506"/>
      <c r="D52" s="323"/>
      <c r="E52" s="323"/>
      <c r="F52" s="323"/>
      <c r="G52" s="323"/>
      <c r="H52" s="323"/>
      <c r="I52" s="323"/>
      <c r="J52" s="323"/>
      <c r="K52" s="323"/>
      <c r="L52" s="323"/>
      <c r="M52" s="323"/>
      <c r="N52" s="323"/>
      <c r="O52" s="323"/>
      <c r="P52" s="323"/>
      <c r="Q52" s="323"/>
      <c r="R52" s="323"/>
      <c r="S52" s="323"/>
      <c r="T52" s="323"/>
      <c r="U52" s="323"/>
      <c r="V52" s="324"/>
      <c r="W52" s="507"/>
      <c r="X52" s="508"/>
    </row>
    <row r="53" spans="1:24" ht="30" hidden="1" customHeight="1" x14ac:dyDescent="0.2">
      <c r="A53" s="40">
        <v>1</v>
      </c>
      <c r="B53" s="693" t="s">
        <v>410</v>
      </c>
      <c r="C53" s="679" t="s">
        <v>409</v>
      </c>
      <c r="D53" s="323"/>
      <c r="E53" s="323"/>
      <c r="F53" s="323"/>
      <c r="G53" s="323"/>
      <c r="H53" s="323"/>
      <c r="I53" s="323"/>
      <c r="J53" s="323"/>
      <c r="K53" s="323"/>
      <c r="L53" s="323"/>
      <c r="M53" s="323"/>
      <c r="N53" s="323"/>
      <c r="O53" s="509">
        <f t="shared" ref="O53:O68" si="15">SUM(D53:N53)</f>
        <v>0</v>
      </c>
      <c r="P53" s="323"/>
      <c r="Q53" s="323"/>
      <c r="R53" s="323"/>
      <c r="S53" s="323"/>
      <c r="T53" s="323"/>
      <c r="U53" s="509">
        <f t="shared" ref="U53:U67" si="16">SUM(Q53:T53)</f>
        <v>0</v>
      </c>
      <c r="V53" s="324"/>
      <c r="W53" s="251">
        <f t="shared" ref="W53:W67" si="17">O53+U53</f>
        <v>0</v>
      </c>
      <c r="X53" s="385">
        <f>-4800</f>
        <v>-4800</v>
      </c>
    </row>
    <row r="54" spans="1:24" ht="30" hidden="1" customHeight="1" x14ac:dyDescent="0.2">
      <c r="A54" s="40">
        <v>2</v>
      </c>
      <c r="B54" s="230" t="s">
        <v>449</v>
      </c>
      <c r="C54" s="41" t="s">
        <v>448</v>
      </c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>
        <f t="shared" si="15"/>
        <v>0</v>
      </c>
      <c r="P54" s="233"/>
      <c r="Q54" s="233"/>
      <c r="R54" s="233"/>
      <c r="S54" s="233"/>
      <c r="T54" s="233"/>
      <c r="U54" s="233">
        <f t="shared" si="16"/>
        <v>0</v>
      </c>
      <c r="V54" s="234"/>
      <c r="W54" s="251">
        <f t="shared" si="17"/>
        <v>0</v>
      </c>
      <c r="X54" s="385">
        <f>-5700</f>
        <v>-5700</v>
      </c>
    </row>
    <row r="55" spans="1:24" ht="30" hidden="1" customHeight="1" x14ac:dyDescent="0.2">
      <c r="A55" s="40">
        <v>3</v>
      </c>
      <c r="B55" s="230" t="s">
        <v>456</v>
      </c>
      <c r="C55" s="41" t="s">
        <v>453</v>
      </c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>
        <f t="shared" si="15"/>
        <v>0</v>
      </c>
      <c r="P55" s="233"/>
      <c r="Q55" s="233"/>
      <c r="R55" s="233"/>
      <c r="S55" s="233"/>
      <c r="T55" s="233"/>
      <c r="U55" s="233">
        <f t="shared" si="16"/>
        <v>0</v>
      </c>
      <c r="V55" s="234"/>
      <c r="W55" s="251">
        <f t="shared" si="17"/>
        <v>0</v>
      </c>
      <c r="X55" s="385">
        <f>2021.653</f>
        <v>2021.653</v>
      </c>
    </row>
    <row r="56" spans="1:24" ht="30" hidden="1" customHeight="1" x14ac:dyDescent="0.2">
      <c r="A56" s="40">
        <v>4</v>
      </c>
      <c r="B56" s="639" t="s">
        <v>478</v>
      </c>
      <c r="C56" s="41" t="s">
        <v>479</v>
      </c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>
        <f t="shared" si="15"/>
        <v>0</v>
      </c>
      <c r="P56" s="233"/>
      <c r="Q56" s="233"/>
      <c r="R56" s="233"/>
      <c r="S56" s="233"/>
      <c r="T56" s="233"/>
      <c r="U56" s="233">
        <f t="shared" si="16"/>
        <v>0</v>
      </c>
      <c r="V56" s="234"/>
      <c r="W56" s="251">
        <f t="shared" si="17"/>
        <v>0</v>
      </c>
      <c r="X56" s="385">
        <f>13566</f>
        <v>13566</v>
      </c>
    </row>
    <row r="57" spans="1:24" ht="24.95" hidden="1" customHeight="1" x14ac:dyDescent="0.2">
      <c r="A57" s="40"/>
      <c r="B57" s="27"/>
      <c r="C57" s="28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>
        <f t="shared" si="15"/>
        <v>0</v>
      </c>
      <c r="P57" s="233"/>
      <c r="Q57" s="233"/>
      <c r="R57" s="233"/>
      <c r="S57" s="233"/>
      <c r="T57" s="233"/>
      <c r="U57" s="233">
        <f t="shared" si="16"/>
        <v>0</v>
      </c>
      <c r="V57" s="234"/>
      <c r="W57" s="251">
        <f t="shared" si="17"/>
        <v>0</v>
      </c>
      <c r="X57" s="252"/>
    </row>
    <row r="58" spans="1:24" ht="24.95" hidden="1" customHeight="1" x14ac:dyDescent="0.2">
      <c r="A58" s="40"/>
      <c r="B58" s="75"/>
      <c r="C58" s="34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>
        <f t="shared" si="15"/>
        <v>0</v>
      </c>
      <c r="P58" s="233"/>
      <c r="Q58" s="233"/>
      <c r="R58" s="233"/>
      <c r="S58" s="233"/>
      <c r="T58" s="233"/>
      <c r="U58" s="233">
        <f t="shared" si="16"/>
        <v>0</v>
      </c>
      <c r="V58" s="234"/>
      <c r="W58" s="251">
        <f t="shared" si="17"/>
        <v>0</v>
      </c>
      <c r="X58" s="252"/>
    </row>
    <row r="59" spans="1:24" ht="24.95" hidden="1" customHeight="1" x14ac:dyDescent="0.2">
      <c r="A59" s="40"/>
      <c r="B59" s="322"/>
      <c r="C59" s="34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>
        <f t="shared" si="15"/>
        <v>0</v>
      </c>
      <c r="P59" s="233"/>
      <c r="Q59" s="233"/>
      <c r="R59" s="233"/>
      <c r="S59" s="233"/>
      <c r="T59" s="233"/>
      <c r="U59" s="233">
        <f t="shared" si="16"/>
        <v>0</v>
      </c>
      <c r="V59" s="234"/>
      <c r="W59" s="251">
        <f t="shared" si="17"/>
        <v>0</v>
      </c>
      <c r="X59" s="252"/>
    </row>
    <row r="60" spans="1:24" ht="24.95" hidden="1" customHeight="1" x14ac:dyDescent="0.2">
      <c r="A60" s="40"/>
      <c r="B60" s="27"/>
      <c r="C60" s="34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>
        <f t="shared" si="15"/>
        <v>0</v>
      </c>
      <c r="P60" s="233"/>
      <c r="Q60" s="233"/>
      <c r="R60" s="233"/>
      <c r="S60" s="233"/>
      <c r="T60" s="233"/>
      <c r="U60" s="233">
        <f t="shared" si="16"/>
        <v>0</v>
      </c>
      <c r="V60" s="234"/>
      <c r="W60" s="251">
        <f t="shared" si="17"/>
        <v>0</v>
      </c>
      <c r="X60" s="252"/>
    </row>
    <row r="61" spans="1:24" ht="24.95" hidden="1" customHeight="1" x14ac:dyDescent="0.2">
      <c r="A61" s="40"/>
      <c r="B61" s="321"/>
      <c r="C61" s="28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>
        <f t="shared" si="15"/>
        <v>0</v>
      </c>
      <c r="P61" s="233"/>
      <c r="Q61" s="233"/>
      <c r="R61" s="233"/>
      <c r="S61" s="233"/>
      <c r="T61" s="233"/>
      <c r="U61" s="233">
        <f t="shared" si="16"/>
        <v>0</v>
      </c>
      <c r="V61" s="234"/>
      <c r="W61" s="251">
        <f t="shared" si="17"/>
        <v>0</v>
      </c>
      <c r="X61" s="252"/>
    </row>
    <row r="62" spans="1:24" ht="24.95" hidden="1" customHeight="1" x14ac:dyDescent="0.2">
      <c r="A62" s="40"/>
      <c r="B62" s="27"/>
      <c r="C62" s="28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>
        <f t="shared" si="15"/>
        <v>0</v>
      </c>
      <c r="P62" s="233"/>
      <c r="Q62" s="233"/>
      <c r="R62" s="233"/>
      <c r="S62" s="233"/>
      <c r="T62" s="233"/>
      <c r="U62" s="233">
        <f t="shared" si="16"/>
        <v>0</v>
      </c>
      <c r="V62" s="234"/>
      <c r="W62" s="251">
        <f t="shared" si="17"/>
        <v>0</v>
      </c>
      <c r="X62" s="252"/>
    </row>
    <row r="63" spans="1:24" ht="24.95" hidden="1" customHeight="1" x14ac:dyDescent="0.2">
      <c r="A63" s="40"/>
      <c r="B63" s="322"/>
      <c r="C63" s="28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>
        <f t="shared" si="15"/>
        <v>0</v>
      </c>
      <c r="P63" s="233"/>
      <c r="Q63" s="233"/>
      <c r="R63" s="233"/>
      <c r="S63" s="233"/>
      <c r="T63" s="233"/>
      <c r="U63" s="233">
        <f t="shared" si="16"/>
        <v>0</v>
      </c>
      <c r="V63" s="234"/>
      <c r="W63" s="251">
        <f t="shared" si="17"/>
        <v>0</v>
      </c>
      <c r="X63" s="252"/>
    </row>
    <row r="64" spans="1:24" ht="24.95" hidden="1" customHeight="1" x14ac:dyDescent="0.2">
      <c r="A64" s="40"/>
      <c r="B64" s="75"/>
      <c r="C64" s="28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>
        <f t="shared" si="15"/>
        <v>0</v>
      </c>
      <c r="P64" s="233"/>
      <c r="Q64" s="233"/>
      <c r="R64" s="233"/>
      <c r="S64" s="233"/>
      <c r="T64" s="233"/>
      <c r="U64" s="233">
        <f t="shared" si="16"/>
        <v>0</v>
      </c>
      <c r="V64" s="234"/>
      <c r="W64" s="251">
        <f t="shared" si="17"/>
        <v>0</v>
      </c>
      <c r="X64" s="252"/>
    </row>
    <row r="65" spans="1:24" ht="24.95" hidden="1" customHeight="1" x14ac:dyDescent="0.2">
      <c r="A65" s="40"/>
      <c r="B65" s="75"/>
      <c r="C65" s="41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>
        <f t="shared" si="15"/>
        <v>0</v>
      </c>
      <c r="P65" s="233"/>
      <c r="Q65" s="233"/>
      <c r="R65" s="233"/>
      <c r="S65" s="233"/>
      <c r="T65" s="233"/>
      <c r="U65" s="233">
        <f t="shared" si="16"/>
        <v>0</v>
      </c>
      <c r="V65" s="234"/>
      <c r="W65" s="251">
        <f t="shared" si="17"/>
        <v>0</v>
      </c>
      <c r="X65" s="252"/>
    </row>
    <row r="66" spans="1:24" ht="24.95" hidden="1" customHeight="1" x14ac:dyDescent="0.2">
      <c r="A66" s="40"/>
      <c r="B66" s="27"/>
      <c r="C66" s="41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>
        <f t="shared" si="15"/>
        <v>0</v>
      </c>
      <c r="P66" s="233"/>
      <c r="Q66" s="233"/>
      <c r="R66" s="233"/>
      <c r="S66" s="233"/>
      <c r="T66" s="233"/>
      <c r="U66" s="233">
        <f t="shared" si="16"/>
        <v>0</v>
      </c>
      <c r="V66" s="234"/>
      <c r="W66" s="251">
        <f t="shared" si="17"/>
        <v>0</v>
      </c>
      <c r="X66" s="252"/>
    </row>
    <row r="67" spans="1:24" ht="24.95" hidden="1" customHeight="1" x14ac:dyDescent="0.2">
      <c r="A67" s="40"/>
      <c r="B67" s="27"/>
      <c r="C67" s="41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>
        <f t="shared" si="15"/>
        <v>0</v>
      </c>
      <c r="P67" s="233"/>
      <c r="Q67" s="233"/>
      <c r="R67" s="233"/>
      <c r="S67" s="233"/>
      <c r="T67" s="233"/>
      <c r="U67" s="233">
        <f t="shared" si="16"/>
        <v>0</v>
      </c>
      <c r="V67" s="234"/>
      <c r="W67" s="251">
        <f t="shared" si="17"/>
        <v>0</v>
      </c>
      <c r="X67" s="252"/>
    </row>
    <row r="68" spans="1:24" ht="24.95" hidden="1" customHeight="1" x14ac:dyDescent="0.2">
      <c r="A68" s="40"/>
      <c r="B68" s="27"/>
      <c r="C68" s="41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>
        <f t="shared" si="15"/>
        <v>0</v>
      </c>
      <c r="P68" s="233"/>
      <c r="Q68" s="233"/>
      <c r="R68" s="233"/>
      <c r="S68" s="233"/>
      <c r="T68" s="233"/>
      <c r="U68" s="233"/>
      <c r="V68" s="234"/>
      <c r="W68" s="251"/>
      <c r="X68" s="252"/>
    </row>
    <row r="69" spans="1:24" ht="24.95" hidden="1" customHeight="1" x14ac:dyDescent="0.2">
      <c r="A69" s="40"/>
      <c r="B69" s="140"/>
      <c r="C69" s="41"/>
      <c r="D69" s="233"/>
      <c r="E69" s="233"/>
      <c r="F69" s="233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4"/>
      <c r="W69" s="251"/>
      <c r="X69" s="252"/>
    </row>
    <row r="70" spans="1:24" ht="9.9499999999999993" hidden="1" customHeight="1" x14ac:dyDescent="0.2">
      <c r="A70" s="40"/>
      <c r="B70" s="129"/>
      <c r="C70" s="41"/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233"/>
      <c r="O70" s="233"/>
      <c r="P70" s="233"/>
      <c r="Q70" s="233"/>
      <c r="R70" s="233"/>
      <c r="S70" s="233"/>
      <c r="T70" s="233"/>
      <c r="U70" s="233"/>
      <c r="V70" s="234"/>
      <c r="W70" s="251"/>
      <c r="X70" s="252"/>
    </row>
    <row r="71" spans="1:24" ht="30" hidden="1" customHeight="1" x14ac:dyDescent="0.2">
      <c r="A71" s="216" t="s">
        <v>88</v>
      </c>
      <c r="B71" s="212"/>
      <c r="C71" s="217" t="s">
        <v>86</v>
      </c>
      <c r="D71" s="72">
        <f t="shared" ref="D71:O71" si="18">SUM(D53:D70)</f>
        <v>0</v>
      </c>
      <c r="E71" s="72">
        <f t="shared" si="18"/>
        <v>0</v>
      </c>
      <c r="F71" s="72">
        <f t="shared" si="18"/>
        <v>0</v>
      </c>
      <c r="G71" s="72">
        <f t="shared" si="18"/>
        <v>0</v>
      </c>
      <c r="H71" s="72">
        <f t="shared" si="18"/>
        <v>0</v>
      </c>
      <c r="I71" s="72">
        <f t="shared" si="18"/>
        <v>0</v>
      </c>
      <c r="J71" s="72">
        <f t="shared" si="18"/>
        <v>0</v>
      </c>
      <c r="K71" s="72">
        <f t="shared" si="18"/>
        <v>0</v>
      </c>
      <c r="L71" s="72">
        <f t="shared" si="18"/>
        <v>0</v>
      </c>
      <c r="M71" s="72">
        <f t="shared" si="18"/>
        <v>0</v>
      </c>
      <c r="N71" s="72">
        <f t="shared" si="18"/>
        <v>0</v>
      </c>
      <c r="O71" s="72">
        <f t="shared" si="18"/>
        <v>0</v>
      </c>
      <c r="P71" s="72"/>
      <c r="Q71" s="72">
        <f>SUM(Q53:Q70)</f>
        <v>0</v>
      </c>
      <c r="R71" s="72">
        <f>SUM(R53:R70)</f>
        <v>0</v>
      </c>
      <c r="S71" s="72">
        <f>SUM(S53:S70)</f>
        <v>0</v>
      </c>
      <c r="T71" s="72">
        <f>SUM(T53:T70)</f>
        <v>0</v>
      </c>
      <c r="U71" s="72">
        <f>SUM(U53:U70)</f>
        <v>0</v>
      </c>
      <c r="V71" s="72"/>
      <c r="W71" s="253">
        <f>O71+U71</f>
        <v>0</v>
      </c>
      <c r="X71" s="248">
        <f>SUM(X53:X70)</f>
        <v>5087.6530000000002</v>
      </c>
    </row>
    <row r="72" spans="1:24" ht="20.100000000000001" hidden="1" customHeight="1" x14ac:dyDescent="0.2">
      <c r="A72" s="227"/>
      <c r="B72" s="228"/>
      <c r="C72" s="127"/>
      <c r="D72" s="72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  <c r="Q72" s="233"/>
      <c r="R72" s="233"/>
      <c r="S72" s="233"/>
      <c r="T72" s="233"/>
      <c r="U72" s="233"/>
      <c r="V72" s="234"/>
      <c r="W72" s="251"/>
      <c r="X72" s="252"/>
    </row>
    <row r="73" spans="1:24" ht="30" hidden="1" customHeight="1" x14ac:dyDescent="0.2">
      <c r="A73" s="40">
        <v>5</v>
      </c>
      <c r="B73" s="699" t="s">
        <v>424</v>
      </c>
      <c r="C73" s="678" t="s">
        <v>426</v>
      </c>
      <c r="D73" s="174"/>
      <c r="E73" s="174"/>
      <c r="F73" s="174">
        <v>1145.992</v>
      </c>
      <c r="G73" s="174"/>
      <c r="H73" s="174"/>
      <c r="I73" s="174"/>
      <c r="J73" s="174"/>
      <c r="K73" s="174"/>
      <c r="L73" s="174"/>
      <c r="M73" s="174"/>
      <c r="N73" s="174"/>
      <c r="O73" s="174">
        <f>SUM(D73:N73)</f>
        <v>1145.992</v>
      </c>
      <c r="P73" s="174"/>
      <c r="Q73" s="174"/>
      <c r="R73" s="174"/>
      <c r="S73" s="174"/>
      <c r="T73" s="174"/>
      <c r="U73" s="174">
        <f>SUM(Q73:T73)</f>
        <v>0</v>
      </c>
      <c r="V73" s="175"/>
      <c r="W73" s="502">
        <f>O73+U73</f>
        <v>1145.992</v>
      </c>
      <c r="X73" s="385"/>
    </row>
    <row r="74" spans="1:24" ht="30" hidden="1" customHeight="1" x14ac:dyDescent="0.2">
      <c r="A74" s="185">
        <v>6</v>
      </c>
      <c r="B74" s="698" t="s">
        <v>500</v>
      </c>
      <c r="C74" s="41" t="s">
        <v>426</v>
      </c>
      <c r="D74" s="174"/>
      <c r="E74" s="174"/>
      <c r="F74" s="174">
        <f>2425.865+100.693</f>
        <v>2526.558</v>
      </c>
      <c r="G74" s="174"/>
      <c r="H74" s="174"/>
      <c r="I74" s="174"/>
      <c r="J74" s="174"/>
      <c r="K74" s="174"/>
      <c r="L74" s="174"/>
      <c r="M74" s="174"/>
      <c r="N74" s="174"/>
      <c r="O74" s="174">
        <f>SUM(D74:N74)</f>
        <v>2526.558</v>
      </c>
      <c r="P74" s="174"/>
      <c r="Q74" s="174"/>
      <c r="R74" s="174"/>
      <c r="S74" s="174"/>
      <c r="T74" s="174"/>
      <c r="U74" s="174">
        <f>SUM(Q74:T74)</f>
        <v>0</v>
      </c>
      <c r="V74" s="175"/>
      <c r="W74" s="502">
        <f>O74+U74</f>
        <v>2526.558</v>
      </c>
      <c r="X74" s="385"/>
    </row>
    <row r="75" spans="1:24" ht="30" hidden="1" customHeight="1" x14ac:dyDescent="0.2">
      <c r="A75" s="40"/>
      <c r="B75" s="186"/>
      <c r="C75" s="28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>
        <f>SUM(D75:N75)</f>
        <v>0</v>
      </c>
      <c r="P75" s="174"/>
      <c r="Q75" s="174"/>
      <c r="R75" s="174"/>
      <c r="S75" s="174"/>
      <c r="T75" s="174"/>
      <c r="U75" s="174">
        <f>SUM(Q75:T75)</f>
        <v>0</v>
      </c>
      <c r="V75" s="175"/>
      <c r="W75" s="502">
        <f>O75+U75</f>
        <v>0</v>
      </c>
      <c r="X75" s="385"/>
    </row>
    <row r="76" spans="1:24" ht="24.95" hidden="1" customHeight="1" x14ac:dyDescent="0.2">
      <c r="A76" s="40"/>
      <c r="B76" s="186"/>
      <c r="C76" s="41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5"/>
      <c r="W76" s="502"/>
      <c r="X76" s="385"/>
    </row>
    <row r="77" spans="1:24" ht="24.95" hidden="1" customHeight="1" x14ac:dyDescent="0.2">
      <c r="A77" s="40"/>
      <c r="B77" s="126"/>
      <c r="C77" s="41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5"/>
      <c r="W77" s="502"/>
      <c r="X77" s="385"/>
    </row>
    <row r="78" spans="1:24" ht="9.9499999999999993" hidden="1" customHeight="1" x14ac:dyDescent="0.2">
      <c r="A78" s="40"/>
      <c r="B78" s="126"/>
      <c r="C78" s="41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233"/>
      <c r="O78" s="233"/>
      <c r="P78" s="233"/>
      <c r="Q78" s="233"/>
      <c r="R78" s="233"/>
      <c r="S78" s="233"/>
      <c r="T78" s="233"/>
      <c r="U78" s="233"/>
      <c r="V78" s="234"/>
      <c r="W78" s="251"/>
      <c r="X78" s="252"/>
    </row>
    <row r="79" spans="1:24" ht="30" hidden="1" customHeight="1" x14ac:dyDescent="0.2">
      <c r="A79" s="216" t="s">
        <v>89</v>
      </c>
      <c r="B79" s="212"/>
      <c r="C79" s="217" t="s">
        <v>87</v>
      </c>
      <c r="D79" s="159">
        <f t="shared" ref="D79:O79" si="19">SUM(D73:D78)</f>
        <v>0</v>
      </c>
      <c r="E79" s="159">
        <f t="shared" si="19"/>
        <v>0</v>
      </c>
      <c r="F79" s="159">
        <f t="shared" si="19"/>
        <v>3672.55</v>
      </c>
      <c r="G79" s="159">
        <f t="shared" si="19"/>
        <v>0</v>
      </c>
      <c r="H79" s="159">
        <f t="shared" si="19"/>
        <v>0</v>
      </c>
      <c r="I79" s="159">
        <f t="shared" si="19"/>
        <v>0</v>
      </c>
      <c r="J79" s="159">
        <f t="shared" si="19"/>
        <v>0</v>
      </c>
      <c r="K79" s="159">
        <f t="shared" si="19"/>
        <v>0</v>
      </c>
      <c r="L79" s="159">
        <f t="shared" si="19"/>
        <v>0</v>
      </c>
      <c r="M79" s="159">
        <f t="shared" si="19"/>
        <v>0</v>
      </c>
      <c r="N79" s="159">
        <f t="shared" si="19"/>
        <v>0</v>
      </c>
      <c r="O79" s="159">
        <f t="shared" si="19"/>
        <v>3672.55</v>
      </c>
      <c r="P79" s="159"/>
      <c r="Q79" s="159">
        <f>SUM(Q73:Q78)</f>
        <v>0</v>
      </c>
      <c r="R79" s="159">
        <f>SUM(R73:R78)</f>
        <v>0</v>
      </c>
      <c r="S79" s="159">
        <f>SUM(S73:S78)</f>
        <v>0</v>
      </c>
      <c r="T79" s="159">
        <f>SUM(T73:T78)</f>
        <v>0</v>
      </c>
      <c r="U79" s="159">
        <f>SUM(U73:U78)</f>
        <v>0</v>
      </c>
      <c r="V79" s="159"/>
      <c r="W79" s="240">
        <f>O79+U79</f>
        <v>3672.55</v>
      </c>
      <c r="X79" s="328">
        <f>SUM(X73:X78)</f>
        <v>0</v>
      </c>
    </row>
    <row r="80" spans="1:24" ht="9.9499999999999993" hidden="1" customHeight="1" x14ac:dyDescent="0.2">
      <c r="A80" s="40"/>
      <c r="B80" s="126"/>
      <c r="C80" s="41"/>
      <c r="D80" s="233"/>
      <c r="E80" s="233"/>
      <c r="F80" s="233"/>
      <c r="G80" s="233"/>
      <c r="H80" s="233"/>
      <c r="I80" s="233"/>
      <c r="J80" s="233"/>
      <c r="K80" s="233"/>
      <c r="L80" s="233"/>
      <c r="M80" s="233"/>
      <c r="N80" s="233"/>
      <c r="O80" s="233"/>
      <c r="P80" s="233"/>
      <c r="Q80" s="233"/>
      <c r="R80" s="233"/>
      <c r="S80" s="233"/>
      <c r="T80" s="233"/>
      <c r="U80" s="233"/>
      <c r="V80" s="234"/>
      <c r="W80" s="251"/>
      <c r="X80" s="252"/>
    </row>
    <row r="81" spans="1:24" ht="24.95" hidden="1" customHeight="1" x14ac:dyDescent="0.2">
      <c r="A81" s="40"/>
      <c r="B81" s="126"/>
      <c r="C81" s="41" t="s">
        <v>68</v>
      </c>
      <c r="D81" s="233"/>
      <c r="E81" s="233"/>
      <c r="F81" s="233"/>
      <c r="G81" s="233"/>
      <c r="H81" s="233"/>
      <c r="I81" s="233"/>
      <c r="J81" s="233"/>
      <c r="K81" s="233"/>
      <c r="L81" s="233"/>
      <c r="M81" s="233"/>
      <c r="N81" s="233"/>
      <c r="O81" s="233">
        <f>SUM(D81:N81)</f>
        <v>0</v>
      </c>
      <c r="P81" s="233"/>
      <c r="Q81" s="233"/>
      <c r="R81" s="233"/>
      <c r="S81" s="233"/>
      <c r="T81" s="233"/>
      <c r="U81" s="233">
        <f>SUM(Q81:T81)</f>
        <v>0</v>
      </c>
      <c r="V81" s="234"/>
      <c r="W81" s="251">
        <f>O81+U81</f>
        <v>0</v>
      </c>
      <c r="X81" s="252"/>
    </row>
    <row r="82" spans="1:24" ht="24.95" hidden="1" customHeight="1" thickBot="1" x14ac:dyDescent="0.25">
      <c r="A82" s="40"/>
      <c r="B82" s="106"/>
      <c r="C82" s="107"/>
      <c r="D82" s="254"/>
      <c r="E82" s="254"/>
      <c r="F82" s="254"/>
      <c r="G82" s="254"/>
      <c r="H82" s="254"/>
      <c r="I82" s="254"/>
      <c r="J82" s="254"/>
      <c r="K82" s="254"/>
      <c r="L82" s="254"/>
      <c r="M82" s="254"/>
      <c r="N82" s="254"/>
      <c r="O82" s="254"/>
      <c r="P82" s="254"/>
      <c r="Q82" s="254"/>
      <c r="R82" s="254"/>
      <c r="S82" s="254"/>
      <c r="T82" s="254"/>
      <c r="U82" s="254"/>
      <c r="V82" s="255"/>
      <c r="W82" s="256"/>
      <c r="X82" s="257"/>
    </row>
    <row r="83" spans="1:24" ht="30" hidden="1" customHeight="1" thickTop="1" thickBot="1" x14ac:dyDescent="0.25">
      <c r="A83" s="47"/>
      <c r="B83" s="111" t="s">
        <v>185</v>
      </c>
      <c r="C83" s="44" t="s">
        <v>90</v>
      </c>
      <c r="D83" s="210">
        <f t="shared" ref="D83:O83" si="20">D71+D79</f>
        <v>0</v>
      </c>
      <c r="E83" s="210">
        <f t="shared" si="20"/>
        <v>0</v>
      </c>
      <c r="F83" s="210">
        <f t="shared" si="20"/>
        <v>3672.55</v>
      </c>
      <c r="G83" s="210">
        <f t="shared" si="20"/>
        <v>0</v>
      </c>
      <c r="H83" s="210">
        <f t="shared" si="20"/>
        <v>0</v>
      </c>
      <c r="I83" s="210">
        <f t="shared" si="20"/>
        <v>0</v>
      </c>
      <c r="J83" s="210">
        <f t="shared" si="20"/>
        <v>0</v>
      </c>
      <c r="K83" s="210">
        <f t="shared" si="20"/>
        <v>0</v>
      </c>
      <c r="L83" s="210">
        <f t="shared" si="20"/>
        <v>0</v>
      </c>
      <c r="M83" s="210">
        <f t="shared" si="20"/>
        <v>0</v>
      </c>
      <c r="N83" s="210">
        <f t="shared" si="20"/>
        <v>0</v>
      </c>
      <c r="O83" s="210">
        <f t="shared" si="20"/>
        <v>3672.55</v>
      </c>
      <c r="P83" s="210"/>
      <c r="Q83" s="210">
        <f>Q71+Q79</f>
        <v>0</v>
      </c>
      <c r="R83" s="210">
        <f>R71+R79</f>
        <v>0</v>
      </c>
      <c r="S83" s="210">
        <f>S71+S79</f>
        <v>0</v>
      </c>
      <c r="T83" s="210">
        <f>T71+T79</f>
        <v>0</v>
      </c>
      <c r="U83" s="210">
        <f>U71+U79</f>
        <v>0</v>
      </c>
      <c r="V83" s="210"/>
      <c r="W83" s="258">
        <f>W71+W79</f>
        <v>3672.55</v>
      </c>
      <c r="X83" s="235">
        <f>X71+X79</f>
        <v>5087.6530000000002</v>
      </c>
    </row>
    <row r="84" spans="1:24" ht="30" hidden="1" customHeight="1" thickTop="1" thickBot="1" x14ac:dyDescent="0.25">
      <c r="A84" s="42"/>
      <c r="B84" s="701" t="s">
        <v>501</v>
      </c>
      <c r="C84" s="44" t="s">
        <v>157</v>
      </c>
      <c r="D84" s="259">
        <f t="shared" ref="D84:O84" si="21">D51+D83</f>
        <v>0</v>
      </c>
      <c r="E84" s="259">
        <f t="shared" si="21"/>
        <v>0</v>
      </c>
      <c r="F84" s="259">
        <f t="shared" si="21"/>
        <v>9265.4069999999992</v>
      </c>
      <c r="G84" s="259">
        <f t="shared" si="21"/>
        <v>7600</v>
      </c>
      <c r="H84" s="259">
        <f t="shared" si="21"/>
        <v>16455</v>
      </c>
      <c r="I84" s="259">
        <f t="shared" si="21"/>
        <v>0</v>
      </c>
      <c r="J84" s="259">
        <f t="shared" si="21"/>
        <v>0</v>
      </c>
      <c r="K84" s="259">
        <f t="shared" si="21"/>
        <v>0</v>
      </c>
      <c r="L84" s="259">
        <f t="shared" si="21"/>
        <v>5104</v>
      </c>
      <c r="M84" s="259">
        <f t="shared" si="21"/>
        <v>2200</v>
      </c>
      <c r="N84" s="259">
        <f t="shared" si="21"/>
        <v>0</v>
      </c>
      <c r="O84" s="259">
        <f t="shared" si="21"/>
        <v>40624.407000000007</v>
      </c>
      <c r="P84" s="259"/>
      <c r="Q84" s="259">
        <f>Q51+Q83</f>
        <v>0</v>
      </c>
      <c r="R84" s="259">
        <f>R51+R83</f>
        <v>39544</v>
      </c>
      <c r="S84" s="259">
        <f>S51+S83</f>
        <v>0</v>
      </c>
      <c r="T84" s="259">
        <f>T51+T83</f>
        <v>0</v>
      </c>
      <c r="U84" s="259">
        <f>U51+U83</f>
        <v>39544</v>
      </c>
      <c r="V84" s="259"/>
      <c r="W84" s="258">
        <f>W51+W83</f>
        <v>80168.407000000007</v>
      </c>
      <c r="X84" s="235">
        <f>X51+X83</f>
        <v>2616376.4699999997</v>
      </c>
    </row>
    <row r="85" spans="1:24" ht="24.95" hidden="1" customHeight="1" x14ac:dyDescent="0.25">
      <c r="A85" s="22"/>
      <c r="B85" s="517" t="s">
        <v>188</v>
      </c>
      <c r="C85" s="24" t="s">
        <v>18</v>
      </c>
      <c r="D85" s="25">
        <f t="shared" ref="D85:U85" si="22">D84</f>
        <v>0</v>
      </c>
      <c r="E85" s="25">
        <f t="shared" si="22"/>
        <v>0</v>
      </c>
      <c r="F85" s="25">
        <f t="shared" si="22"/>
        <v>9265.4069999999992</v>
      </c>
      <c r="G85" s="25">
        <f t="shared" si="22"/>
        <v>7600</v>
      </c>
      <c r="H85" s="25">
        <f t="shared" si="22"/>
        <v>16455</v>
      </c>
      <c r="I85" s="25">
        <f t="shared" si="22"/>
        <v>0</v>
      </c>
      <c r="J85" s="25">
        <f t="shared" si="22"/>
        <v>0</v>
      </c>
      <c r="K85" s="25">
        <f t="shared" si="22"/>
        <v>0</v>
      </c>
      <c r="L85" s="25">
        <f t="shared" si="22"/>
        <v>5104</v>
      </c>
      <c r="M85" s="25">
        <f t="shared" si="22"/>
        <v>2200</v>
      </c>
      <c r="N85" s="25">
        <f t="shared" si="22"/>
        <v>0</v>
      </c>
      <c r="O85" s="25">
        <f t="shared" si="22"/>
        <v>40624.407000000007</v>
      </c>
      <c r="P85" s="25"/>
      <c r="Q85" s="25">
        <f t="shared" si="22"/>
        <v>0</v>
      </c>
      <c r="R85" s="25">
        <f t="shared" si="22"/>
        <v>39544</v>
      </c>
      <c r="S85" s="25">
        <f t="shared" si="22"/>
        <v>0</v>
      </c>
      <c r="T85" s="25">
        <f t="shared" si="22"/>
        <v>0</v>
      </c>
      <c r="U85" s="25">
        <f t="shared" si="22"/>
        <v>39544</v>
      </c>
      <c r="V85" s="25"/>
      <c r="W85" s="672">
        <f t="shared" ref="W85:W91" si="23">O85+U85</f>
        <v>80168.407000000007</v>
      </c>
      <c r="X85" s="250">
        <f>X84</f>
        <v>2616376.4699999997</v>
      </c>
    </row>
    <row r="86" spans="1:24" ht="24.95" hidden="1" customHeight="1" x14ac:dyDescent="0.25">
      <c r="A86" s="504"/>
      <c r="B86" s="517"/>
      <c r="C86" s="711"/>
      <c r="D86" s="323"/>
      <c r="E86" s="323"/>
      <c r="F86" s="323"/>
      <c r="G86" s="323"/>
      <c r="H86" s="323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S86" s="323"/>
      <c r="T86" s="323"/>
      <c r="U86" s="323"/>
      <c r="V86" s="324"/>
      <c r="W86" s="712"/>
      <c r="X86" s="508"/>
    </row>
    <row r="87" spans="1:24" ht="30.75" hidden="1" customHeight="1" x14ac:dyDescent="0.2">
      <c r="A87" s="40">
        <v>1</v>
      </c>
      <c r="B87" s="532" t="s">
        <v>517</v>
      </c>
      <c r="C87" s="41" t="s">
        <v>516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>
        <f>SUM(D87:N87)</f>
        <v>0</v>
      </c>
      <c r="P87" s="72"/>
      <c r="Q87" s="72"/>
      <c r="R87" s="72"/>
      <c r="S87" s="72"/>
      <c r="T87" s="72"/>
      <c r="U87" s="72">
        <f>SUM(Q87:T87)</f>
        <v>0</v>
      </c>
      <c r="V87" s="73"/>
      <c r="W87" s="260">
        <f t="shared" si="23"/>
        <v>0</v>
      </c>
      <c r="X87" s="328">
        <f>5000</f>
        <v>5000</v>
      </c>
    </row>
    <row r="88" spans="1:24" ht="30.75" hidden="1" customHeight="1" x14ac:dyDescent="0.2">
      <c r="A88" s="185">
        <v>2</v>
      </c>
      <c r="B88" s="532" t="s">
        <v>520</v>
      </c>
      <c r="C88" s="41" t="s">
        <v>519</v>
      </c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>
        <f>SUM(D88:N88)</f>
        <v>0</v>
      </c>
      <c r="P88" s="72"/>
      <c r="Q88" s="72"/>
      <c r="R88" s="72"/>
      <c r="S88" s="72"/>
      <c r="T88" s="72"/>
      <c r="U88" s="72">
        <f>SUM(Q88:T88)</f>
        <v>0</v>
      </c>
      <c r="V88" s="73"/>
      <c r="W88" s="260">
        <f t="shared" si="23"/>
        <v>0</v>
      </c>
      <c r="X88" s="328">
        <f>-4000</f>
        <v>-4000</v>
      </c>
    </row>
    <row r="89" spans="1:24" ht="30.75" hidden="1" customHeight="1" x14ac:dyDescent="0.2">
      <c r="A89" s="40">
        <v>3</v>
      </c>
      <c r="B89" s="532" t="s">
        <v>532</v>
      </c>
      <c r="C89" s="41" t="s">
        <v>529</v>
      </c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>
        <f>SUM(D89:N89)</f>
        <v>0</v>
      </c>
      <c r="P89" s="72"/>
      <c r="Q89" s="72"/>
      <c r="R89" s="72"/>
      <c r="S89" s="72"/>
      <c r="T89" s="72"/>
      <c r="U89" s="72">
        <f>SUM(Q89:T89)</f>
        <v>0</v>
      </c>
      <c r="V89" s="73"/>
      <c r="W89" s="260">
        <f t="shared" si="23"/>
        <v>0</v>
      </c>
      <c r="X89" s="328">
        <f>2011.147</f>
        <v>2011.1469999999999</v>
      </c>
    </row>
    <row r="90" spans="1:24" ht="30.75" hidden="1" customHeight="1" x14ac:dyDescent="0.2">
      <c r="A90" s="724">
        <v>4</v>
      </c>
      <c r="B90" s="726" t="s">
        <v>548</v>
      </c>
      <c r="C90" s="727" t="s">
        <v>547</v>
      </c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>
        <f>SUM(D90:N90)</f>
        <v>0</v>
      </c>
      <c r="P90" s="72"/>
      <c r="Q90" s="72"/>
      <c r="R90" s="72"/>
      <c r="S90" s="72"/>
      <c r="T90" s="72"/>
      <c r="U90" s="72">
        <f>SUM(Q90:T90)</f>
        <v>0</v>
      </c>
      <c r="V90" s="73"/>
      <c r="W90" s="260">
        <f t="shared" si="23"/>
        <v>0</v>
      </c>
      <c r="X90" s="328">
        <f>6595</f>
        <v>6595</v>
      </c>
    </row>
    <row r="91" spans="1:24" ht="30.75" hidden="1" customHeight="1" x14ac:dyDescent="0.2">
      <c r="A91" s="40"/>
      <c r="B91" s="532"/>
      <c r="C91" s="41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>
        <f>SUM(D91:N91)</f>
        <v>0</v>
      </c>
      <c r="P91" s="72"/>
      <c r="Q91" s="72"/>
      <c r="R91" s="72"/>
      <c r="S91" s="72"/>
      <c r="T91" s="72"/>
      <c r="U91" s="72">
        <f>SUM(Q91:T91)</f>
        <v>0</v>
      </c>
      <c r="V91" s="73"/>
      <c r="W91" s="260">
        <f t="shared" si="23"/>
        <v>0</v>
      </c>
      <c r="X91" s="328"/>
    </row>
    <row r="92" spans="1:24" ht="30.75" hidden="1" customHeight="1" x14ac:dyDescent="0.2">
      <c r="A92" s="40"/>
      <c r="B92" s="532"/>
      <c r="C92" s="41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3"/>
      <c r="W92" s="260"/>
      <c r="X92" s="328"/>
    </row>
    <row r="93" spans="1:24" ht="30.75" hidden="1" customHeight="1" x14ac:dyDescent="0.2">
      <c r="A93" s="40"/>
      <c r="B93" s="532"/>
      <c r="C93" s="41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3"/>
      <c r="W93" s="260"/>
      <c r="X93" s="328"/>
    </row>
    <row r="94" spans="1:24" ht="24.95" hidden="1" customHeight="1" x14ac:dyDescent="0.2">
      <c r="A94" s="40"/>
      <c r="B94" s="32"/>
      <c r="C94" s="41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3"/>
      <c r="W94" s="260"/>
      <c r="X94" s="328"/>
    </row>
    <row r="95" spans="1:24" ht="24.95" hidden="1" customHeight="1" x14ac:dyDescent="0.2">
      <c r="A95" s="216" t="s">
        <v>88</v>
      </c>
      <c r="B95" s="212"/>
      <c r="C95" s="217" t="s">
        <v>86</v>
      </c>
      <c r="D95" s="174">
        <f t="shared" ref="D95:X95" si="24">SUM(D87:D94)</f>
        <v>0</v>
      </c>
      <c r="E95" s="174">
        <f t="shared" si="24"/>
        <v>0</v>
      </c>
      <c r="F95" s="174">
        <f t="shared" si="24"/>
        <v>0</v>
      </c>
      <c r="G95" s="174">
        <f t="shared" si="24"/>
        <v>0</v>
      </c>
      <c r="H95" s="174">
        <f t="shared" si="24"/>
        <v>0</v>
      </c>
      <c r="I95" s="174">
        <f t="shared" si="24"/>
        <v>0</v>
      </c>
      <c r="J95" s="174">
        <f t="shared" si="24"/>
        <v>0</v>
      </c>
      <c r="K95" s="174">
        <f t="shared" si="24"/>
        <v>0</v>
      </c>
      <c r="L95" s="174">
        <f t="shared" si="24"/>
        <v>0</v>
      </c>
      <c r="M95" s="174">
        <f t="shared" si="24"/>
        <v>0</v>
      </c>
      <c r="N95" s="174">
        <f t="shared" si="24"/>
        <v>0</v>
      </c>
      <c r="O95" s="174">
        <f t="shared" si="24"/>
        <v>0</v>
      </c>
      <c r="P95" s="174"/>
      <c r="Q95" s="174">
        <f t="shared" si="24"/>
        <v>0</v>
      </c>
      <c r="R95" s="174">
        <f t="shared" si="24"/>
        <v>0</v>
      </c>
      <c r="S95" s="174">
        <f t="shared" si="24"/>
        <v>0</v>
      </c>
      <c r="T95" s="174">
        <f t="shared" si="24"/>
        <v>0</v>
      </c>
      <c r="U95" s="174">
        <f t="shared" si="24"/>
        <v>0</v>
      </c>
      <c r="V95" s="174"/>
      <c r="W95" s="253">
        <f t="shared" si="24"/>
        <v>0</v>
      </c>
      <c r="X95" s="332">
        <f t="shared" si="24"/>
        <v>9606.1470000000008</v>
      </c>
    </row>
    <row r="96" spans="1:24" ht="24.95" hidden="1" customHeight="1" x14ac:dyDescent="0.2">
      <c r="A96" s="40"/>
      <c r="B96" s="31"/>
      <c r="C96" s="41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3"/>
      <c r="W96" s="260"/>
      <c r="X96" s="328"/>
    </row>
    <row r="97" spans="1:24" ht="30.75" hidden="1" customHeight="1" x14ac:dyDescent="0.2">
      <c r="A97" s="40" t="s">
        <v>117</v>
      </c>
      <c r="B97" s="532" t="s">
        <v>509</v>
      </c>
      <c r="C97" s="41" t="s">
        <v>510</v>
      </c>
      <c r="D97" s="159"/>
      <c r="E97" s="159"/>
      <c r="F97" s="159">
        <f>1772.863</f>
        <v>1772.8630000000001</v>
      </c>
      <c r="G97" s="159"/>
      <c r="H97" s="159"/>
      <c r="I97" s="159"/>
      <c r="J97" s="159"/>
      <c r="K97" s="159"/>
      <c r="L97" s="159"/>
      <c r="M97" s="159"/>
      <c r="N97" s="159"/>
      <c r="O97" s="159">
        <f t="shared" ref="O97:O105" si="25">SUM(D97:N97)</f>
        <v>1772.8630000000001</v>
      </c>
      <c r="P97" s="159"/>
      <c r="Q97" s="159"/>
      <c r="R97" s="159"/>
      <c r="S97" s="159"/>
      <c r="T97" s="159"/>
      <c r="U97" s="159">
        <f t="shared" ref="U97:U105" si="26">SUM(Q97:T97)</f>
        <v>0</v>
      </c>
      <c r="V97" s="165"/>
      <c r="W97" s="531">
        <f t="shared" ref="W97:W105" si="27">O97+U97</f>
        <v>1772.8630000000001</v>
      </c>
      <c r="X97" s="328"/>
    </row>
    <row r="98" spans="1:24" ht="30.75" hidden="1" customHeight="1" x14ac:dyDescent="0.2">
      <c r="A98" s="40" t="s">
        <v>117</v>
      </c>
      <c r="B98" s="532" t="s">
        <v>521</v>
      </c>
      <c r="C98" s="41" t="s">
        <v>522</v>
      </c>
      <c r="D98" s="159"/>
      <c r="E98" s="159"/>
      <c r="F98" s="159">
        <f>8915.482</f>
        <v>8915.482</v>
      </c>
      <c r="G98" s="159"/>
      <c r="H98" s="159"/>
      <c r="I98" s="159"/>
      <c r="J98" s="159"/>
      <c r="K98" s="159"/>
      <c r="L98" s="173"/>
      <c r="M98" s="159"/>
      <c r="N98" s="159"/>
      <c r="O98" s="159">
        <f t="shared" si="25"/>
        <v>8915.482</v>
      </c>
      <c r="P98" s="159"/>
      <c r="Q98" s="159"/>
      <c r="R98" s="159"/>
      <c r="S98" s="159"/>
      <c r="T98" s="159"/>
      <c r="U98" s="159">
        <f t="shared" si="26"/>
        <v>0</v>
      </c>
      <c r="V98" s="165"/>
      <c r="W98" s="531">
        <f t="shared" si="27"/>
        <v>8915.482</v>
      </c>
      <c r="X98" s="328"/>
    </row>
    <row r="99" spans="1:24" ht="30.75" hidden="1" customHeight="1" x14ac:dyDescent="0.2">
      <c r="A99" s="40" t="s">
        <v>117</v>
      </c>
      <c r="B99" s="726" t="s">
        <v>542</v>
      </c>
      <c r="C99" s="727" t="s">
        <v>276</v>
      </c>
      <c r="D99" s="159"/>
      <c r="E99" s="159"/>
      <c r="F99" s="159">
        <f>1207.306+524.829</f>
        <v>1732.135</v>
      </c>
      <c r="G99" s="159"/>
      <c r="H99" s="159"/>
      <c r="I99" s="159"/>
      <c r="J99" s="159"/>
      <c r="K99" s="159"/>
      <c r="L99" s="159"/>
      <c r="M99" s="159"/>
      <c r="N99" s="173"/>
      <c r="O99" s="159">
        <f t="shared" si="25"/>
        <v>1732.135</v>
      </c>
      <c r="P99" s="159"/>
      <c r="Q99" s="159"/>
      <c r="R99" s="159"/>
      <c r="S99" s="159"/>
      <c r="T99" s="159"/>
      <c r="U99" s="159">
        <f t="shared" si="26"/>
        <v>0</v>
      </c>
      <c r="V99" s="165"/>
      <c r="W99" s="531">
        <f t="shared" si="27"/>
        <v>1732.135</v>
      </c>
      <c r="X99" s="328"/>
    </row>
    <row r="100" spans="1:24" ht="24.95" hidden="1" customHeight="1" x14ac:dyDescent="0.2">
      <c r="A100" s="40" t="s">
        <v>117</v>
      </c>
      <c r="B100" s="229" t="s">
        <v>610</v>
      </c>
      <c r="C100" s="41" t="s">
        <v>609</v>
      </c>
      <c r="D100" s="159"/>
      <c r="E100" s="159"/>
      <c r="F100" s="159"/>
      <c r="G100" s="159"/>
      <c r="H100" s="159">
        <f>1425+570+3+539+63+44</f>
        <v>2644</v>
      </c>
      <c r="I100" s="159"/>
      <c r="J100" s="159"/>
      <c r="K100" s="159"/>
      <c r="L100" s="159"/>
      <c r="M100" s="159"/>
      <c r="N100" s="159"/>
      <c r="O100" s="159">
        <f t="shared" si="25"/>
        <v>2644</v>
      </c>
      <c r="P100" s="159"/>
      <c r="Q100" s="159"/>
      <c r="R100" s="159"/>
      <c r="S100" s="159"/>
      <c r="T100" s="159"/>
      <c r="U100" s="159">
        <f t="shared" si="26"/>
        <v>0</v>
      </c>
      <c r="V100" s="165"/>
      <c r="W100" s="531">
        <f t="shared" si="27"/>
        <v>2644</v>
      </c>
      <c r="X100" s="328"/>
    </row>
    <row r="101" spans="1:24" ht="24.95" hidden="1" customHeight="1" x14ac:dyDescent="0.2">
      <c r="A101" s="40" t="s">
        <v>117</v>
      </c>
      <c r="B101" s="229" t="s">
        <v>614</v>
      </c>
      <c r="C101" s="41" t="s">
        <v>276</v>
      </c>
      <c r="D101" s="159"/>
      <c r="E101" s="159"/>
      <c r="F101" s="159">
        <f>2248.43+105.728</f>
        <v>2354.1579999999999</v>
      </c>
      <c r="G101" s="159"/>
      <c r="H101" s="159"/>
      <c r="I101" s="159"/>
      <c r="J101" s="159"/>
      <c r="K101" s="159"/>
      <c r="L101" s="159"/>
      <c r="M101" s="159"/>
      <c r="N101" s="159"/>
      <c r="O101" s="159">
        <f t="shared" si="25"/>
        <v>2354.1579999999999</v>
      </c>
      <c r="P101" s="159"/>
      <c r="Q101" s="159"/>
      <c r="R101" s="159"/>
      <c r="S101" s="159"/>
      <c r="T101" s="159"/>
      <c r="U101" s="159">
        <f t="shared" si="26"/>
        <v>0</v>
      </c>
      <c r="V101" s="165"/>
      <c r="W101" s="531">
        <f t="shared" si="27"/>
        <v>2354.1579999999999</v>
      </c>
      <c r="X101" s="328"/>
    </row>
    <row r="102" spans="1:24" ht="24.95" hidden="1" customHeight="1" x14ac:dyDescent="0.2">
      <c r="A102" s="40"/>
      <c r="B102" s="695" t="s">
        <v>614</v>
      </c>
      <c r="C102" s="41" t="s">
        <v>615</v>
      </c>
      <c r="D102" s="159"/>
      <c r="E102" s="159"/>
      <c r="F102" s="159">
        <f>566.803</f>
        <v>566.803</v>
      </c>
      <c r="G102" s="159"/>
      <c r="H102" s="159"/>
      <c r="I102" s="159"/>
      <c r="J102" s="159"/>
      <c r="K102" s="159"/>
      <c r="L102" s="159"/>
      <c r="M102" s="159"/>
      <c r="N102" s="159"/>
      <c r="O102" s="159">
        <f t="shared" si="25"/>
        <v>566.803</v>
      </c>
      <c r="P102" s="159"/>
      <c r="Q102" s="159"/>
      <c r="R102" s="159"/>
      <c r="S102" s="159"/>
      <c r="T102" s="159"/>
      <c r="U102" s="159">
        <f t="shared" si="26"/>
        <v>0</v>
      </c>
      <c r="V102" s="165"/>
      <c r="W102" s="531">
        <f t="shared" si="27"/>
        <v>566.803</v>
      </c>
      <c r="X102" s="328"/>
    </row>
    <row r="103" spans="1:24" ht="24.95" hidden="1" customHeight="1" x14ac:dyDescent="0.2">
      <c r="A103" s="40"/>
      <c r="B103" s="229"/>
      <c r="C103" s="41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>
        <f t="shared" si="25"/>
        <v>0</v>
      </c>
      <c r="P103" s="159"/>
      <c r="Q103" s="159"/>
      <c r="R103" s="159"/>
      <c r="S103" s="159"/>
      <c r="T103" s="159"/>
      <c r="U103" s="159">
        <f t="shared" si="26"/>
        <v>0</v>
      </c>
      <c r="V103" s="165"/>
      <c r="W103" s="531">
        <f t="shared" si="27"/>
        <v>0</v>
      </c>
      <c r="X103" s="328"/>
    </row>
    <row r="104" spans="1:24" ht="24.95" hidden="1" customHeight="1" x14ac:dyDescent="0.2">
      <c r="A104" s="40"/>
      <c r="B104" s="229"/>
      <c r="C104" s="41"/>
      <c r="D104" s="159"/>
      <c r="E104" s="159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>
        <f t="shared" si="25"/>
        <v>0</v>
      </c>
      <c r="P104" s="159"/>
      <c r="Q104" s="159"/>
      <c r="R104" s="159"/>
      <c r="S104" s="159"/>
      <c r="T104" s="159"/>
      <c r="U104" s="159">
        <f t="shared" si="26"/>
        <v>0</v>
      </c>
      <c r="V104" s="165"/>
      <c r="W104" s="531">
        <f t="shared" si="27"/>
        <v>0</v>
      </c>
      <c r="X104" s="328"/>
    </row>
    <row r="105" spans="1:24" ht="24.95" hidden="1" customHeight="1" x14ac:dyDescent="0.2">
      <c r="A105" s="40"/>
      <c r="B105" s="31"/>
      <c r="C105" s="41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159">
        <f t="shared" si="25"/>
        <v>0</v>
      </c>
      <c r="P105" s="72"/>
      <c r="Q105" s="72"/>
      <c r="R105" s="72"/>
      <c r="S105" s="72"/>
      <c r="T105" s="72"/>
      <c r="U105" s="159">
        <f t="shared" si="26"/>
        <v>0</v>
      </c>
      <c r="V105" s="73"/>
      <c r="W105" s="531">
        <f t="shared" si="27"/>
        <v>0</v>
      </c>
      <c r="X105" s="328"/>
    </row>
    <row r="106" spans="1:24" ht="24.95" hidden="1" customHeight="1" x14ac:dyDescent="0.2">
      <c r="A106" s="216" t="s">
        <v>89</v>
      </c>
      <c r="B106" s="212"/>
      <c r="C106" s="217" t="s">
        <v>87</v>
      </c>
      <c r="D106" s="174">
        <f t="shared" ref="D106:X106" si="28">SUM(D97:D105)</f>
        <v>0</v>
      </c>
      <c r="E106" s="174">
        <f t="shared" si="28"/>
        <v>0</v>
      </c>
      <c r="F106" s="174">
        <f t="shared" si="28"/>
        <v>15341.440999999999</v>
      </c>
      <c r="G106" s="174">
        <f t="shared" si="28"/>
        <v>0</v>
      </c>
      <c r="H106" s="174">
        <f t="shared" si="28"/>
        <v>2644</v>
      </c>
      <c r="I106" s="174">
        <f t="shared" si="28"/>
        <v>0</v>
      </c>
      <c r="J106" s="174">
        <f t="shared" si="28"/>
        <v>0</v>
      </c>
      <c r="K106" s="174">
        <f t="shared" si="28"/>
        <v>0</v>
      </c>
      <c r="L106" s="174">
        <f t="shared" si="28"/>
        <v>0</v>
      </c>
      <c r="M106" s="174">
        <f t="shared" si="28"/>
        <v>0</v>
      </c>
      <c r="N106" s="174">
        <f t="shared" si="28"/>
        <v>0</v>
      </c>
      <c r="O106" s="174">
        <f t="shared" si="28"/>
        <v>17985.440999999999</v>
      </c>
      <c r="P106" s="174"/>
      <c r="Q106" s="174">
        <f t="shared" si="28"/>
        <v>0</v>
      </c>
      <c r="R106" s="174">
        <f t="shared" si="28"/>
        <v>0</v>
      </c>
      <c r="S106" s="174">
        <f t="shared" si="28"/>
        <v>0</v>
      </c>
      <c r="T106" s="174">
        <f t="shared" si="28"/>
        <v>0</v>
      </c>
      <c r="U106" s="174">
        <f t="shared" si="28"/>
        <v>0</v>
      </c>
      <c r="V106" s="174"/>
      <c r="W106" s="265">
        <f t="shared" si="28"/>
        <v>17985.440999999999</v>
      </c>
      <c r="X106" s="265">
        <f t="shared" si="28"/>
        <v>0</v>
      </c>
    </row>
    <row r="107" spans="1:24" ht="12" hidden="1" customHeight="1" x14ac:dyDescent="0.2">
      <c r="A107" s="40"/>
      <c r="B107" s="31"/>
      <c r="C107" s="41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3"/>
      <c r="W107" s="260"/>
      <c r="X107" s="328"/>
    </row>
    <row r="108" spans="1:24" ht="24.95" hidden="1" customHeight="1" thickBot="1" x14ac:dyDescent="0.25">
      <c r="A108" s="40"/>
      <c r="B108" s="32"/>
      <c r="C108" s="34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3"/>
      <c r="W108" s="260"/>
      <c r="X108" s="328"/>
    </row>
    <row r="109" spans="1:24" ht="24.95" hidden="1" customHeight="1" thickTop="1" thickBot="1" x14ac:dyDescent="0.25">
      <c r="A109" s="42"/>
      <c r="B109" s="111" t="s">
        <v>188</v>
      </c>
      <c r="C109" s="44" t="s">
        <v>90</v>
      </c>
      <c r="D109" s="210">
        <f>D95+D106</f>
        <v>0</v>
      </c>
      <c r="E109" s="210">
        <f t="shared" ref="E109:U109" si="29">E95+E106</f>
        <v>0</v>
      </c>
      <c r="F109" s="210">
        <f t="shared" si="29"/>
        <v>15341.440999999999</v>
      </c>
      <c r="G109" s="210">
        <f t="shared" si="29"/>
        <v>0</v>
      </c>
      <c r="H109" s="210">
        <f t="shared" si="29"/>
        <v>2644</v>
      </c>
      <c r="I109" s="210">
        <f t="shared" si="29"/>
        <v>0</v>
      </c>
      <c r="J109" s="210">
        <f t="shared" si="29"/>
        <v>0</v>
      </c>
      <c r="K109" s="210">
        <f t="shared" si="29"/>
        <v>0</v>
      </c>
      <c r="L109" s="210">
        <f>L95+L106</f>
        <v>0</v>
      </c>
      <c r="M109" s="210">
        <f t="shared" si="29"/>
        <v>0</v>
      </c>
      <c r="N109" s="210">
        <f t="shared" si="29"/>
        <v>0</v>
      </c>
      <c r="O109" s="210">
        <f t="shared" si="29"/>
        <v>17985.440999999999</v>
      </c>
      <c r="P109" s="210"/>
      <c r="Q109" s="210">
        <f>Q95+Q106</f>
        <v>0</v>
      </c>
      <c r="R109" s="210">
        <f t="shared" si="29"/>
        <v>0</v>
      </c>
      <c r="S109" s="210">
        <f t="shared" si="29"/>
        <v>0</v>
      </c>
      <c r="T109" s="210">
        <f t="shared" si="29"/>
        <v>0</v>
      </c>
      <c r="U109" s="210">
        <f t="shared" si="29"/>
        <v>0</v>
      </c>
      <c r="V109" s="210"/>
      <c r="W109" s="258">
        <f>W95+W106</f>
        <v>17985.440999999999</v>
      </c>
      <c r="X109" s="179">
        <f>X95+X106</f>
        <v>9606.1470000000008</v>
      </c>
    </row>
    <row r="110" spans="1:24" ht="30" hidden="1" customHeight="1" thickTop="1" thickBot="1" x14ac:dyDescent="0.25">
      <c r="A110" s="42"/>
      <c r="B110" s="516" t="s">
        <v>626</v>
      </c>
      <c r="C110" s="44" t="s">
        <v>157</v>
      </c>
      <c r="D110" s="259">
        <f t="shared" ref="D110:O110" si="30">D51+D83+D109</f>
        <v>0</v>
      </c>
      <c r="E110" s="259">
        <f t="shared" si="30"/>
        <v>0</v>
      </c>
      <c r="F110" s="259">
        <f t="shared" si="30"/>
        <v>24606.847999999998</v>
      </c>
      <c r="G110" s="259">
        <f t="shared" si="30"/>
        <v>7600</v>
      </c>
      <c r="H110" s="259">
        <f t="shared" si="30"/>
        <v>19099</v>
      </c>
      <c r="I110" s="259">
        <f t="shared" si="30"/>
        <v>0</v>
      </c>
      <c r="J110" s="259">
        <f t="shared" si="30"/>
        <v>0</v>
      </c>
      <c r="K110" s="259">
        <f t="shared" si="30"/>
        <v>0</v>
      </c>
      <c r="L110" s="259">
        <f t="shared" si="30"/>
        <v>5104</v>
      </c>
      <c r="M110" s="259">
        <f t="shared" si="30"/>
        <v>2200</v>
      </c>
      <c r="N110" s="259">
        <f t="shared" si="30"/>
        <v>0</v>
      </c>
      <c r="O110" s="259">
        <f t="shared" si="30"/>
        <v>58609.848000000005</v>
      </c>
      <c r="P110" s="259"/>
      <c r="Q110" s="259">
        <f>Q51+Q83+Q109</f>
        <v>0</v>
      </c>
      <c r="R110" s="259">
        <f>R51+R83+R109</f>
        <v>39544</v>
      </c>
      <c r="S110" s="259">
        <f>S51+S83+S109</f>
        <v>0</v>
      </c>
      <c r="T110" s="259">
        <f>T51+T83+T109</f>
        <v>0</v>
      </c>
      <c r="U110" s="259">
        <f>U51+U83+U109</f>
        <v>39544</v>
      </c>
      <c r="V110" s="259"/>
      <c r="W110" s="258">
        <f>W51+W83+W109</f>
        <v>98153.847999999998</v>
      </c>
      <c r="X110" s="235">
        <f>X51+X83+X109</f>
        <v>2625982.6169999996</v>
      </c>
    </row>
    <row r="111" spans="1:24" ht="29.25" customHeight="1" thickTop="1" x14ac:dyDescent="0.2">
      <c r="A111" s="559"/>
      <c r="B111" s="736" t="s">
        <v>192</v>
      </c>
      <c r="C111" s="24" t="s">
        <v>18</v>
      </c>
      <c r="D111" s="25">
        <f t="shared" ref="D111:U111" si="31">D110</f>
        <v>0</v>
      </c>
      <c r="E111" s="25">
        <f t="shared" si="31"/>
        <v>0</v>
      </c>
      <c r="F111" s="25">
        <f t="shared" si="31"/>
        <v>24606.847999999998</v>
      </c>
      <c r="G111" s="25">
        <f t="shared" si="31"/>
        <v>7600</v>
      </c>
      <c r="H111" s="25">
        <f t="shared" si="31"/>
        <v>19099</v>
      </c>
      <c r="I111" s="25">
        <f t="shared" si="31"/>
        <v>0</v>
      </c>
      <c r="J111" s="25">
        <f t="shared" si="31"/>
        <v>0</v>
      </c>
      <c r="K111" s="25">
        <f t="shared" si="31"/>
        <v>0</v>
      </c>
      <c r="L111" s="25">
        <f t="shared" si="31"/>
        <v>5104</v>
      </c>
      <c r="M111" s="25">
        <f t="shared" si="31"/>
        <v>2200</v>
      </c>
      <c r="N111" s="25">
        <f t="shared" si="31"/>
        <v>0</v>
      </c>
      <c r="O111" s="25">
        <f t="shared" si="31"/>
        <v>58609.848000000005</v>
      </c>
      <c r="P111" s="25"/>
      <c r="Q111" s="25">
        <f>Q110</f>
        <v>0</v>
      </c>
      <c r="R111" s="25">
        <f>R110</f>
        <v>39544</v>
      </c>
      <c r="S111" s="25">
        <f t="shared" si="31"/>
        <v>0</v>
      </c>
      <c r="T111" s="25">
        <f t="shared" si="31"/>
        <v>0</v>
      </c>
      <c r="U111" s="25">
        <f t="shared" si="31"/>
        <v>39544</v>
      </c>
      <c r="V111" s="25"/>
      <c r="W111" s="243">
        <f t="shared" ref="W111:W116" si="32">O111+U111</f>
        <v>98153.847999999998</v>
      </c>
      <c r="X111" s="250">
        <f>X110</f>
        <v>2625982.6169999996</v>
      </c>
    </row>
    <row r="112" spans="1:24" ht="30.75" customHeight="1" x14ac:dyDescent="0.2">
      <c r="A112" s="40"/>
      <c r="B112" s="333"/>
      <c r="C112" s="28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5"/>
      <c r="W112" s="176"/>
      <c r="X112" s="451"/>
    </row>
    <row r="113" spans="1:24" ht="30.75" customHeight="1" x14ac:dyDescent="0.2">
      <c r="A113" s="185">
        <v>1</v>
      </c>
      <c r="B113" s="230" t="s">
        <v>630</v>
      </c>
      <c r="C113" s="28" t="s">
        <v>718</v>
      </c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>
        <f t="shared" ref="O113:O118" si="33">SUM(D113:N113)</f>
        <v>0</v>
      </c>
      <c r="P113" s="174"/>
      <c r="Q113" s="174"/>
      <c r="R113" s="174"/>
      <c r="S113" s="174"/>
      <c r="T113" s="174"/>
      <c r="U113" s="174">
        <f t="shared" ref="U113:U118" si="34">SUM(Q113:T113)</f>
        <v>0</v>
      </c>
      <c r="V113" s="175"/>
      <c r="W113" s="176">
        <f t="shared" si="32"/>
        <v>0</v>
      </c>
      <c r="X113" s="385">
        <f>2253.362</f>
        <v>2253.3620000000001</v>
      </c>
    </row>
    <row r="114" spans="1:24" ht="30.75" customHeight="1" x14ac:dyDescent="0.2">
      <c r="A114" s="185">
        <v>2</v>
      </c>
      <c r="B114" s="230" t="s">
        <v>661</v>
      </c>
      <c r="C114" s="28" t="s">
        <v>660</v>
      </c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>
        <f t="shared" si="33"/>
        <v>0</v>
      </c>
      <c r="P114" s="174"/>
      <c r="Q114" s="174"/>
      <c r="R114" s="174"/>
      <c r="S114" s="174"/>
      <c r="T114" s="174"/>
      <c r="U114" s="174">
        <f t="shared" si="34"/>
        <v>0</v>
      </c>
      <c r="V114" s="175"/>
      <c r="W114" s="176">
        <f t="shared" si="32"/>
        <v>0</v>
      </c>
      <c r="X114" s="385">
        <f>-10</f>
        <v>-10</v>
      </c>
    </row>
    <row r="115" spans="1:24" ht="30.75" customHeight="1" x14ac:dyDescent="0.2">
      <c r="A115" s="185">
        <v>3</v>
      </c>
      <c r="B115" s="230" t="s">
        <v>666</v>
      </c>
      <c r="C115" s="28" t="s">
        <v>665</v>
      </c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>
        <f t="shared" si="33"/>
        <v>0</v>
      </c>
      <c r="P115" s="174"/>
      <c r="Q115" s="174"/>
      <c r="R115" s="174"/>
      <c r="S115" s="174"/>
      <c r="T115" s="174"/>
      <c r="U115" s="174">
        <f t="shared" si="34"/>
        <v>0</v>
      </c>
      <c r="V115" s="175"/>
      <c r="W115" s="176">
        <f t="shared" si="32"/>
        <v>0</v>
      </c>
      <c r="X115" s="385">
        <f>-2034</f>
        <v>-2034</v>
      </c>
    </row>
    <row r="116" spans="1:24" ht="30.75" customHeight="1" x14ac:dyDescent="0.2">
      <c r="A116" s="185">
        <v>4</v>
      </c>
      <c r="B116" s="230" t="s">
        <v>694</v>
      </c>
      <c r="C116" s="41" t="s">
        <v>687</v>
      </c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>
        <f t="shared" si="33"/>
        <v>0</v>
      </c>
      <c r="P116" s="174"/>
      <c r="Q116" s="174"/>
      <c r="R116" s="174"/>
      <c r="S116" s="174"/>
      <c r="T116" s="174"/>
      <c r="U116" s="174">
        <f t="shared" si="34"/>
        <v>0</v>
      </c>
      <c r="V116" s="175"/>
      <c r="W116" s="176">
        <f t="shared" si="32"/>
        <v>0</v>
      </c>
      <c r="X116" s="385">
        <f>-643.12</f>
        <v>-643.12</v>
      </c>
    </row>
    <row r="117" spans="1:24" ht="30.75" customHeight="1" x14ac:dyDescent="0.2">
      <c r="A117" s="185">
        <v>5</v>
      </c>
      <c r="B117" s="695" t="s">
        <v>700</v>
      </c>
      <c r="C117" s="127" t="s">
        <v>702</v>
      </c>
      <c r="D117" s="174"/>
      <c r="E117" s="174"/>
      <c r="F117" s="174"/>
      <c r="G117" s="174"/>
      <c r="H117" s="174"/>
      <c r="I117" s="174"/>
      <c r="J117" s="174"/>
      <c r="K117" s="174"/>
      <c r="L117" s="174">
        <f>2257+7733+550</f>
        <v>10540</v>
      </c>
      <c r="M117" s="174"/>
      <c r="N117" s="174"/>
      <c r="O117" s="174">
        <f t="shared" si="33"/>
        <v>10540</v>
      </c>
      <c r="P117" s="174"/>
      <c r="Q117" s="174"/>
      <c r="R117" s="174"/>
      <c r="S117" s="174"/>
      <c r="T117" s="174"/>
      <c r="U117" s="174">
        <f t="shared" si="34"/>
        <v>0</v>
      </c>
      <c r="V117" s="175"/>
      <c r="W117" s="176">
        <f>O117+U117</f>
        <v>10540</v>
      </c>
      <c r="X117" s="385">
        <f>-10540</f>
        <v>-10540</v>
      </c>
    </row>
    <row r="118" spans="1:24" ht="30.75" hidden="1" customHeight="1" x14ac:dyDescent="0.2">
      <c r="A118" s="40"/>
      <c r="B118" s="31"/>
      <c r="C118" s="41"/>
      <c r="D118" s="174"/>
      <c r="E118" s="174"/>
      <c r="F118" s="174"/>
      <c r="G118" s="174"/>
      <c r="H118" s="174"/>
      <c r="I118" s="174"/>
      <c r="J118" s="174"/>
      <c r="K118" s="174"/>
      <c r="L118" s="174"/>
      <c r="M118" s="174"/>
      <c r="N118" s="174"/>
      <c r="O118" s="174">
        <f t="shared" si="33"/>
        <v>0</v>
      </c>
      <c r="P118" s="174"/>
      <c r="Q118" s="174"/>
      <c r="R118" s="174"/>
      <c r="S118" s="174"/>
      <c r="T118" s="174"/>
      <c r="U118" s="174">
        <f t="shared" si="34"/>
        <v>0</v>
      </c>
      <c r="V118" s="175"/>
      <c r="W118" s="176">
        <f>O118+U118</f>
        <v>0</v>
      </c>
      <c r="X118" s="385"/>
    </row>
    <row r="119" spans="1:24" ht="30.75" customHeight="1" x14ac:dyDescent="0.2">
      <c r="A119" s="40"/>
      <c r="B119" s="31"/>
      <c r="C119" s="41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5"/>
      <c r="W119" s="176"/>
      <c r="X119" s="385"/>
    </row>
    <row r="120" spans="1:24" ht="30.75" customHeight="1" x14ac:dyDescent="0.2">
      <c r="A120" s="40"/>
      <c r="B120" s="31"/>
      <c r="C120" s="41" t="s">
        <v>68</v>
      </c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  <c r="V120" s="175"/>
      <c r="W120" s="176"/>
      <c r="X120" s="385">
        <v>0.5</v>
      </c>
    </row>
    <row r="121" spans="1:24" ht="30.75" customHeight="1" x14ac:dyDescent="0.2">
      <c r="A121" s="40"/>
      <c r="B121" s="31"/>
      <c r="C121" s="41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5"/>
      <c r="W121" s="176"/>
      <c r="X121" s="385"/>
    </row>
    <row r="122" spans="1:24" ht="9.9499999999999993" customHeight="1" x14ac:dyDescent="0.2">
      <c r="A122" s="40"/>
      <c r="B122" s="129"/>
      <c r="C122" s="41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5"/>
      <c r="W122" s="176"/>
      <c r="X122" s="252"/>
    </row>
    <row r="123" spans="1:24" ht="24.95" customHeight="1" x14ac:dyDescent="0.2">
      <c r="A123" s="216" t="s">
        <v>88</v>
      </c>
      <c r="B123" s="212"/>
      <c r="C123" s="217" t="s">
        <v>86</v>
      </c>
      <c r="D123" s="174">
        <f t="shared" ref="D123:X123" si="35">SUM(D112:D122)</f>
        <v>0</v>
      </c>
      <c r="E123" s="174">
        <f t="shared" si="35"/>
        <v>0</v>
      </c>
      <c r="F123" s="174">
        <f t="shared" si="35"/>
        <v>0</v>
      </c>
      <c r="G123" s="174">
        <f t="shared" si="35"/>
        <v>0</v>
      </c>
      <c r="H123" s="174">
        <f t="shared" si="35"/>
        <v>0</v>
      </c>
      <c r="I123" s="174">
        <f t="shared" si="35"/>
        <v>0</v>
      </c>
      <c r="J123" s="174">
        <f t="shared" si="35"/>
        <v>0</v>
      </c>
      <c r="K123" s="174">
        <f t="shared" si="35"/>
        <v>0</v>
      </c>
      <c r="L123" s="174">
        <f t="shared" si="35"/>
        <v>10540</v>
      </c>
      <c r="M123" s="174">
        <f t="shared" si="35"/>
        <v>0</v>
      </c>
      <c r="N123" s="174">
        <f t="shared" si="35"/>
        <v>0</v>
      </c>
      <c r="O123" s="174">
        <f>SUM(O112:O122)</f>
        <v>10540</v>
      </c>
      <c r="P123" s="174"/>
      <c r="Q123" s="174">
        <f t="shared" si="35"/>
        <v>0</v>
      </c>
      <c r="R123" s="174">
        <f t="shared" si="35"/>
        <v>0</v>
      </c>
      <c r="S123" s="174">
        <f t="shared" si="35"/>
        <v>0</v>
      </c>
      <c r="T123" s="174">
        <f t="shared" si="35"/>
        <v>0</v>
      </c>
      <c r="U123" s="174">
        <f t="shared" si="35"/>
        <v>0</v>
      </c>
      <c r="V123" s="174"/>
      <c r="W123" s="265">
        <f t="shared" si="35"/>
        <v>10540</v>
      </c>
      <c r="X123" s="385">
        <f t="shared" si="35"/>
        <v>-10973.258</v>
      </c>
    </row>
    <row r="124" spans="1:24" ht="9.9499999999999993" customHeight="1" x14ac:dyDescent="0.2">
      <c r="A124" s="40"/>
      <c r="B124" s="31"/>
      <c r="C124" s="41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6"/>
      <c r="X124" s="252"/>
    </row>
    <row r="125" spans="1:24" ht="24.75" customHeight="1" x14ac:dyDescent="0.2">
      <c r="A125" s="40"/>
      <c r="B125" s="31"/>
      <c r="C125" s="41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6"/>
      <c r="X125" s="252"/>
    </row>
    <row r="126" spans="1:24" ht="30.75" customHeight="1" x14ac:dyDescent="0.2">
      <c r="A126" s="185">
        <v>6</v>
      </c>
      <c r="B126" s="229" t="s">
        <v>668</v>
      </c>
      <c r="C126" s="41" t="s">
        <v>669</v>
      </c>
      <c r="D126" s="174"/>
      <c r="E126" s="174"/>
      <c r="F126" s="174"/>
      <c r="G126" s="174"/>
      <c r="H126" s="174">
        <f>112</f>
        <v>112</v>
      </c>
      <c r="I126" s="174"/>
      <c r="J126" s="174"/>
      <c r="K126" s="174"/>
      <c r="L126" s="174">
        <f>414</f>
        <v>414</v>
      </c>
      <c r="M126" s="174"/>
      <c r="N126" s="174"/>
      <c r="O126" s="174">
        <f t="shared" ref="O126:O130" si="36">SUM(D126:N126)</f>
        <v>526</v>
      </c>
      <c r="P126" s="174"/>
      <c r="Q126" s="174"/>
      <c r="R126" s="174"/>
      <c r="S126" s="174"/>
      <c r="T126" s="174"/>
      <c r="U126" s="174">
        <f t="shared" ref="U126:U130" si="37">SUM(Q126:T126)</f>
        <v>0</v>
      </c>
      <c r="V126" s="174"/>
      <c r="W126" s="176">
        <f t="shared" ref="W126:W130" si="38">O126+U126</f>
        <v>526</v>
      </c>
      <c r="X126" s="252"/>
    </row>
    <row r="127" spans="1:24" ht="30.75" customHeight="1" x14ac:dyDescent="0.2">
      <c r="A127" s="185">
        <v>7</v>
      </c>
      <c r="B127" s="229" t="s">
        <v>684</v>
      </c>
      <c r="C127" s="41" t="s">
        <v>426</v>
      </c>
      <c r="D127" s="174"/>
      <c r="E127" s="174"/>
      <c r="F127" s="174">
        <f>1037.372+211.456</f>
        <v>1248.828</v>
      </c>
      <c r="G127" s="174"/>
      <c r="H127" s="174"/>
      <c r="I127" s="174"/>
      <c r="J127" s="174"/>
      <c r="K127" s="174"/>
      <c r="L127" s="174"/>
      <c r="M127" s="174"/>
      <c r="N127" s="174"/>
      <c r="O127" s="174">
        <f t="shared" si="36"/>
        <v>1248.828</v>
      </c>
      <c r="P127" s="174"/>
      <c r="Q127" s="174"/>
      <c r="R127" s="174"/>
      <c r="S127" s="174"/>
      <c r="T127" s="174"/>
      <c r="U127" s="174">
        <f t="shared" si="37"/>
        <v>0</v>
      </c>
      <c r="V127" s="174"/>
      <c r="W127" s="176">
        <f t="shared" si="38"/>
        <v>1248.828</v>
      </c>
      <c r="X127" s="252"/>
    </row>
    <row r="128" spans="1:24" ht="30.75" customHeight="1" x14ac:dyDescent="0.2">
      <c r="A128" s="40">
        <v>8</v>
      </c>
      <c r="B128" s="695" t="s">
        <v>713</v>
      </c>
      <c r="C128" s="41" t="s">
        <v>714</v>
      </c>
      <c r="D128" s="174"/>
      <c r="E128" s="174"/>
      <c r="F128" s="174"/>
      <c r="G128" s="174">
        <f>-95-961-435-800-357</f>
        <v>-2648</v>
      </c>
      <c r="H128" s="174">
        <f>-380-600-66-637-172</f>
        <v>-1855</v>
      </c>
      <c r="I128" s="174"/>
      <c r="J128" s="174"/>
      <c r="K128" s="174"/>
      <c r="L128" s="174"/>
      <c r="M128" s="174"/>
      <c r="N128" s="174"/>
      <c r="O128" s="174">
        <f t="shared" si="36"/>
        <v>-4503</v>
      </c>
      <c r="P128" s="174"/>
      <c r="Q128" s="174"/>
      <c r="R128" s="174"/>
      <c r="S128" s="174"/>
      <c r="T128" s="174"/>
      <c r="U128" s="174">
        <f t="shared" si="37"/>
        <v>0</v>
      </c>
      <c r="V128" s="174"/>
      <c r="W128" s="176">
        <f t="shared" si="38"/>
        <v>-4503</v>
      </c>
      <c r="X128" s="252"/>
    </row>
    <row r="129" spans="1:27" ht="30.75" customHeight="1" x14ac:dyDescent="0.2">
      <c r="A129" s="40"/>
      <c r="B129" s="126"/>
      <c r="C129" s="41"/>
      <c r="D129" s="174"/>
      <c r="E129" s="174"/>
      <c r="F129" s="174"/>
      <c r="G129" s="174"/>
      <c r="H129" s="174"/>
      <c r="I129" s="174"/>
      <c r="J129" s="174"/>
      <c r="K129" s="174"/>
      <c r="L129" s="174"/>
      <c r="M129" s="174"/>
      <c r="N129" s="174"/>
      <c r="O129" s="174">
        <f t="shared" si="36"/>
        <v>0</v>
      </c>
      <c r="P129" s="174"/>
      <c r="Q129" s="174"/>
      <c r="R129" s="174"/>
      <c r="S129" s="174"/>
      <c r="T129" s="174"/>
      <c r="U129" s="174">
        <f t="shared" si="37"/>
        <v>0</v>
      </c>
      <c r="V129" s="174"/>
      <c r="W129" s="176">
        <f t="shared" si="38"/>
        <v>0</v>
      </c>
      <c r="X129" s="252"/>
    </row>
    <row r="130" spans="1:27" ht="30.75" customHeight="1" x14ac:dyDescent="0.2">
      <c r="A130" s="40"/>
      <c r="B130" s="126"/>
      <c r="C130" s="41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>
        <f t="shared" si="36"/>
        <v>0</v>
      </c>
      <c r="P130" s="174"/>
      <c r="Q130" s="174"/>
      <c r="R130" s="174"/>
      <c r="S130" s="174"/>
      <c r="T130" s="174"/>
      <c r="U130" s="174">
        <f t="shared" si="37"/>
        <v>0</v>
      </c>
      <c r="V130" s="174"/>
      <c r="W130" s="176">
        <f t="shared" si="38"/>
        <v>0</v>
      </c>
      <c r="X130" s="252"/>
    </row>
    <row r="131" spans="1:27" ht="30.75" customHeight="1" x14ac:dyDescent="0.2">
      <c r="A131" s="40"/>
      <c r="B131" s="126"/>
      <c r="C131" s="41"/>
      <c r="D131" s="174"/>
      <c r="E131" s="174"/>
      <c r="F131" s="174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4"/>
      <c r="U131" s="174"/>
      <c r="V131" s="174"/>
      <c r="W131" s="176"/>
      <c r="X131" s="252"/>
    </row>
    <row r="132" spans="1:27" ht="9.9499999999999993" customHeight="1" x14ac:dyDescent="0.2">
      <c r="A132" s="40"/>
      <c r="B132" s="126"/>
      <c r="C132" s="41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6"/>
      <c r="X132" s="248"/>
    </row>
    <row r="133" spans="1:27" ht="24.95" customHeight="1" x14ac:dyDescent="0.2">
      <c r="A133" s="216" t="s">
        <v>89</v>
      </c>
      <c r="B133" s="212"/>
      <c r="C133" s="217" t="s">
        <v>87</v>
      </c>
      <c r="D133" s="174">
        <f t="shared" ref="D133:O133" si="39">SUM(D126:D132)</f>
        <v>0</v>
      </c>
      <c r="E133" s="174">
        <f t="shared" si="39"/>
        <v>0</v>
      </c>
      <c r="F133" s="174">
        <f t="shared" si="39"/>
        <v>1248.828</v>
      </c>
      <c r="G133" s="174">
        <f t="shared" si="39"/>
        <v>-2648</v>
      </c>
      <c r="H133" s="174">
        <f t="shared" si="39"/>
        <v>-1743</v>
      </c>
      <c r="I133" s="174">
        <f t="shared" si="39"/>
        <v>0</v>
      </c>
      <c r="J133" s="174">
        <f t="shared" si="39"/>
        <v>0</v>
      </c>
      <c r="K133" s="174">
        <f t="shared" si="39"/>
        <v>0</v>
      </c>
      <c r="L133" s="174">
        <f t="shared" si="39"/>
        <v>414</v>
      </c>
      <c r="M133" s="174">
        <f t="shared" si="39"/>
        <v>0</v>
      </c>
      <c r="N133" s="174">
        <f t="shared" si="39"/>
        <v>0</v>
      </c>
      <c r="O133" s="174">
        <f t="shared" si="39"/>
        <v>-2728.172</v>
      </c>
      <c r="P133" s="174"/>
      <c r="Q133" s="174">
        <f>SUM(Q126:Q132)</f>
        <v>0</v>
      </c>
      <c r="R133" s="174">
        <f>SUM(R126:R132)</f>
        <v>0</v>
      </c>
      <c r="S133" s="174">
        <f>SUM(S126:S132)</f>
        <v>0</v>
      </c>
      <c r="T133" s="174">
        <f>SUM(T126:T132)</f>
        <v>0</v>
      </c>
      <c r="U133" s="174">
        <f>SUM(U126:U132)</f>
        <v>0</v>
      </c>
      <c r="V133" s="174"/>
      <c r="W133" s="265">
        <f>SUM(W126:W132)</f>
        <v>-2728.172</v>
      </c>
      <c r="X133" s="265">
        <f>SUM(X126:X132)</f>
        <v>0</v>
      </c>
    </row>
    <row r="134" spans="1:27" ht="24.95" customHeight="1" x14ac:dyDescent="0.2">
      <c r="A134" s="40"/>
      <c r="B134" s="31"/>
      <c r="C134" s="41"/>
      <c r="D134" s="174"/>
      <c r="E134" s="174"/>
      <c r="F134" s="174"/>
      <c r="G134" s="174"/>
      <c r="H134" s="174"/>
      <c r="I134" s="174"/>
      <c r="J134" s="174"/>
      <c r="K134" s="174"/>
      <c r="M134" s="174"/>
      <c r="N134" s="174"/>
      <c r="O134" s="174"/>
      <c r="P134" s="174"/>
      <c r="Q134" s="174"/>
      <c r="R134" s="174"/>
      <c r="S134" s="174"/>
      <c r="T134" s="174"/>
      <c r="U134" s="174"/>
      <c r="V134" s="174"/>
      <c r="W134" s="176"/>
      <c r="X134" s="252"/>
    </row>
    <row r="135" spans="1:27" ht="24.95" customHeight="1" thickBot="1" x14ac:dyDescent="0.25">
      <c r="A135" s="40"/>
      <c r="B135" s="32"/>
      <c r="C135" s="34"/>
      <c r="D135" s="174"/>
      <c r="E135" s="174"/>
      <c r="F135" s="174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4"/>
      <c r="U135" s="174"/>
      <c r="V135" s="174"/>
      <c r="W135" s="176"/>
      <c r="X135" s="252"/>
    </row>
    <row r="136" spans="1:27" ht="24.95" customHeight="1" thickTop="1" thickBot="1" x14ac:dyDescent="0.25">
      <c r="A136" s="46"/>
      <c r="B136" s="264" t="s">
        <v>193</v>
      </c>
      <c r="C136" s="44" t="s">
        <v>90</v>
      </c>
      <c r="D136" s="178">
        <f t="shared" ref="D136:O136" si="40">D123+D133</f>
        <v>0</v>
      </c>
      <c r="E136" s="178">
        <f t="shared" si="40"/>
        <v>0</v>
      </c>
      <c r="F136" s="178">
        <f t="shared" si="40"/>
        <v>1248.828</v>
      </c>
      <c r="G136" s="178">
        <f t="shared" si="40"/>
        <v>-2648</v>
      </c>
      <c r="H136" s="178">
        <f t="shared" si="40"/>
        <v>-1743</v>
      </c>
      <c r="I136" s="178">
        <f t="shared" si="40"/>
        <v>0</v>
      </c>
      <c r="J136" s="178">
        <f t="shared" si="40"/>
        <v>0</v>
      </c>
      <c r="K136" s="178">
        <f t="shared" si="40"/>
        <v>0</v>
      </c>
      <c r="L136" s="178">
        <f t="shared" si="40"/>
        <v>10954</v>
      </c>
      <c r="M136" s="178">
        <f t="shared" si="40"/>
        <v>0</v>
      </c>
      <c r="N136" s="178">
        <f t="shared" si="40"/>
        <v>0</v>
      </c>
      <c r="O136" s="178">
        <f t="shared" si="40"/>
        <v>7811.8279999999995</v>
      </c>
      <c r="P136" s="178"/>
      <c r="Q136" s="178">
        <f>Q123+Q133</f>
        <v>0</v>
      </c>
      <c r="R136" s="178">
        <f>R123+R133</f>
        <v>0</v>
      </c>
      <c r="S136" s="178">
        <f>S123+S133</f>
        <v>0</v>
      </c>
      <c r="T136" s="178">
        <f>T123+T133</f>
        <v>0</v>
      </c>
      <c r="U136" s="178">
        <f>U123+U133</f>
        <v>0</v>
      </c>
      <c r="V136" s="178"/>
      <c r="W136" s="179">
        <f>W123+W133</f>
        <v>7811.8279999999995</v>
      </c>
      <c r="X136" s="179">
        <f>X123+X133</f>
        <v>-10973.258</v>
      </c>
    </row>
    <row r="137" spans="1:27" ht="24.95" customHeight="1" thickTop="1" thickBot="1" x14ac:dyDescent="0.25">
      <c r="A137" s="42"/>
      <c r="B137" s="43" t="s">
        <v>192</v>
      </c>
      <c r="C137" s="44" t="s">
        <v>157</v>
      </c>
      <c r="D137" s="210">
        <f t="shared" ref="D137:O137" si="41">D111+D136</f>
        <v>0</v>
      </c>
      <c r="E137" s="210">
        <f t="shared" si="41"/>
        <v>0</v>
      </c>
      <c r="F137" s="210">
        <f t="shared" si="41"/>
        <v>25855.675999999999</v>
      </c>
      <c r="G137" s="210">
        <f t="shared" si="41"/>
        <v>4952</v>
      </c>
      <c r="H137" s="210">
        <f t="shared" si="41"/>
        <v>17356</v>
      </c>
      <c r="I137" s="210">
        <f t="shared" si="41"/>
        <v>0</v>
      </c>
      <c r="J137" s="210">
        <f t="shared" si="41"/>
        <v>0</v>
      </c>
      <c r="K137" s="210">
        <f t="shared" si="41"/>
        <v>0</v>
      </c>
      <c r="L137" s="210">
        <f t="shared" si="41"/>
        <v>16058</v>
      </c>
      <c r="M137" s="210">
        <f t="shared" si="41"/>
        <v>2200</v>
      </c>
      <c r="N137" s="210">
        <f t="shared" si="41"/>
        <v>0</v>
      </c>
      <c r="O137" s="210">
        <f t="shared" si="41"/>
        <v>66421.676000000007</v>
      </c>
      <c r="P137" s="210"/>
      <c r="Q137" s="210">
        <f>Q111+Q136</f>
        <v>0</v>
      </c>
      <c r="R137" s="210">
        <f>R111+R136</f>
        <v>39544</v>
      </c>
      <c r="S137" s="210">
        <f>S111+S136</f>
        <v>0</v>
      </c>
      <c r="T137" s="210">
        <f>T111+T136</f>
        <v>0</v>
      </c>
      <c r="U137" s="210">
        <f>U111+U136</f>
        <v>39544</v>
      </c>
      <c r="V137" s="210"/>
      <c r="W137" s="179">
        <f>O137+U137</f>
        <v>105965.67600000001</v>
      </c>
      <c r="X137" s="179">
        <f>X110+X136</f>
        <v>2615009.3589999997</v>
      </c>
      <c r="Y137" s="29"/>
      <c r="Z137" s="29"/>
      <c r="AA137" s="29"/>
    </row>
    <row r="138" spans="1:27" ht="24.95" hidden="1" customHeight="1" thickTop="1" x14ac:dyDescent="0.2">
      <c r="A138" s="187"/>
      <c r="B138" s="559" t="s">
        <v>194</v>
      </c>
      <c r="C138" s="24" t="s">
        <v>18</v>
      </c>
      <c r="D138" s="25">
        <f t="shared" ref="D138:O138" si="42">D137</f>
        <v>0</v>
      </c>
      <c r="E138" s="25">
        <f t="shared" si="42"/>
        <v>0</v>
      </c>
      <c r="F138" s="25">
        <f t="shared" si="42"/>
        <v>25855.675999999999</v>
      </c>
      <c r="G138" s="25">
        <f t="shared" si="42"/>
        <v>4952</v>
      </c>
      <c r="H138" s="25">
        <f t="shared" si="42"/>
        <v>17356</v>
      </c>
      <c r="I138" s="25">
        <f t="shared" si="42"/>
        <v>0</v>
      </c>
      <c r="J138" s="25">
        <f t="shared" si="42"/>
        <v>0</v>
      </c>
      <c r="K138" s="25">
        <f t="shared" si="42"/>
        <v>0</v>
      </c>
      <c r="L138" s="25">
        <f t="shared" si="42"/>
        <v>16058</v>
      </c>
      <c r="M138" s="25">
        <f t="shared" si="42"/>
        <v>2200</v>
      </c>
      <c r="N138" s="25">
        <f t="shared" si="42"/>
        <v>0</v>
      </c>
      <c r="O138" s="25">
        <f t="shared" si="42"/>
        <v>66421.676000000007</v>
      </c>
      <c r="P138" s="25"/>
      <c r="Q138" s="25">
        <f>Q137</f>
        <v>0</v>
      </c>
      <c r="R138" s="25">
        <f>R137</f>
        <v>39544</v>
      </c>
      <c r="S138" s="25">
        <f>S137</f>
        <v>0</v>
      </c>
      <c r="T138" s="25">
        <f>T137</f>
        <v>0</v>
      </c>
      <c r="U138" s="25">
        <f>U137</f>
        <v>39544</v>
      </c>
      <c r="V138" s="25"/>
      <c r="W138" s="243">
        <f>O138+U138</f>
        <v>105965.67600000001</v>
      </c>
      <c r="X138" s="250">
        <f>X137</f>
        <v>2615009.3589999997</v>
      </c>
      <c r="Y138" s="29"/>
      <c r="Z138" s="29"/>
      <c r="AA138" s="29"/>
    </row>
    <row r="139" spans="1:27" ht="24.95" hidden="1" customHeight="1" x14ac:dyDescent="0.2">
      <c r="A139" s="213"/>
      <c r="B139" s="589"/>
      <c r="C139" s="506"/>
      <c r="D139" s="323"/>
      <c r="E139" s="323"/>
      <c r="F139" s="323"/>
      <c r="G139" s="323"/>
      <c r="H139" s="323"/>
      <c r="I139" s="323"/>
      <c r="J139" s="323"/>
      <c r="K139" s="323"/>
      <c r="L139" s="323"/>
      <c r="M139" s="323"/>
      <c r="N139" s="323"/>
      <c r="O139" s="323"/>
      <c r="P139" s="323"/>
      <c r="Q139" s="323"/>
      <c r="R139" s="323"/>
      <c r="S139" s="323"/>
      <c r="T139" s="323"/>
      <c r="U139" s="323"/>
      <c r="V139" s="324"/>
      <c r="W139" s="507"/>
      <c r="X139" s="590"/>
      <c r="Y139" s="29"/>
      <c r="Z139" s="29"/>
      <c r="AA139" s="29"/>
    </row>
    <row r="140" spans="1:27" ht="24.95" hidden="1" customHeight="1" x14ac:dyDescent="0.2">
      <c r="A140" s="185">
        <v>1</v>
      </c>
      <c r="B140" s="588"/>
      <c r="C140" s="28"/>
      <c r="D140" s="174"/>
      <c r="E140" s="174"/>
      <c r="F140" s="174"/>
      <c r="G140" s="174"/>
      <c r="H140" s="174"/>
      <c r="I140" s="174"/>
      <c r="J140" s="174"/>
      <c r="K140" s="174"/>
      <c r="L140" s="174"/>
      <c r="M140" s="174"/>
      <c r="N140" s="174"/>
      <c r="O140" s="174">
        <f>SUM(D140:N140)</f>
        <v>0</v>
      </c>
      <c r="P140" s="174"/>
      <c r="Q140" s="174"/>
      <c r="R140" s="174"/>
      <c r="S140" s="174"/>
      <c r="T140" s="174"/>
      <c r="U140" s="174">
        <f>SUM(Q140:T140)</f>
        <v>0</v>
      </c>
      <c r="V140" s="175"/>
      <c r="W140" s="176">
        <f t="shared" ref="W140:W145" si="43">O140+U140</f>
        <v>0</v>
      </c>
      <c r="X140" s="385"/>
      <c r="Y140" s="29"/>
      <c r="Z140" s="29"/>
      <c r="AA140" s="29"/>
    </row>
    <row r="141" spans="1:27" ht="24.95" hidden="1" customHeight="1" x14ac:dyDescent="0.2">
      <c r="A141" s="185">
        <v>2</v>
      </c>
      <c r="B141" s="587"/>
      <c r="C141" s="28"/>
      <c r="D141" s="174"/>
      <c r="E141" s="174"/>
      <c r="F141" s="174"/>
      <c r="G141" s="174"/>
      <c r="H141" s="174"/>
      <c r="I141" s="174"/>
      <c r="J141" s="174"/>
      <c r="K141" s="174"/>
      <c r="L141" s="174"/>
      <c r="M141" s="174"/>
      <c r="N141" s="174"/>
      <c r="O141" s="174">
        <f>SUM(D141:N141)</f>
        <v>0</v>
      </c>
      <c r="P141" s="174"/>
      <c r="Q141" s="174"/>
      <c r="R141" s="174"/>
      <c r="S141" s="174"/>
      <c r="T141" s="174"/>
      <c r="U141" s="174">
        <f>SUM(Q141:T141)</f>
        <v>0</v>
      </c>
      <c r="V141" s="175"/>
      <c r="W141" s="176">
        <f t="shared" si="43"/>
        <v>0</v>
      </c>
      <c r="X141" s="385"/>
      <c r="Y141" s="29"/>
      <c r="Z141" s="29"/>
      <c r="AA141" s="29"/>
    </row>
    <row r="142" spans="1:27" ht="24.95" hidden="1" customHeight="1" x14ac:dyDescent="0.2">
      <c r="A142" s="185">
        <v>3</v>
      </c>
      <c r="B142" s="588"/>
      <c r="C142" s="28"/>
      <c r="D142" s="174"/>
      <c r="E142" s="174"/>
      <c r="F142" s="174"/>
      <c r="G142" s="174"/>
      <c r="H142" s="174"/>
      <c r="I142" s="174"/>
      <c r="J142" s="174"/>
      <c r="K142" s="174"/>
      <c r="L142" s="174"/>
      <c r="M142" s="174"/>
      <c r="N142" s="174"/>
      <c r="O142" s="174">
        <f>SUM(D142:N142)</f>
        <v>0</v>
      </c>
      <c r="P142" s="174"/>
      <c r="Q142" s="174"/>
      <c r="R142" s="174"/>
      <c r="S142" s="174"/>
      <c r="T142" s="174"/>
      <c r="U142" s="174">
        <f>SUM(Q142:T142)</f>
        <v>0</v>
      </c>
      <c r="V142" s="175"/>
      <c r="W142" s="176">
        <f t="shared" si="43"/>
        <v>0</v>
      </c>
      <c r="X142" s="385"/>
      <c r="Y142" s="29"/>
      <c r="Z142" s="29"/>
      <c r="AA142" s="29"/>
    </row>
    <row r="143" spans="1:27" ht="24.95" hidden="1" customHeight="1" x14ac:dyDescent="0.2">
      <c r="A143" s="40">
        <v>4</v>
      </c>
      <c r="B143" s="588"/>
      <c r="C143" s="28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>
        <f>SUM(D143:N143)</f>
        <v>0</v>
      </c>
      <c r="P143" s="174"/>
      <c r="Q143" s="174"/>
      <c r="R143" s="174"/>
      <c r="S143" s="174"/>
      <c r="T143" s="174"/>
      <c r="U143" s="174">
        <f>SUM(Q143:T143)</f>
        <v>0</v>
      </c>
      <c r="V143" s="175"/>
      <c r="W143" s="176">
        <f t="shared" si="43"/>
        <v>0</v>
      </c>
      <c r="X143" s="385"/>
      <c r="Y143" s="29"/>
      <c r="Z143" s="29"/>
      <c r="AA143" s="29"/>
    </row>
    <row r="144" spans="1:27" ht="24.95" hidden="1" customHeight="1" x14ac:dyDescent="0.2">
      <c r="A144" s="40"/>
      <c r="B144" s="31"/>
      <c r="C144" s="41"/>
      <c r="D144" s="174"/>
      <c r="E144" s="174"/>
      <c r="F144" s="174"/>
      <c r="G144" s="174"/>
      <c r="H144" s="174"/>
      <c r="I144" s="174"/>
      <c r="J144" s="174"/>
      <c r="K144" s="174"/>
      <c r="L144" s="174"/>
      <c r="M144" s="174"/>
      <c r="N144" s="174"/>
      <c r="O144" s="174">
        <f>SUM(D144:N144)</f>
        <v>0</v>
      </c>
      <c r="P144" s="174"/>
      <c r="Q144" s="174"/>
      <c r="R144" s="174"/>
      <c r="S144" s="174"/>
      <c r="T144" s="174"/>
      <c r="U144" s="174">
        <f>SUM(Q144:T144)</f>
        <v>0</v>
      </c>
      <c r="V144" s="175"/>
      <c r="W144" s="176">
        <f t="shared" si="43"/>
        <v>0</v>
      </c>
      <c r="X144" s="385"/>
      <c r="Y144" s="29"/>
      <c r="Z144" s="29"/>
      <c r="AA144" s="29"/>
    </row>
    <row r="145" spans="1:27" ht="24.95" hidden="1" customHeight="1" x14ac:dyDescent="0.2">
      <c r="A145" s="40"/>
      <c r="B145" s="31"/>
      <c r="C145" s="41"/>
      <c r="D145" s="174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  <c r="V145" s="175"/>
      <c r="W145" s="176">
        <f t="shared" si="43"/>
        <v>0</v>
      </c>
      <c r="X145" s="385"/>
      <c r="Y145" s="29"/>
      <c r="Z145" s="29"/>
      <c r="AA145" s="29"/>
    </row>
    <row r="146" spans="1:27" ht="24.95" hidden="1" customHeight="1" x14ac:dyDescent="0.2">
      <c r="A146" s="40"/>
      <c r="B146" s="129"/>
      <c r="C146" s="41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5"/>
      <c r="W146" s="176"/>
      <c r="X146" s="252"/>
      <c r="Y146" s="29"/>
      <c r="Z146" s="29"/>
      <c r="AA146" s="29"/>
    </row>
    <row r="147" spans="1:27" ht="24.95" hidden="1" customHeight="1" x14ac:dyDescent="0.2">
      <c r="A147" s="216" t="s">
        <v>88</v>
      </c>
      <c r="B147" s="212"/>
      <c r="C147" s="217" t="s">
        <v>86</v>
      </c>
      <c r="D147" s="174">
        <f t="shared" ref="D147:X147" si="44">SUM(D140:D146)</f>
        <v>0</v>
      </c>
      <c r="E147" s="174">
        <f t="shared" si="44"/>
        <v>0</v>
      </c>
      <c r="F147" s="174">
        <f t="shared" si="44"/>
        <v>0</v>
      </c>
      <c r="G147" s="174">
        <f t="shared" si="44"/>
        <v>0</v>
      </c>
      <c r="H147" s="174">
        <f t="shared" si="44"/>
        <v>0</v>
      </c>
      <c r="I147" s="174">
        <f t="shared" si="44"/>
        <v>0</v>
      </c>
      <c r="J147" s="174">
        <f t="shared" si="44"/>
        <v>0</v>
      </c>
      <c r="K147" s="174">
        <f t="shared" si="44"/>
        <v>0</v>
      </c>
      <c r="L147" s="174">
        <f t="shared" si="44"/>
        <v>0</v>
      </c>
      <c r="M147" s="174">
        <f t="shared" si="44"/>
        <v>0</v>
      </c>
      <c r="N147" s="174">
        <f t="shared" si="44"/>
        <v>0</v>
      </c>
      <c r="O147" s="174">
        <f t="shared" si="44"/>
        <v>0</v>
      </c>
      <c r="P147" s="174"/>
      <c r="Q147" s="174">
        <f t="shared" si="44"/>
        <v>0</v>
      </c>
      <c r="R147" s="174">
        <f t="shared" si="44"/>
        <v>0</v>
      </c>
      <c r="S147" s="174">
        <f t="shared" si="44"/>
        <v>0</v>
      </c>
      <c r="T147" s="174">
        <f t="shared" si="44"/>
        <v>0</v>
      </c>
      <c r="U147" s="174">
        <f t="shared" si="44"/>
        <v>0</v>
      </c>
      <c r="V147" s="174"/>
      <c r="W147" s="265">
        <f t="shared" si="44"/>
        <v>0</v>
      </c>
      <c r="X147" s="385">
        <f t="shared" si="44"/>
        <v>0</v>
      </c>
      <c r="Y147" s="29"/>
      <c r="Z147" s="29"/>
      <c r="AA147" s="29"/>
    </row>
    <row r="148" spans="1:27" ht="24.95" hidden="1" customHeight="1" x14ac:dyDescent="0.25">
      <c r="A148" s="40"/>
      <c r="C148" s="444"/>
      <c r="D148" s="444"/>
      <c r="E148" s="444"/>
      <c r="F148" s="444"/>
      <c r="G148" s="174"/>
      <c r="H148" s="174"/>
      <c r="I148" s="174"/>
      <c r="J148" s="174"/>
      <c r="K148" s="174"/>
      <c r="L148" s="174"/>
      <c r="M148" s="174"/>
      <c r="N148" s="174"/>
      <c r="O148" s="174">
        <f>SUM(D148:N148)</f>
        <v>0</v>
      </c>
      <c r="P148" s="174"/>
      <c r="Q148" s="174"/>
      <c r="R148" s="174"/>
      <c r="S148" s="174"/>
      <c r="T148" s="174"/>
      <c r="U148" s="174"/>
      <c r="V148" s="174"/>
      <c r="W148" s="176"/>
      <c r="X148" s="252"/>
      <c r="Y148" s="29"/>
      <c r="Z148" s="29"/>
      <c r="AA148" s="29"/>
    </row>
    <row r="149" spans="1:27" ht="24.95" hidden="1" customHeight="1" x14ac:dyDescent="0.2">
      <c r="A149" s="185" t="s">
        <v>117</v>
      </c>
      <c r="B149" s="229"/>
      <c r="C149" s="41"/>
      <c r="D149" s="174"/>
      <c r="E149" s="174"/>
      <c r="F149" s="174"/>
      <c r="G149" s="174"/>
      <c r="H149" s="174"/>
      <c r="I149" s="174"/>
      <c r="J149" s="174"/>
      <c r="K149" s="174"/>
      <c r="M149" s="174"/>
      <c r="N149" s="174"/>
      <c r="O149" s="174">
        <f>SUM(D149:N149)</f>
        <v>0</v>
      </c>
      <c r="P149" s="174"/>
      <c r="Q149" s="174"/>
      <c r="R149" s="174"/>
      <c r="S149" s="174"/>
      <c r="T149" s="174"/>
      <c r="U149" s="174">
        <f>SUM(Q149:T149)</f>
        <v>0</v>
      </c>
      <c r="V149" s="174"/>
      <c r="W149" s="176">
        <f>O149+U149</f>
        <v>0</v>
      </c>
      <c r="X149" s="252"/>
      <c r="Y149" s="29"/>
      <c r="Z149" s="29"/>
      <c r="AA149" s="29"/>
    </row>
    <row r="150" spans="1:27" ht="24.95" hidden="1" customHeight="1" x14ac:dyDescent="0.2">
      <c r="A150" s="185" t="s">
        <v>117</v>
      </c>
      <c r="B150" s="229"/>
      <c r="C150" s="41"/>
      <c r="D150" s="174"/>
      <c r="E150" s="174"/>
      <c r="F150" s="174"/>
      <c r="G150" s="174"/>
      <c r="H150" s="174"/>
      <c r="I150" s="174"/>
      <c r="J150" s="174"/>
      <c r="K150" s="174"/>
      <c r="L150" s="174"/>
      <c r="M150" s="174"/>
      <c r="N150" s="174"/>
      <c r="O150" s="174">
        <f>SUM(D150:N150)</f>
        <v>0</v>
      </c>
      <c r="P150" s="174"/>
      <c r="Q150" s="174"/>
      <c r="R150" s="174"/>
      <c r="S150" s="174"/>
      <c r="T150" s="174"/>
      <c r="U150" s="174">
        <f>SUM(Q150:T150)</f>
        <v>0</v>
      </c>
      <c r="V150" s="174"/>
      <c r="W150" s="176">
        <f>O150+U150</f>
        <v>0</v>
      </c>
      <c r="X150" s="252"/>
      <c r="Y150" s="29"/>
      <c r="Z150" s="29"/>
      <c r="AA150" s="29"/>
    </row>
    <row r="151" spans="1:27" ht="24.95" hidden="1" customHeight="1" x14ac:dyDescent="0.2">
      <c r="A151" s="40"/>
      <c r="B151" s="126"/>
      <c r="C151" s="41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 s="174">
        <f>SUM(D151:N151)</f>
        <v>0</v>
      </c>
      <c r="P151" s="174"/>
      <c r="Q151" s="174"/>
      <c r="R151" s="174"/>
      <c r="S151" s="174"/>
      <c r="T151" s="174"/>
      <c r="U151" s="174">
        <f>SUM(Q151:T151)</f>
        <v>0</v>
      </c>
      <c r="V151" s="174"/>
      <c r="W151" s="176">
        <f>O151+U151</f>
        <v>0</v>
      </c>
      <c r="X151" s="252"/>
      <c r="Y151" s="29"/>
      <c r="Z151" s="29"/>
      <c r="AA151" s="29"/>
    </row>
    <row r="152" spans="1:27" ht="24.95" hidden="1" customHeight="1" x14ac:dyDescent="0.2">
      <c r="A152" s="40"/>
      <c r="B152" s="126"/>
      <c r="C152" s="41"/>
      <c r="D152" s="174"/>
      <c r="E152" s="174"/>
      <c r="F152" s="174"/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4"/>
      <c r="U152" s="174"/>
      <c r="V152" s="174"/>
      <c r="W152" s="176"/>
      <c r="X152" s="248"/>
      <c r="Y152" s="29"/>
      <c r="Z152" s="29"/>
      <c r="AA152" s="29"/>
    </row>
    <row r="153" spans="1:27" ht="24.95" hidden="1" customHeight="1" x14ac:dyDescent="0.2">
      <c r="A153" s="216" t="s">
        <v>89</v>
      </c>
      <c r="B153" s="212"/>
      <c r="C153" s="217" t="s">
        <v>87</v>
      </c>
      <c r="D153" s="174">
        <f t="shared" ref="D153:O153" si="45">SUM(D149:D152)</f>
        <v>0</v>
      </c>
      <c r="E153" s="174">
        <f t="shared" si="45"/>
        <v>0</v>
      </c>
      <c r="F153" s="174">
        <f t="shared" si="45"/>
        <v>0</v>
      </c>
      <c r="G153" s="174">
        <f t="shared" si="45"/>
        <v>0</v>
      </c>
      <c r="H153" s="174">
        <f t="shared" si="45"/>
        <v>0</v>
      </c>
      <c r="I153" s="174">
        <f t="shared" si="45"/>
        <v>0</v>
      </c>
      <c r="J153" s="174">
        <f t="shared" si="45"/>
        <v>0</v>
      </c>
      <c r="K153" s="174">
        <f t="shared" si="45"/>
        <v>0</v>
      </c>
      <c r="L153" s="174">
        <f t="shared" si="45"/>
        <v>0</v>
      </c>
      <c r="M153" s="174">
        <f t="shared" si="45"/>
        <v>0</v>
      </c>
      <c r="N153" s="174">
        <f t="shared" si="45"/>
        <v>0</v>
      </c>
      <c r="O153" s="174">
        <f t="shared" si="45"/>
        <v>0</v>
      </c>
      <c r="P153" s="174"/>
      <c r="Q153" s="174">
        <f>SUM(Q149:Q152)</f>
        <v>0</v>
      </c>
      <c r="R153" s="174">
        <f>SUM(R149:R152)</f>
        <v>0</v>
      </c>
      <c r="S153" s="174">
        <f>SUM(S149:S152)</f>
        <v>0</v>
      </c>
      <c r="T153" s="174">
        <f>SUM(T149:T152)</f>
        <v>0</v>
      </c>
      <c r="U153" s="174">
        <f>SUM(U149:U152)</f>
        <v>0</v>
      </c>
      <c r="V153" s="174"/>
      <c r="W153" s="265">
        <f>SUM(W149:W152)</f>
        <v>0</v>
      </c>
      <c r="X153" s="265">
        <f>SUM(X149:X152)</f>
        <v>0</v>
      </c>
      <c r="Y153" s="29"/>
      <c r="Z153" s="29"/>
      <c r="AA153" s="29"/>
    </row>
    <row r="154" spans="1:27" ht="24.95" hidden="1" customHeight="1" x14ac:dyDescent="0.2">
      <c r="A154" s="40"/>
      <c r="B154" s="31"/>
      <c r="C154" s="41"/>
      <c r="D154" s="174"/>
      <c r="E154" s="174"/>
      <c r="F154" s="174"/>
      <c r="G154" s="174"/>
      <c r="H154" s="174"/>
      <c r="I154" s="174"/>
      <c r="J154" s="174"/>
      <c r="K154" s="174"/>
      <c r="M154" s="174"/>
      <c r="N154" s="174"/>
      <c r="O154" s="174"/>
      <c r="P154" s="174"/>
      <c r="Q154" s="174"/>
      <c r="R154" s="174"/>
      <c r="S154" s="174"/>
      <c r="T154" s="174"/>
      <c r="U154" s="174"/>
      <c r="V154" s="174"/>
      <c r="W154" s="176"/>
      <c r="X154" s="252"/>
      <c r="Y154" s="29"/>
      <c r="Z154" s="29"/>
      <c r="AA154" s="29"/>
    </row>
    <row r="155" spans="1:27" ht="24.95" hidden="1" customHeight="1" thickBot="1" x14ac:dyDescent="0.25">
      <c r="A155" s="40"/>
      <c r="B155" s="32"/>
      <c r="C155" s="34"/>
      <c r="D155" s="174"/>
      <c r="E155" s="174"/>
      <c r="F155" s="174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4"/>
      <c r="U155" s="174"/>
      <c r="V155" s="174"/>
      <c r="W155" s="176"/>
      <c r="X155" s="252"/>
      <c r="Y155" s="29"/>
      <c r="Z155" s="29"/>
      <c r="AA155" s="29"/>
    </row>
    <row r="156" spans="1:27" ht="24.95" hidden="1" customHeight="1" thickTop="1" thickBot="1" x14ac:dyDescent="0.25">
      <c r="A156" s="46"/>
      <c r="B156" s="264" t="s">
        <v>193</v>
      </c>
      <c r="C156" s="44" t="s">
        <v>90</v>
      </c>
      <c r="D156" s="178">
        <f t="shared" ref="D156:O156" si="46">D147+D153</f>
        <v>0</v>
      </c>
      <c r="E156" s="178">
        <f t="shared" si="46"/>
        <v>0</v>
      </c>
      <c r="F156" s="178">
        <f t="shared" si="46"/>
        <v>0</v>
      </c>
      <c r="G156" s="178">
        <f t="shared" si="46"/>
        <v>0</v>
      </c>
      <c r="H156" s="178">
        <f t="shared" si="46"/>
        <v>0</v>
      </c>
      <c r="I156" s="178">
        <f t="shared" si="46"/>
        <v>0</v>
      </c>
      <c r="J156" s="178">
        <f t="shared" si="46"/>
        <v>0</v>
      </c>
      <c r="K156" s="178">
        <f t="shared" si="46"/>
        <v>0</v>
      </c>
      <c r="L156" s="178">
        <f t="shared" si="46"/>
        <v>0</v>
      </c>
      <c r="M156" s="178">
        <f t="shared" si="46"/>
        <v>0</v>
      </c>
      <c r="N156" s="178">
        <f t="shared" si="46"/>
        <v>0</v>
      </c>
      <c r="O156" s="178">
        <f t="shared" si="46"/>
        <v>0</v>
      </c>
      <c r="P156" s="178"/>
      <c r="Q156" s="178">
        <f>Q147+Q153</f>
        <v>0</v>
      </c>
      <c r="R156" s="178">
        <f>R147+R153</f>
        <v>0</v>
      </c>
      <c r="S156" s="178">
        <f>S147+S153</f>
        <v>0</v>
      </c>
      <c r="T156" s="178">
        <f>T147+T153</f>
        <v>0</v>
      </c>
      <c r="U156" s="178">
        <f>U147+U153</f>
        <v>0</v>
      </c>
      <c r="V156" s="178"/>
      <c r="W156" s="179">
        <f>W147+W153</f>
        <v>0</v>
      </c>
      <c r="X156" s="179">
        <f>X147+X153</f>
        <v>0</v>
      </c>
      <c r="Y156" s="29"/>
      <c r="Z156" s="29"/>
      <c r="AA156" s="29"/>
    </row>
    <row r="157" spans="1:27" ht="24.95" hidden="1" customHeight="1" thickTop="1" thickBot="1" x14ac:dyDescent="0.25">
      <c r="A157" s="42"/>
      <c r="B157" s="43" t="s">
        <v>194</v>
      </c>
      <c r="C157" s="44" t="s">
        <v>157</v>
      </c>
      <c r="D157" s="210">
        <f t="shared" ref="D157:O157" si="47">D138+D156</f>
        <v>0</v>
      </c>
      <c r="E157" s="210">
        <f t="shared" si="47"/>
        <v>0</v>
      </c>
      <c r="F157" s="210">
        <f t="shared" si="47"/>
        <v>25855.675999999999</v>
      </c>
      <c r="G157" s="210">
        <f t="shared" si="47"/>
        <v>4952</v>
      </c>
      <c r="H157" s="210">
        <f t="shared" si="47"/>
        <v>17356</v>
      </c>
      <c r="I157" s="210">
        <f t="shared" si="47"/>
        <v>0</v>
      </c>
      <c r="J157" s="210">
        <f t="shared" si="47"/>
        <v>0</v>
      </c>
      <c r="K157" s="210">
        <f t="shared" si="47"/>
        <v>0</v>
      </c>
      <c r="L157" s="210">
        <f t="shared" si="47"/>
        <v>16058</v>
      </c>
      <c r="M157" s="210">
        <f t="shared" si="47"/>
        <v>2200</v>
      </c>
      <c r="N157" s="210">
        <f t="shared" si="47"/>
        <v>0</v>
      </c>
      <c r="O157" s="210">
        <f t="shared" si="47"/>
        <v>66421.676000000007</v>
      </c>
      <c r="P157" s="210"/>
      <c r="Q157" s="210">
        <f>Q138+Q156</f>
        <v>0</v>
      </c>
      <c r="R157" s="210">
        <f>R138+R156</f>
        <v>39544</v>
      </c>
      <c r="S157" s="210">
        <f>S138+S156</f>
        <v>0</v>
      </c>
      <c r="T157" s="210">
        <f>T138+T156</f>
        <v>0</v>
      </c>
      <c r="U157" s="210">
        <f>U138+U156</f>
        <v>39544</v>
      </c>
      <c r="V157" s="210"/>
      <c r="W157" s="179">
        <f>O157+U157</f>
        <v>105965.67600000001</v>
      </c>
      <c r="X157" s="179">
        <f>X137+X156</f>
        <v>2615009.3589999997</v>
      </c>
      <c r="Y157" s="29"/>
      <c r="Z157" s="29"/>
      <c r="AA157" s="29"/>
    </row>
    <row r="158" spans="1:27" ht="24.95" hidden="1" customHeight="1" thickTop="1" x14ac:dyDescent="0.2">
      <c r="A158" s="213"/>
      <c r="B158" s="224"/>
      <c r="C158" s="225"/>
      <c r="D158" s="262"/>
      <c r="E158" s="262"/>
      <c r="F158" s="262"/>
      <c r="G158" s="262"/>
      <c r="H158" s="262"/>
      <c r="I158" s="262"/>
      <c r="J158" s="262"/>
      <c r="K158" s="262"/>
      <c r="L158" s="262"/>
      <c r="M158" s="262"/>
      <c r="N158" s="262"/>
      <c r="O158" s="262">
        <f t="shared" ref="O158:O164" si="48">SUM(D158:N158)</f>
        <v>0</v>
      </c>
      <c r="P158" s="262"/>
      <c r="Q158" s="262"/>
      <c r="R158" s="262"/>
      <c r="S158" s="262"/>
      <c r="T158" s="262"/>
      <c r="U158" s="262">
        <f t="shared" ref="U158:U164" si="49">SUM(Q158:T158)</f>
        <v>0</v>
      </c>
      <c r="V158" s="263"/>
      <c r="W158" s="336">
        <f t="shared" ref="W158:W165" si="50">O158+U158</f>
        <v>0</v>
      </c>
      <c r="X158" s="337"/>
      <c r="Y158" s="29"/>
      <c r="Z158" s="29"/>
      <c r="AA158" s="29"/>
    </row>
    <row r="159" spans="1:27" ht="24.95" hidden="1" customHeight="1" x14ac:dyDescent="0.2">
      <c r="A159" s="213"/>
      <c r="B159" s="224"/>
      <c r="C159" s="225"/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>
        <f t="shared" si="48"/>
        <v>0</v>
      </c>
      <c r="P159" s="262"/>
      <c r="Q159" s="262"/>
      <c r="R159" s="262"/>
      <c r="S159" s="262"/>
      <c r="T159" s="262"/>
      <c r="U159" s="262">
        <f t="shared" si="49"/>
        <v>0</v>
      </c>
      <c r="V159" s="263"/>
      <c r="W159" s="336">
        <f t="shared" si="50"/>
        <v>0</v>
      </c>
      <c r="X159" s="337"/>
      <c r="Y159" s="29"/>
      <c r="Z159" s="29"/>
      <c r="AA159" s="29"/>
    </row>
    <row r="160" spans="1:27" ht="24.95" hidden="1" customHeight="1" x14ac:dyDescent="0.2">
      <c r="A160" s="213"/>
      <c r="B160" s="224"/>
      <c r="C160" s="225"/>
      <c r="D160" s="262"/>
      <c r="E160" s="262"/>
      <c r="F160" s="262"/>
      <c r="G160" s="262"/>
      <c r="H160" s="262"/>
      <c r="I160" s="262"/>
      <c r="J160" s="262"/>
      <c r="K160" s="262"/>
      <c r="L160" s="262"/>
      <c r="M160" s="262"/>
      <c r="N160" s="262"/>
      <c r="O160" s="262">
        <f t="shared" si="48"/>
        <v>0</v>
      </c>
      <c r="P160" s="262"/>
      <c r="Q160" s="262"/>
      <c r="R160" s="262"/>
      <c r="S160" s="262"/>
      <c r="T160" s="262"/>
      <c r="U160" s="262">
        <f t="shared" si="49"/>
        <v>0</v>
      </c>
      <c r="V160" s="263"/>
      <c r="W160" s="336">
        <f t="shared" si="50"/>
        <v>0</v>
      </c>
      <c r="X160" s="337"/>
      <c r="Y160" s="29"/>
      <c r="Z160" s="29"/>
      <c r="AA160" s="29"/>
    </row>
    <row r="161" spans="1:27" ht="24.95" hidden="1" customHeight="1" x14ac:dyDescent="0.2">
      <c r="A161" s="40"/>
      <c r="B161" s="48" t="s">
        <v>84</v>
      </c>
      <c r="C161" s="49" t="s">
        <v>22</v>
      </c>
      <c r="D161" s="159"/>
      <c r="E161" s="159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>
        <f t="shared" si="48"/>
        <v>0</v>
      </c>
      <c r="P161" s="159"/>
      <c r="Q161" s="159"/>
      <c r="R161" s="159"/>
      <c r="S161" s="159"/>
      <c r="T161" s="159"/>
      <c r="U161" s="159">
        <f t="shared" si="49"/>
        <v>0</v>
      </c>
      <c r="V161" s="165"/>
      <c r="W161" s="176">
        <f t="shared" si="50"/>
        <v>0</v>
      </c>
      <c r="X161" s="280"/>
    </row>
    <row r="162" spans="1:27" ht="24.95" hidden="1" customHeight="1" x14ac:dyDescent="0.2">
      <c r="A162" s="40"/>
      <c r="B162" s="48" t="s">
        <v>24</v>
      </c>
      <c r="C162" s="49" t="s">
        <v>22</v>
      </c>
      <c r="D162" s="159"/>
      <c r="E162" s="159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>
        <f t="shared" si="48"/>
        <v>0</v>
      </c>
      <c r="P162" s="159"/>
      <c r="Q162" s="159"/>
      <c r="R162" s="159"/>
      <c r="S162" s="159"/>
      <c r="T162" s="159"/>
      <c r="U162" s="159">
        <f t="shared" si="49"/>
        <v>0</v>
      </c>
      <c r="V162" s="165"/>
      <c r="W162" s="176">
        <f t="shared" si="50"/>
        <v>0</v>
      </c>
      <c r="X162" s="280"/>
    </row>
    <row r="163" spans="1:27" ht="24.95" hidden="1" customHeight="1" x14ac:dyDescent="0.2">
      <c r="A163" s="40"/>
      <c r="B163" s="48" t="s">
        <v>73</v>
      </c>
      <c r="C163" s="49" t="s">
        <v>22</v>
      </c>
      <c r="D163" s="159"/>
      <c r="E163" s="159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>
        <f t="shared" si="48"/>
        <v>0</v>
      </c>
      <c r="P163" s="159"/>
      <c r="Q163" s="159"/>
      <c r="R163" s="159"/>
      <c r="S163" s="159"/>
      <c r="T163" s="159"/>
      <c r="U163" s="159">
        <f t="shared" si="49"/>
        <v>0</v>
      </c>
      <c r="V163" s="165"/>
      <c r="W163" s="176">
        <f t="shared" si="50"/>
        <v>0</v>
      </c>
      <c r="X163" s="280"/>
    </row>
    <row r="164" spans="1:27" ht="24.95" hidden="1" customHeight="1" x14ac:dyDescent="0.2">
      <c r="A164" s="40"/>
      <c r="B164" s="48"/>
      <c r="C164" s="41" t="s">
        <v>68</v>
      </c>
      <c r="D164" s="159"/>
      <c r="E164" s="159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>
        <f t="shared" si="48"/>
        <v>0</v>
      </c>
      <c r="P164" s="159"/>
      <c r="Q164" s="159"/>
      <c r="R164" s="159"/>
      <c r="S164" s="159"/>
      <c r="T164" s="159"/>
      <c r="U164" s="159">
        <f t="shared" si="49"/>
        <v>0</v>
      </c>
      <c r="V164" s="165"/>
      <c r="W164" s="176">
        <f t="shared" si="50"/>
        <v>0</v>
      </c>
      <c r="X164" s="280"/>
    </row>
    <row r="165" spans="1:27" ht="24.95" hidden="1" customHeight="1" thickBot="1" x14ac:dyDescent="0.25">
      <c r="A165" s="40"/>
      <c r="B165" s="48"/>
      <c r="C165" s="49"/>
      <c r="D165" s="159"/>
      <c r="E165" s="159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59"/>
      <c r="S165" s="159"/>
      <c r="T165" s="159"/>
      <c r="U165" s="159"/>
      <c r="V165" s="165"/>
      <c r="W165" s="176">
        <f t="shared" si="50"/>
        <v>0</v>
      </c>
      <c r="X165" s="280"/>
    </row>
    <row r="166" spans="1:27" ht="24.95" hidden="1" customHeight="1" thickTop="1" thickBot="1" x14ac:dyDescent="0.25">
      <c r="A166" s="47"/>
      <c r="B166" s="43"/>
      <c r="C166" s="44" t="s">
        <v>30</v>
      </c>
      <c r="D166" s="167">
        <f t="shared" ref="D166:M166" si="51">SUM(D161:D165)</f>
        <v>0</v>
      </c>
      <c r="E166" s="167">
        <f t="shared" si="51"/>
        <v>0</v>
      </c>
      <c r="F166" s="167">
        <f t="shared" si="51"/>
        <v>0</v>
      </c>
      <c r="G166" s="167">
        <f t="shared" si="51"/>
        <v>0</v>
      </c>
      <c r="H166" s="167">
        <f t="shared" si="51"/>
        <v>0</v>
      </c>
      <c r="I166" s="167">
        <f t="shared" si="51"/>
        <v>0</v>
      </c>
      <c r="J166" s="167">
        <f t="shared" si="51"/>
        <v>0</v>
      </c>
      <c r="K166" s="167">
        <f t="shared" si="51"/>
        <v>0</v>
      </c>
      <c r="L166" s="167">
        <f t="shared" si="51"/>
        <v>0</v>
      </c>
      <c r="M166" s="167">
        <f t="shared" si="51"/>
        <v>0</v>
      </c>
      <c r="N166" s="167">
        <f t="shared" ref="N166:U166" si="52">SUM(N161:N165)</f>
        <v>0</v>
      </c>
      <c r="O166" s="167">
        <f t="shared" si="52"/>
        <v>0</v>
      </c>
      <c r="P166" s="167"/>
      <c r="Q166" s="167">
        <f>SUM(Q161:Q165)</f>
        <v>0</v>
      </c>
      <c r="R166" s="167">
        <f>SUM(R161:R165)</f>
        <v>0</v>
      </c>
      <c r="S166" s="167">
        <f t="shared" si="52"/>
        <v>0</v>
      </c>
      <c r="T166" s="167">
        <f t="shared" si="52"/>
        <v>0</v>
      </c>
      <c r="U166" s="167">
        <f t="shared" si="52"/>
        <v>0</v>
      </c>
      <c r="V166" s="277"/>
      <c r="W166" s="180">
        <f>O166+U166</f>
        <v>0</v>
      </c>
      <c r="X166" s="283">
        <f>SUM(X161:X165)</f>
        <v>0</v>
      </c>
    </row>
    <row r="167" spans="1:27" ht="9.9499999999999993" hidden="1" customHeight="1" thickTop="1" x14ac:dyDescent="0.2">
      <c r="A167" s="192"/>
      <c r="B167" s="193"/>
      <c r="C167" s="194"/>
      <c r="D167" s="195"/>
      <c r="E167" s="195"/>
      <c r="F167" s="195"/>
      <c r="G167" s="195"/>
      <c r="H167" s="195"/>
      <c r="I167" s="195"/>
      <c r="J167" s="195"/>
      <c r="K167" s="195"/>
      <c r="L167" s="195"/>
      <c r="M167" s="195"/>
      <c r="N167" s="195"/>
      <c r="O167" s="195"/>
      <c r="P167" s="195"/>
      <c r="Q167" s="195"/>
      <c r="R167" s="195"/>
      <c r="S167" s="195"/>
      <c r="T167" s="195"/>
      <c r="U167" s="195"/>
      <c r="V167" s="196"/>
      <c r="W167" s="273"/>
      <c r="X167" s="284"/>
    </row>
    <row r="168" spans="1:27" ht="24.95" hidden="1" customHeight="1" x14ac:dyDescent="0.2">
      <c r="A168" s="197"/>
      <c r="B168" s="198"/>
      <c r="C168" s="206" t="s">
        <v>68</v>
      </c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>
        <f>SUM(D168:N168)</f>
        <v>0</v>
      </c>
      <c r="P168" s="199"/>
      <c r="Q168" s="199"/>
      <c r="R168" s="199"/>
      <c r="S168" s="199"/>
      <c r="T168" s="199"/>
      <c r="U168" s="199">
        <f>SUM(Q168:T168)</f>
        <v>0</v>
      </c>
      <c r="V168" s="200"/>
      <c r="W168" s="274">
        <f>O168+U168</f>
        <v>0</v>
      </c>
      <c r="X168" s="285"/>
    </row>
    <row r="169" spans="1:27" ht="9.9499999999999993" hidden="1" customHeight="1" thickBot="1" x14ac:dyDescent="0.25">
      <c r="A169" s="201"/>
      <c r="B169" s="202"/>
      <c r="C169" s="203"/>
      <c r="D169" s="204"/>
      <c r="E169" s="204"/>
      <c r="F169" s="204"/>
      <c r="G169" s="204"/>
      <c r="H169" s="204"/>
      <c r="I169" s="204"/>
      <c r="J169" s="204"/>
      <c r="K169" s="204"/>
      <c r="L169" s="204"/>
      <c r="M169" s="204"/>
      <c r="N169" s="204"/>
      <c r="O169" s="204"/>
      <c r="P169" s="204"/>
      <c r="Q169" s="204"/>
      <c r="R169" s="204"/>
      <c r="S169" s="204"/>
      <c r="T169" s="204"/>
      <c r="U169" s="204"/>
      <c r="V169" s="205"/>
      <c r="W169" s="275"/>
      <c r="X169" s="286"/>
    </row>
    <row r="170" spans="1:27" ht="24.95" hidden="1" customHeight="1" thickTop="1" thickBot="1" x14ac:dyDescent="0.25">
      <c r="A170" s="92"/>
      <c r="B170" s="92" t="s">
        <v>98</v>
      </c>
      <c r="C170" s="44" t="s">
        <v>157</v>
      </c>
      <c r="D170" s="210">
        <f t="shared" ref="D170:O170" si="53">D137+D166</f>
        <v>0</v>
      </c>
      <c r="E170" s="210">
        <f t="shared" si="53"/>
        <v>0</v>
      </c>
      <c r="F170" s="210">
        <f t="shared" si="53"/>
        <v>25855.675999999999</v>
      </c>
      <c r="G170" s="210">
        <f t="shared" si="53"/>
        <v>4952</v>
      </c>
      <c r="H170" s="210">
        <f t="shared" si="53"/>
        <v>17356</v>
      </c>
      <c r="I170" s="210">
        <f t="shared" si="53"/>
        <v>0</v>
      </c>
      <c r="J170" s="210">
        <f t="shared" si="53"/>
        <v>0</v>
      </c>
      <c r="K170" s="210">
        <f t="shared" si="53"/>
        <v>0</v>
      </c>
      <c r="L170" s="210">
        <f t="shared" si="53"/>
        <v>16058</v>
      </c>
      <c r="M170" s="210">
        <f t="shared" si="53"/>
        <v>2200</v>
      </c>
      <c r="N170" s="210">
        <f t="shared" si="53"/>
        <v>0</v>
      </c>
      <c r="O170" s="210">
        <f t="shared" si="53"/>
        <v>66421.676000000007</v>
      </c>
      <c r="P170" s="210"/>
      <c r="Q170" s="210">
        <f>Q137+Q166</f>
        <v>0</v>
      </c>
      <c r="R170" s="210">
        <f>R137+R166</f>
        <v>39544</v>
      </c>
      <c r="S170" s="210">
        <f>S137+S166</f>
        <v>0</v>
      </c>
      <c r="T170" s="210">
        <f>T137+T166</f>
        <v>0</v>
      </c>
      <c r="U170" s="210">
        <f>U137+U166</f>
        <v>39544</v>
      </c>
      <c r="V170" s="278"/>
      <c r="W170" s="179">
        <f>W137+W166+W168</f>
        <v>105965.67600000001</v>
      </c>
      <c r="X170" s="287">
        <f>X157+X166+X168</f>
        <v>2615009.3589999997</v>
      </c>
      <c r="AA170" s="29"/>
    </row>
    <row r="171" spans="1:27" ht="24.95" hidden="1" customHeight="1" thickTop="1" x14ac:dyDescent="0.2">
      <c r="A171" s="187"/>
      <c r="B171" s="188"/>
      <c r="C171" s="136" t="s">
        <v>18</v>
      </c>
      <c r="D171" s="25">
        <f t="shared" ref="D171:L171" si="54">D170</f>
        <v>0</v>
      </c>
      <c r="E171" s="25">
        <f t="shared" si="54"/>
        <v>0</v>
      </c>
      <c r="F171" s="25">
        <f t="shared" si="54"/>
        <v>25855.675999999999</v>
      </c>
      <c r="G171" s="25">
        <f t="shared" si="54"/>
        <v>4952</v>
      </c>
      <c r="H171" s="25">
        <f t="shared" si="54"/>
        <v>17356</v>
      </c>
      <c r="I171" s="25">
        <f t="shared" si="54"/>
        <v>0</v>
      </c>
      <c r="J171" s="25">
        <f t="shared" si="54"/>
        <v>0</v>
      </c>
      <c r="K171" s="25">
        <f t="shared" si="54"/>
        <v>0</v>
      </c>
      <c r="L171" s="25">
        <f t="shared" si="54"/>
        <v>16058</v>
      </c>
      <c r="M171" s="25">
        <f t="shared" ref="M171:U171" si="55">M170</f>
        <v>2200</v>
      </c>
      <c r="N171" s="25">
        <f t="shared" si="55"/>
        <v>0</v>
      </c>
      <c r="O171" s="25">
        <f t="shared" si="55"/>
        <v>66421.676000000007</v>
      </c>
      <c r="P171" s="25"/>
      <c r="Q171" s="25">
        <f>Q170</f>
        <v>0</v>
      </c>
      <c r="R171" s="25">
        <f>R170</f>
        <v>39544</v>
      </c>
      <c r="S171" s="25">
        <f t="shared" si="55"/>
        <v>0</v>
      </c>
      <c r="T171" s="25">
        <f t="shared" si="55"/>
        <v>0</v>
      </c>
      <c r="U171" s="25">
        <f t="shared" si="55"/>
        <v>39544</v>
      </c>
      <c r="V171" s="25"/>
      <c r="W171" s="190">
        <f>O171+U171</f>
        <v>105965.67600000001</v>
      </c>
      <c r="X171" s="288">
        <f>X170</f>
        <v>2615009.3589999997</v>
      </c>
    </row>
    <row r="172" spans="1:27" ht="20.100000000000001" hidden="1" customHeight="1" x14ac:dyDescent="0.2">
      <c r="A172" s="185">
        <v>1</v>
      </c>
      <c r="B172" s="400"/>
      <c r="C172" s="290"/>
      <c r="D172" s="291"/>
      <c r="E172" s="174"/>
      <c r="F172" s="174"/>
      <c r="G172" s="174"/>
      <c r="H172" s="182"/>
      <c r="I172" s="174"/>
      <c r="J172" s="174"/>
      <c r="K172" s="174"/>
      <c r="L172" s="174"/>
      <c r="M172" s="174"/>
      <c r="N172" s="174"/>
      <c r="O172" s="174">
        <f t="shared" ref="O172:O189" si="56">SUM(D172:N172)</f>
        <v>0</v>
      </c>
      <c r="P172" s="174"/>
      <c r="Q172" s="174"/>
      <c r="R172" s="174"/>
      <c r="S172" s="174"/>
      <c r="T172" s="174"/>
      <c r="U172" s="174">
        <f t="shared" ref="U172:U189" si="57">SUM(Q172:T172)</f>
        <v>0</v>
      </c>
      <c r="V172" s="175"/>
      <c r="W172" s="176">
        <f t="shared" ref="W172:W189" si="58">O172+U172</f>
        <v>0</v>
      </c>
      <c r="X172" s="181"/>
    </row>
    <row r="173" spans="1:27" ht="20.100000000000001" hidden="1" customHeight="1" x14ac:dyDescent="0.2">
      <c r="A173" s="396">
        <v>2</v>
      </c>
      <c r="B173" s="397"/>
      <c r="C173" s="39"/>
      <c r="D173" s="174"/>
      <c r="E173" s="174"/>
      <c r="F173" s="174"/>
      <c r="G173" s="174"/>
      <c r="H173" s="182"/>
      <c r="I173" s="174"/>
      <c r="J173" s="174"/>
      <c r="K173" s="174"/>
      <c r="L173" s="174"/>
      <c r="M173" s="174"/>
      <c r="N173" s="174"/>
      <c r="O173" s="174">
        <f t="shared" si="56"/>
        <v>0</v>
      </c>
      <c r="P173" s="174"/>
      <c r="Q173" s="174"/>
      <c r="R173" s="174"/>
      <c r="S173" s="174"/>
      <c r="T173" s="174"/>
      <c r="U173" s="174">
        <f t="shared" si="57"/>
        <v>0</v>
      </c>
      <c r="V173" s="175"/>
      <c r="W173" s="176">
        <f t="shared" si="58"/>
        <v>0</v>
      </c>
      <c r="X173" s="181"/>
    </row>
    <row r="174" spans="1:27" ht="20.100000000000001" hidden="1" customHeight="1" x14ac:dyDescent="0.2">
      <c r="A174" s="185">
        <v>3</v>
      </c>
      <c r="B174" s="401"/>
      <c r="C174" s="33"/>
      <c r="D174" s="174"/>
      <c r="E174" s="174"/>
      <c r="F174" s="174"/>
      <c r="G174" s="174"/>
      <c r="H174" s="182"/>
      <c r="I174" s="174"/>
      <c r="J174" s="174"/>
      <c r="K174" s="174"/>
      <c r="L174" s="174"/>
      <c r="M174" s="174"/>
      <c r="N174" s="174"/>
      <c r="O174" s="174">
        <f t="shared" si="56"/>
        <v>0</v>
      </c>
      <c r="P174" s="174"/>
      <c r="Q174" s="174"/>
      <c r="R174" s="174"/>
      <c r="S174" s="174"/>
      <c r="T174" s="174"/>
      <c r="U174" s="174">
        <f t="shared" si="57"/>
        <v>0</v>
      </c>
      <c r="V174" s="175"/>
      <c r="W174" s="176">
        <f t="shared" si="58"/>
        <v>0</v>
      </c>
      <c r="X174" s="181"/>
    </row>
    <row r="175" spans="1:27" ht="20.100000000000001" hidden="1" customHeight="1" x14ac:dyDescent="0.2">
      <c r="A175" s="396">
        <v>4</v>
      </c>
      <c r="B175" s="50"/>
      <c r="C175" s="33"/>
      <c r="D175" s="174"/>
      <c r="E175" s="174"/>
      <c r="F175" s="174"/>
      <c r="G175" s="174"/>
      <c r="H175" s="182"/>
      <c r="I175" s="174"/>
      <c r="J175" s="174"/>
      <c r="K175" s="174"/>
      <c r="L175" s="174"/>
      <c r="M175" s="174"/>
      <c r="N175" s="174"/>
      <c r="O175" s="174">
        <f t="shared" si="56"/>
        <v>0</v>
      </c>
      <c r="P175" s="174"/>
      <c r="Q175" s="174"/>
      <c r="R175" s="174"/>
      <c r="S175" s="174"/>
      <c r="T175" s="174"/>
      <c r="U175" s="174">
        <f t="shared" si="57"/>
        <v>0</v>
      </c>
      <c r="V175" s="175"/>
      <c r="W175" s="176">
        <f t="shared" si="58"/>
        <v>0</v>
      </c>
      <c r="X175" s="181"/>
    </row>
    <row r="176" spans="1:27" ht="20.100000000000001" hidden="1" customHeight="1" x14ac:dyDescent="0.2">
      <c r="A176" s="185">
        <v>5</v>
      </c>
      <c r="B176" s="50"/>
      <c r="C176" s="33"/>
      <c r="D176" s="174"/>
      <c r="E176" s="174"/>
      <c r="F176" s="174"/>
      <c r="G176" s="174"/>
      <c r="H176" s="182"/>
      <c r="I176" s="174"/>
      <c r="J176" s="174"/>
      <c r="K176" s="174"/>
      <c r="L176" s="174"/>
      <c r="M176" s="174"/>
      <c r="N176" s="174"/>
      <c r="O176" s="174">
        <f t="shared" si="56"/>
        <v>0</v>
      </c>
      <c r="P176" s="174"/>
      <c r="Q176" s="174"/>
      <c r="R176" s="174"/>
      <c r="S176" s="174"/>
      <c r="T176" s="174"/>
      <c r="U176" s="174">
        <f t="shared" si="57"/>
        <v>0</v>
      </c>
      <c r="V176" s="175"/>
      <c r="W176" s="176">
        <f t="shared" si="58"/>
        <v>0</v>
      </c>
      <c r="X176" s="181"/>
    </row>
    <row r="177" spans="1:24" ht="20.100000000000001" hidden="1" customHeight="1" x14ac:dyDescent="0.2">
      <c r="A177" s="396">
        <v>6</v>
      </c>
      <c r="B177" s="292"/>
      <c r="C177" s="448"/>
      <c r="D177" s="449"/>
      <c r="E177" s="174"/>
      <c r="F177" s="174"/>
      <c r="G177" s="174"/>
      <c r="H177" s="182"/>
      <c r="I177" s="174"/>
      <c r="J177" s="174"/>
      <c r="K177" s="174"/>
      <c r="L177" s="174"/>
      <c r="M177" s="174"/>
      <c r="N177" s="174"/>
      <c r="O177" s="174">
        <f t="shared" si="56"/>
        <v>0</v>
      </c>
      <c r="P177" s="174"/>
      <c r="Q177" s="174"/>
      <c r="R177" s="174"/>
      <c r="S177" s="174"/>
      <c r="T177" s="174"/>
      <c r="U177" s="174">
        <f t="shared" si="57"/>
        <v>0</v>
      </c>
      <c r="V177" s="175"/>
      <c r="W177" s="176">
        <f t="shared" si="58"/>
        <v>0</v>
      </c>
      <c r="X177" s="181"/>
    </row>
    <row r="178" spans="1:24" ht="20.100000000000001" hidden="1" customHeight="1" x14ac:dyDescent="0.2">
      <c r="A178" s="185">
        <v>7</v>
      </c>
      <c r="B178" s="292"/>
      <c r="C178" s="448"/>
      <c r="D178" s="449"/>
      <c r="E178" s="174"/>
      <c r="F178" s="174"/>
      <c r="G178" s="174"/>
      <c r="H178" s="182"/>
      <c r="I178" s="174"/>
      <c r="J178" s="174"/>
      <c r="K178" s="174"/>
      <c r="L178" s="174"/>
      <c r="M178" s="174"/>
      <c r="N178" s="174"/>
      <c r="O178" s="174">
        <f t="shared" si="56"/>
        <v>0</v>
      </c>
      <c r="P178" s="174"/>
      <c r="Q178" s="174"/>
      <c r="R178" s="174"/>
      <c r="S178" s="174"/>
      <c r="T178" s="174"/>
      <c r="U178" s="174">
        <f t="shared" si="57"/>
        <v>0</v>
      </c>
      <c r="V178" s="175"/>
      <c r="W178" s="176">
        <f t="shared" si="58"/>
        <v>0</v>
      </c>
      <c r="X178" s="181"/>
    </row>
    <row r="179" spans="1:24" ht="20.100000000000001" hidden="1" customHeight="1" x14ac:dyDescent="0.2">
      <c r="A179" s="396">
        <v>8</v>
      </c>
      <c r="B179" s="292"/>
      <c r="C179" s="448"/>
      <c r="D179" s="449"/>
      <c r="E179" s="174"/>
      <c r="F179" s="174"/>
      <c r="G179" s="174"/>
      <c r="H179" s="182"/>
      <c r="I179" s="174"/>
      <c r="J179" s="174"/>
      <c r="K179" s="174"/>
      <c r="L179" s="174"/>
      <c r="M179" s="174"/>
      <c r="N179" s="174"/>
      <c r="O179" s="174">
        <f t="shared" si="56"/>
        <v>0</v>
      </c>
      <c r="P179" s="174"/>
      <c r="Q179" s="174"/>
      <c r="R179" s="174"/>
      <c r="S179" s="174"/>
      <c r="T179" s="174"/>
      <c r="U179" s="174">
        <f t="shared" si="57"/>
        <v>0</v>
      </c>
      <c r="V179" s="175"/>
      <c r="W179" s="176">
        <f t="shared" si="58"/>
        <v>0</v>
      </c>
      <c r="X179" s="181"/>
    </row>
    <row r="180" spans="1:24" ht="20.100000000000001" hidden="1" customHeight="1" x14ac:dyDescent="0.2">
      <c r="A180" s="185">
        <v>9</v>
      </c>
      <c r="B180" s="292"/>
      <c r="C180" s="448"/>
      <c r="D180" s="449"/>
      <c r="E180" s="174"/>
      <c r="F180" s="174"/>
      <c r="G180" s="174"/>
      <c r="H180" s="182"/>
      <c r="I180" s="174"/>
      <c r="J180" s="174"/>
      <c r="K180" s="174"/>
      <c r="L180" s="174"/>
      <c r="M180" s="174"/>
      <c r="N180" s="174"/>
      <c r="O180" s="174">
        <f t="shared" si="56"/>
        <v>0</v>
      </c>
      <c r="P180" s="174"/>
      <c r="Q180" s="174"/>
      <c r="R180" s="174"/>
      <c r="S180" s="174"/>
      <c r="T180" s="174"/>
      <c r="U180" s="174">
        <f t="shared" si="57"/>
        <v>0</v>
      </c>
      <c r="V180" s="175"/>
      <c r="W180" s="176">
        <f t="shared" si="58"/>
        <v>0</v>
      </c>
      <c r="X180" s="181"/>
    </row>
    <row r="181" spans="1:24" ht="20.100000000000001" hidden="1" customHeight="1" x14ac:dyDescent="0.2">
      <c r="A181" s="396">
        <v>10</v>
      </c>
      <c r="B181" s="292"/>
      <c r="C181" s="448"/>
      <c r="D181" s="449"/>
      <c r="E181" s="174"/>
      <c r="F181" s="174"/>
      <c r="G181" s="174"/>
      <c r="H181" s="182"/>
      <c r="I181" s="174"/>
      <c r="J181" s="174"/>
      <c r="K181" s="174"/>
      <c r="L181" s="174"/>
      <c r="M181" s="174"/>
      <c r="N181" s="174"/>
      <c r="O181" s="174">
        <f t="shared" si="56"/>
        <v>0</v>
      </c>
      <c r="P181" s="174"/>
      <c r="Q181" s="174"/>
      <c r="R181" s="174"/>
      <c r="S181" s="174"/>
      <c r="T181" s="174"/>
      <c r="U181" s="174">
        <f t="shared" si="57"/>
        <v>0</v>
      </c>
      <c r="V181" s="175"/>
      <c r="W181" s="176">
        <f t="shared" si="58"/>
        <v>0</v>
      </c>
      <c r="X181" s="181"/>
    </row>
    <row r="182" spans="1:24" ht="20.100000000000001" hidden="1" customHeight="1" x14ac:dyDescent="0.2">
      <c r="A182" s="185"/>
      <c r="B182" s="292"/>
      <c r="C182" s="33"/>
      <c r="D182" s="174"/>
      <c r="E182" s="174"/>
      <c r="F182" s="174"/>
      <c r="G182" s="174"/>
      <c r="H182" s="182"/>
      <c r="I182" s="174"/>
      <c r="J182" s="174"/>
      <c r="K182" s="174"/>
      <c r="L182" s="174"/>
      <c r="M182" s="174"/>
      <c r="N182" s="174"/>
      <c r="O182" s="174">
        <f t="shared" si="56"/>
        <v>0</v>
      </c>
      <c r="P182" s="174"/>
      <c r="Q182" s="174"/>
      <c r="R182" s="174"/>
      <c r="S182" s="174"/>
      <c r="T182" s="174"/>
      <c r="U182" s="174">
        <f t="shared" si="57"/>
        <v>0</v>
      </c>
      <c r="V182" s="175"/>
      <c r="W182" s="176">
        <f t="shared" si="58"/>
        <v>0</v>
      </c>
      <c r="X182" s="181"/>
    </row>
    <row r="183" spans="1:24" ht="20.100000000000001" hidden="1" customHeight="1" x14ac:dyDescent="0.2">
      <c r="A183" s="185"/>
      <c r="B183" s="292"/>
      <c r="C183" s="33"/>
      <c r="D183" s="174"/>
      <c r="E183" s="174"/>
      <c r="F183" s="174"/>
      <c r="G183" s="174"/>
      <c r="H183" s="182"/>
      <c r="I183" s="174"/>
      <c r="J183" s="174"/>
      <c r="K183" s="174"/>
      <c r="L183" s="174"/>
      <c r="M183" s="174"/>
      <c r="N183" s="174"/>
      <c r="O183" s="174">
        <f t="shared" si="56"/>
        <v>0</v>
      </c>
      <c r="P183" s="174"/>
      <c r="Q183" s="174"/>
      <c r="R183" s="174"/>
      <c r="S183" s="174"/>
      <c r="T183" s="174"/>
      <c r="U183" s="174">
        <f t="shared" si="57"/>
        <v>0</v>
      </c>
      <c r="V183" s="175"/>
      <c r="W183" s="176">
        <f t="shared" si="58"/>
        <v>0</v>
      </c>
      <c r="X183" s="181"/>
    </row>
    <row r="184" spans="1:24" ht="20.100000000000001" hidden="1" customHeight="1" x14ac:dyDescent="0.2">
      <c r="A184" s="185"/>
      <c r="B184" s="292"/>
      <c r="C184" s="33"/>
      <c r="D184" s="174"/>
      <c r="E184" s="174"/>
      <c r="F184" s="174"/>
      <c r="G184" s="174"/>
      <c r="H184" s="182"/>
      <c r="I184" s="174"/>
      <c r="J184" s="174"/>
      <c r="K184" s="174"/>
      <c r="L184" s="174"/>
      <c r="M184" s="174"/>
      <c r="N184" s="174"/>
      <c r="O184" s="174">
        <f t="shared" si="56"/>
        <v>0</v>
      </c>
      <c r="P184" s="174"/>
      <c r="Q184" s="174"/>
      <c r="R184" s="174"/>
      <c r="S184" s="174"/>
      <c r="T184" s="174"/>
      <c r="U184" s="174">
        <f t="shared" si="57"/>
        <v>0</v>
      </c>
      <c r="V184" s="175"/>
      <c r="W184" s="176">
        <f t="shared" si="58"/>
        <v>0</v>
      </c>
      <c r="X184" s="181"/>
    </row>
    <row r="185" spans="1:24" ht="20.100000000000001" hidden="1" customHeight="1" x14ac:dyDescent="0.2">
      <c r="A185" s="40"/>
      <c r="B185" s="50"/>
      <c r="C185" s="33"/>
      <c r="D185" s="174"/>
      <c r="E185" s="174"/>
      <c r="F185" s="174"/>
      <c r="G185" s="174"/>
      <c r="H185" s="182"/>
      <c r="I185" s="174"/>
      <c r="J185" s="174"/>
      <c r="K185" s="174"/>
      <c r="L185" s="174"/>
      <c r="M185" s="174"/>
      <c r="N185" s="174"/>
      <c r="O185" s="174">
        <f t="shared" si="56"/>
        <v>0</v>
      </c>
      <c r="P185" s="174"/>
      <c r="Q185" s="174"/>
      <c r="R185" s="174"/>
      <c r="S185" s="174"/>
      <c r="T185" s="174"/>
      <c r="U185" s="174">
        <f t="shared" si="57"/>
        <v>0</v>
      </c>
      <c r="V185" s="175"/>
      <c r="W185" s="176">
        <f t="shared" si="58"/>
        <v>0</v>
      </c>
      <c r="X185" s="181"/>
    </row>
    <row r="186" spans="1:24" ht="20.100000000000001" hidden="1" customHeight="1" x14ac:dyDescent="0.2">
      <c r="A186" s="40"/>
      <c r="B186" s="50"/>
      <c r="C186" s="33"/>
      <c r="D186" s="174"/>
      <c r="E186" s="174"/>
      <c r="F186" s="174"/>
      <c r="G186" s="174"/>
      <c r="H186" s="182"/>
      <c r="I186" s="174"/>
      <c r="J186" s="174"/>
      <c r="K186" s="174"/>
      <c r="L186" s="174"/>
      <c r="M186" s="174"/>
      <c r="N186" s="174"/>
      <c r="O186" s="174">
        <f t="shared" si="56"/>
        <v>0</v>
      </c>
      <c r="P186" s="174"/>
      <c r="Q186" s="174"/>
      <c r="R186" s="174"/>
      <c r="S186" s="174"/>
      <c r="T186" s="174"/>
      <c r="U186" s="174">
        <f t="shared" si="57"/>
        <v>0</v>
      </c>
      <c r="V186" s="175"/>
      <c r="W186" s="176">
        <f t="shared" si="58"/>
        <v>0</v>
      </c>
      <c r="X186" s="181"/>
    </row>
    <row r="187" spans="1:24" ht="20.100000000000001" hidden="1" customHeight="1" x14ac:dyDescent="0.2">
      <c r="A187" s="40"/>
      <c r="B187" s="50"/>
      <c r="C187" s="33"/>
      <c r="D187" s="174"/>
      <c r="E187" s="174"/>
      <c r="F187" s="174"/>
      <c r="G187" s="174"/>
      <c r="H187" s="182"/>
      <c r="I187" s="174"/>
      <c r="J187" s="174"/>
      <c r="K187" s="174"/>
      <c r="L187" s="174"/>
      <c r="M187" s="174"/>
      <c r="N187" s="174"/>
      <c r="O187" s="174">
        <f t="shared" si="56"/>
        <v>0</v>
      </c>
      <c r="P187" s="174"/>
      <c r="Q187" s="174"/>
      <c r="R187" s="174"/>
      <c r="S187" s="174"/>
      <c r="T187" s="174"/>
      <c r="U187" s="174">
        <f t="shared" si="57"/>
        <v>0</v>
      </c>
      <c r="V187" s="175"/>
      <c r="W187" s="176">
        <f t="shared" si="58"/>
        <v>0</v>
      </c>
      <c r="X187" s="181"/>
    </row>
    <row r="188" spans="1:24" ht="20.100000000000001" hidden="1" customHeight="1" x14ac:dyDescent="0.2">
      <c r="A188" s="40"/>
      <c r="B188" s="50"/>
      <c r="C188" s="33"/>
      <c r="D188" s="174"/>
      <c r="E188" s="174"/>
      <c r="F188" s="174"/>
      <c r="G188" s="174"/>
      <c r="H188" s="182"/>
      <c r="I188" s="174"/>
      <c r="J188" s="174"/>
      <c r="K188" s="174"/>
      <c r="L188" s="174"/>
      <c r="M188" s="174"/>
      <c r="N188" s="174"/>
      <c r="O188" s="174">
        <f t="shared" si="56"/>
        <v>0</v>
      </c>
      <c r="P188" s="174"/>
      <c r="Q188" s="174"/>
      <c r="R188" s="174"/>
      <c r="S188" s="174"/>
      <c r="T188" s="174"/>
      <c r="U188" s="174">
        <f t="shared" si="57"/>
        <v>0</v>
      </c>
      <c r="V188" s="175"/>
      <c r="W188" s="176">
        <f t="shared" si="58"/>
        <v>0</v>
      </c>
      <c r="X188" s="181"/>
    </row>
    <row r="189" spans="1:24" ht="20.100000000000001" hidden="1" customHeight="1" x14ac:dyDescent="0.2">
      <c r="A189" s="40"/>
      <c r="B189" s="50"/>
      <c r="C189" s="33"/>
      <c r="D189" s="174"/>
      <c r="E189" s="174"/>
      <c r="F189" s="174"/>
      <c r="G189" s="174"/>
      <c r="H189" s="182"/>
      <c r="I189" s="174"/>
      <c r="J189" s="174"/>
      <c r="K189" s="174"/>
      <c r="L189" s="174"/>
      <c r="M189" s="174"/>
      <c r="N189" s="174"/>
      <c r="O189" s="174">
        <f t="shared" si="56"/>
        <v>0</v>
      </c>
      <c r="P189" s="174"/>
      <c r="Q189" s="174"/>
      <c r="R189" s="174"/>
      <c r="S189" s="174"/>
      <c r="T189" s="174"/>
      <c r="U189" s="174">
        <f t="shared" si="57"/>
        <v>0</v>
      </c>
      <c r="V189" s="175"/>
      <c r="W189" s="176">
        <f t="shared" si="58"/>
        <v>0</v>
      </c>
      <c r="X189" s="181"/>
    </row>
    <row r="190" spans="1:24" ht="20.100000000000001" hidden="1" customHeight="1" x14ac:dyDescent="0.2">
      <c r="A190" s="40"/>
      <c r="B190" s="50"/>
      <c r="C190" s="33"/>
      <c r="D190" s="174"/>
      <c r="E190" s="174"/>
      <c r="F190" s="174"/>
      <c r="G190" s="174"/>
      <c r="H190" s="182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5"/>
      <c r="W190" s="176"/>
      <c r="X190" s="289"/>
    </row>
    <row r="191" spans="1:24" ht="20.100000000000001" hidden="1" customHeight="1" x14ac:dyDescent="0.2">
      <c r="A191" s="216" t="s">
        <v>88</v>
      </c>
      <c r="B191" s="212"/>
      <c r="C191" s="217" t="s">
        <v>86</v>
      </c>
      <c r="D191" s="174">
        <f t="shared" ref="D191:X191" si="59">SUM(D172:D190)</f>
        <v>0</v>
      </c>
      <c r="E191" s="174">
        <f t="shared" si="59"/>
        <v>0</v>
      </c>
      <c r="F191" s="174">
        <f t="shared" si="59"/>
        <v>0</v>
      </c>
      <c r="G191" s="174">
        <f t="shared" si="59"/>
        <v>0</v>
      </c>
      <c r="H191" s="174">
        <f t="shared" si="59"/>
        <v>0</v>
      </c>
      <c r="I191" s="174">
        <f t="shared" si="59"/>
        <v>0</v>
      </c>
      <c r="J191" s="174">
        <f t="shared" si="59"/>
        <v>0</v>
      </c>
      <c r="K191" s="174">
        <f t="shared" si="59"/>
        <v>0</v>
      </c>
      <c r="L191" s="174">
        <f t="shared" si="59"/>
        <v>0</v>
      </c>
      <c r="M191" s="174">
        <f t="shared" si="59"/>
        <v>0</v>
      </c>
      <c r="N191" s="174">
        <f t="shared" si="59"/>
        <v>0</v>
      </c>
      <c r="O191" s="174">
        <f t="shared" si="59"/>
        <v>0</v>
      </c>
      <c r="P191" s="174"/>
      <c r="Q191" s="174">
        <f t="shared" si="59"/>
        <v>0</v>
      </c>
      <c r="R191" s="174">
        <f t="shared" si="59"/>
        <v>0</v>
      </c>
      <c r="S191" s="174">
        <f t="shared" si="59"/>
        <v>0</v>
      </c>
      <c r="T191" s="174">
        <f t="shared" si="59"/>
        <v>0</v>
      </c>
      <c r="U191" s="174">
        <f t="shared" si="59"/>
        <v>0</v>
      </c>
      <c r="V191" s="174"/>
      <c r="W191" s="265">
        <f t="shared" si="59"/>
        <v>0</v>
      </c>
      <c r="X191" s="181">
        <f t="shared" si="59"/>
        <v>0</v>
      </c>
    </row>
    <row r="192" spans="1:24" ht="20.100000000000001" hidden="1" customHeight="1" x14ac:dyDescent="0.2">
      <c r="A192" s="40"/>
      <c r="B192" s="50"/>
      <c r="C192" s="33"/>
      <c r="D192" s="174"/>
      <c r="E192" s="174"/>
      <c r="F192" s="174"/>
      <c r="G192" s="174"/>
      <c r="H192" s="182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4"/>
      <c r="U192" s="174"/>
      <c r="V192" s="175"/>
      <c r="W192" s="176"/>
      <c r="X192" s="289"/>
    </row>
    <row r="193" spans="1:25" ht="20.100000000000001" hidden="1" customHeight="1" x14ac:dyDescent="0.2">
      <c r="A193" s="185" t="s">
        <v>117</v>
      </c>
      <c r="B193" s="403"/>
      <c r="C193" s="28"/>
      <c r="D193" s="174"/>
      <c r="E193" s="174"/>
      <c r="F193" s="174"/>
      <c r="G193" s="174"/>
      <c r="H193" s="174"/>
      <c r="I193" s="174"/>
      <c r="J193" s="174"/>
      <c r="K193" s="174"/>
      <c r="M193" s="174"/>
      <c r="N193" s="174"/>
      <c r="O193" s="174">
        <f>SUM(D193:N193)</f>
        <v>0</v>
      </c>
      <c r="P193" s="174"/>
      <c r="Q193" s="174"/>
      <c r="R193" s="174"/>
      <c r="S193" s="174"/>
      <c r="T193" s="174"/>
      <c r="U193" s="174">
        <f>SUM(Q193:T193)</f>
        <v>0</v>
      </c>
      <c r="V193" s="174"/>
      <c r="W193" s="176">
        <f>O193+U193</f>
        <v>0</v>
      </c>
      <c r="X193" s="280"/>
    </row>
    <row r="194" spans="1:25" ht="20.100000000000001" hidden="1" customHeight="1" x14ac:dyDescent="0.2">
      <c r="A194" s="185" t="s">
        <v>117</v>
      </c>
      <c r="B194" s="229"/>
      <c r="C194" s="28"/>
      <c r="D194" s="174"/>
      <c r="E194" s="174"/>
      <c r="F194" s="174"/>
      <c r="G194" s="174"/>
      <c r="H194" s="174"/>
      <c r="I194" s="174"/>
      <c r="J194" s="174"/>
      <c r="K194" s="174"/>
      <c r="L194" s="174"/>
      <c r="M194" s="174"/>
      <c r="N194" s="174"/>
      <c r="O194" s="174">
        <f>SUM(D194:N194)</f>
        <v>0</v>
      </c>
      <c r="P194" s="174"/>
      <c r="Q194" s="174"/>
      <c r="R194" s="174"/>
      <c r="S194" s="174"/>
      <c r="T194" s="174"/>
      <c r="U194" s="174">
        <f>SUM(Q194:T194)</f>
        <v>0</v>
      </c>
      <c r="V194" s="174"/>
      <c r="W194" s="176">
        <f>O194+U194</f>
        <v>0</v>
      </c>
      <c r="X194" s="181"/>
    </row>
    <row r="195" spans="1:25" ht="20.100000000000001" hidden="1" customHeight="1" x14ac:dyDescent="0.2">
      <c r="A195" s="40"/>
      <c r="B195" s="31"/>
      <c r="C195" s="41"/>
      <c r="D195" s="174"/>
      <c r="E195" s="174"/>
      <c r="F195" s="174"/>
      <c r="G195" s="174"/>
      <c r="H195" s="174"/>
      <c r="I195" s="174"/>
      <c r="J195" s="174"/>
      <c r="K195" s="174"/>
      <c r="L195" s="174"/>
      <c r="M195" s="174"/>
      <c r="N195" s="174"/>
      <c r="O195" s="174">
        <f>SUM(D195:N195)</f>
        <v>0</v>
      </c>
      <c r="P195" s="174"/>
      <c r="Q195" s="174"/>
      <c r="R195" s="174"/>
      <c r="S195" s="174"/>
      <c r="T195" s="174"/>
      <c r="U195" s="174">
        <f>SUM(Q195:T195)</f>
        <v>0</v>
      </c>
      <c r="V195" s="174"/>
      <c r="W195" s="176">
        <f>O195+U195</f>
        <v>0</v>
      </c>
      <c r="X195" s="280"/>
    </row>
    <row r="196" spans="1:25" ht="20.100000000000001" hidden="1" customHeight="1" x14ac:dyDescent="0.2">
      <c r="A196" s="40"/>
      <c r="B196" s="126"/>
      <c r="C196" s="41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>
        <f>SUM(D196:N196)</f>
        <v>0</v>
      </c>
      <c r="P196" s="174"/>
      <c r="Q196" s="174"/>
      <c r="R196" s="174"/>
      <c r="S196" s="174"/>
      <c r="T196" s="174"/>
      <c r="U196" s="174">
        <f>SUM(Q196:T196)</f>
        <v>0</v>
      </c>
      <c r="V196" s="174"/>
      <c r="W196" s="176">
        <f>O196+U196</f>
        <v>0</v>
      </c>
      <c r="X196" s="280"/>
    </row>
    <row r="197" spans="1:25" ht="20.100000000000001" hidden="1" customHeight="1" x14ac:dyDescent="0.2">
      <c r="A197" s="40"/>
      <c r="B197" s="126"/>
      <c r="C197" s="41"/>
      <c r="D197" s="174"/>
      <c r="E197" s="174"/>
      <c r="F197" s="174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  <c r="V197" s="174"/>
      <c r="W197" s="176"/>
      <c r="X197" s="281"/>
    </row>
    <row r="198" spans="1:25" ht="20.100000000000001" hidden="1" customHeight="1" x14ac:dyDescent="0.2">
      <c r="A198" s="216" t="s">
        <v>89</v>
      </c>
      <c r="B198" s="212"/>
      <c r="C198" s="217" t="s">
        <v>87</v>
      </c>
      <c r="D198" s="174">
        <f t="shared" ref="D198:U198" si="60">SUM(D193:D197)</f>
        <v>0</v>
      </c>
      <c r="E198" s="174">
        <f t="shared" si="60"/>
        <v>0</v>
      </c>
      <c r="F198" s="174">
        <f t="shared" si="60"/>
        <v>0</v>
      </c>
      <c r="G198" s="174">
        <f t="shared" si="60"/>
        <v>0</v>
      </c>
      <c r="H198" s="174">
        <f t="shared" si="60"/>
        <v>0</v>
      </c>
      <c r="I198" s="174">
        <f t="shared" si="60"/>
        <v>0</v>
      </c>
      <c r="J198" s="174">
        <f t="shared" si="60"/>
        <v>0</v>
      </c>
      <c r="K198" s="174">
        <f t="shared" si="60"/>
        <v>0</v>
      </c>
      <c r="L198" s="174">
        <f t="shared" si="60"/>
        <v>0</v>
      </c>
      <c r="M198" s="174">
        <f t="shared" si="60"/>
        <v>0</v>
      </c>
      <c r="N198" s="174">
        <f>SUM(N193:N197)</f>
        <v>0</v>
      </c>
      <c r="O198" s="174">
        <f t="shared" si="60"/>
        <v>0</v>
      </c>
      <c r="P198" s="174"/>
      <c r="Q198" s="174">
        <f>SUM(Q193:Q197)</f>
        <v>0</v>
      </c>
      <c r="R198" s="174">
        <f>SUM(R193:R197)</f>
        <v>0</v>
      </c>
      <c r="S198" s="174">
        <f t="shared" si="60"/>
        <v>0</v>
      </c>
      <c r="T198" s="174">
        <f t="shared" si="60"/>
        <v>0</v>
      </c>
      <c r="U198" s="174">
        <f t="shared" si="60"/>
        <v>0</v>
      </c>
      <c r="V198" s="174"/>
      <c r="W198" s="265">
        <f>SUM(W193:W197)</f>
        <v>0</v>
      </c>
      <c r="X198" s="265">
        <f>SUM(X193:X197)</f>
        <v>0</v>
      </c>
    </row>
    <row r="199" spans="1:25" ht="20.100000000000001" hidden="1" customHeight="1" x14ac:dyDescent="0.2">
      <c r="A199" s="40"/>
      <c r="B199" s="126"/>
      <c r="C199" s="41"/>
      <c r="D199" s="174"/>
      <c r="E199" s="174"/>
      <c r="F199" s="174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4"/>
      <c r="U199" s="174"/>
      <c r="V199" s="174"/>
      <c r="W199" s="176"/>
      <c r="X199" s="280"/>
    </row>
    <row r="200" spans="1:25" ht="20.100000000000001" hidden="1" customHeight="1" thickBot="1" x14ac:dyDescent="0.25">
      <c r="A200" s="40"/>
      <c r="B200" s="32"/>
      <c r="C200" s="34"/>
      <c r="D200" s="174"/>
      <c r="E200" s="174"/>
      <c r="F200" s="174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4"/>
      <c r="U200" s="174"/>
      <c r="V200" s="174"/>
      <c r="W200" s="176"/>
      <c r="X200" s="280"/>
    </row>
    <row r="201" spans="1:25" ht="24.75" hidden="1" customHeight="1" thickTop="1" thickBot="1" x14ac:dyDescent="0.25">
      <c r="A201" s="46"/>
      <c r="B201" s="264">
        <v>41639</v>
      </c>
      <c r="C201" s="44" t="s">
        <v>90</v>
      </c>
      <c r="D201" s="178">
        <f t="shared" ref="D201:U201" si="61">D191+D198</f>
        <v>0</v>
      </c>
      <c r="E201" s="178">
        <f t="shared" si="61"/>
        <v>0</v>
      </c>
      <c r="F201" s="178">
        <f t="shared" si="61"/>
        <v>0</v>
      </c>
      <c r="G201" s="178">
        <f t="shared" si="61"/>
        <v>0</v>
      </c>
      <c r="H201" s="178">
        <f t="shared" si="61"/>
        <v>0</v>
      </c>
      <c r="I201" s="178">
        <f t="shared" si="61"/>
        <v>0</v>
      </c>
      <c r="J201" s="178">
        <f t="shared" si="61"/>
        <v>0</v>
      </c>
      <c r="K201" s="178">
        <f t="shared" si="61"/>
        <v>0</v>
      </c>
      <c r="L201" s="178">
        <f t="shared" si="61"/>
        <v>0</v>
      </c>
      <c r="M201" s="178">
        <f t="shared" si="61"/>
        <v>0</v>
      </c>
      <c r="N201" s="178">
        <f t="shared" si="61"/>
        <v>0</v>
      </c>
      <c r="O201" s="178">
        <f t="shared" si="61"/>
        <v>0</v>
      </c>
      <c r="P201" s="178"/>
      <c r="Q201" s="178">
        <f>Q191+Q198</f>
        <v>0</v>
      </c>
      <c r="R201" s="178">
        <f>R191+R198</f>
        <v>0</v>
      </c>
      <c r="S201" s="178">
        <f t="shared" si="61"/>
        <v>0</v>
      </c>
      <c r="T201" s="178">
        <f t="shared" si="61"/>
        <v>0</v>
      </c>
      <c r="U201" s="178">
        <f t="shared" si="61"/>
        <v>0</v>
      </c>
      <c r="V201" s="178"/>
      <c r="W201" s="179">
        <f>W191+W198</f>
        <v>0</v>
      </c>
      <c r="X201" s="282">
        <f>X191+X198</f>
        <v>0</v>
      </c>
    </row>
    <row r="202" spans="1:25" ht="24.75" hidden="1" customHeight="1" thickTop="1" thickBot="1" x14ac:dyDescent="0.25">
      <c r="A202" s="42"/>
      <c r="B202" s="43" t="s">
        <v>122</v>
      </c>
      <c r="C202" s="44" t="s">
        <v>157</v>
      </c>
      <c r="D202" s="210">
        <f t="shared" ref="D202:U202" si="62">D171+D201</f>
        <v>0</v>
      </c>
      <c r="E202" s="210">
        <f t="shared" si="62"/>
        <v>0</v>
      </c>
      <c r="F202" s="210">
        <f t="shared" si="62"/>
        <v>25855.675999999999</v>
      </c>
      <c r="G202" s="210">
        <f t="shared" si="62"/>
        <v>4952</v>
      </c>
      <c r="H202" s="210">
        <f t="shared" si="62"/>
        <v>17356</v>
      </c>
      <c r="I202" s="210">
        <f t="shared" si="62"/>
        <v>0</v>
      </c>
      <c r="J202" s="210">
        <f t="shared" si="62"/>
        <v>0</v>
      </c>
      <c r="K202" s="210">
        <f t="shared" si="62"/>
        <v>0</v>
      </c>
      <c r="L202" s="210">
        <f t="shared" si="62"/>
        <v>16058</v>
      </c>
      <c r="M202" s="210">
        <f t="shared" si="62"/>
        <v>2200</v>
      </c>
      <c r="N202" s="210">
        <f t="shared" si="62"/>
        <v>0</v>
      </c>
      <c r="O202" s="210">
        <f t="shared" si="62"/>
        <v>66421.676000000007</v>
      </c>
      <c r="P202" s="210"/>
      <c r="Q202" s="210">
        <f t="shared" si="62"/>
        <v>0</v>
      </c>
      <c r="R202" s="210">
        <f t="shared" si="62"/>
        <v>39544</v>
      </c>
      <c r="S202" s="210">
        <f t="shared" si="62"/>
        <v>0</v>
      </c>
      <c r="T202" s="210">
        <f t="shared" si="62"/>
        <v>0</v>
      </c>
      <c r="U202" s="210">
        <f t="shared" si="62"/>
        <v>39544</v>
      </c>
      <c r="V202" s="210"/>
      <c r="W202" s="179">
        <f>O202+U202</f>
        <v>105965.67600000001</v>
      </c>
      <c r="X202" s="282">
        <f>X170+X201</f>
        <v>2615009.3589999997</v>
      </c>
    </row>
    <row r="203" spans="1:25" ht="24.95" hidden="1" customHeight="1" thickTop="1" x14ac:dyDescent="0.25">
      <c r="D203" s="173"/>
      <c r="E203" s="173"/>
      <c r="F203" s="173"/>
      <c r="G203" s="173"/>
      <c r="H203" s="173"/>
      <c r="I203" s="173"/>
      <c r="J203" s="173"/>
      <c r="K203" s="173"/>
      <c r="L203" s="173"/>
      <c r="M203" s="173"/>
      <c r="N203" s="173"/>
      <c r="O203" s="173"/>
      <c r="P203" s="173"/>
      <c r="Q203" s="173"/>
      <c r="R203" s="173"/>
      <c r="S203" s="173"/>
      <c r="T203" s="173"/>
      <c r="U203" s="173"/>
      <c r="V203" s="173"/>
      <c r="W203" s="173"/>
    </row>
    <row r="204" spans="1:25" ht="24.95" customHeight="1" thickTop="1" x14ac:dyDescent="0.25"/>
    <row r="205" spans="1:25" ht="24.95" hidden="1" customHeight="1" thickTop="1" thickBot="1" x14ac:dyDescent="0.3">
      <c r="C205" s="295" t="s">
        <v>101</v>
      </c>
      <c r="D205" s="683">
        <v>0</v>
      </c>
      <c r="E205" s="683">
        <v>0</v>
      </c>
      <c r="F205" s="683">
        <v>25856</v>
      </c>
      <c r="G205" s="683">
        <v>4952</v>
      </c>
      <c r="H205" s="683">
        <v>17356</v>
      </c>
      <c r="I205" s="683">
        <v>0</v>
      </c>
      <c r="J205" s="683">
        <v>0</v>
      </c>
      <c r="K205" s="683">
        <v>0</v>
      </c>
      <c r="L205" s="683">
        <v>16058</v>
      </c>
      <c r="M205" s="683">
        <v>2200</v>
      </c>
      <c r="N205" s="683">
        <v>0</v>
      </c>
      <c r="O205" s="683">
        <v>66422</v>
      </c>
      <c r="P205" s="683">
        <v>55689</v>
      </c>
      <c r="Q205" s="683">
        <v>0</v>
      </c>
      <c r="R205" s="683">
        <v>39544</v>
      </c>
      <c r="S205" s="683">
        <v>0</v>
      </c>
      <c r="T205" s="683">
        <v>0</v>
      </c>
      <c r="U205" s="683">
        <v>39544</v>
      </c>
      <c r="V205" s="683"/>
      <c r="W205" s="683">
        <v>105966</v>
      </c>
      <c r="X205" s="683">
        <v>2615009</v>
      </c>
      <c r="Y205" s="29">
        <f>SUM(W205:X205)</f>
        <v>2720975</v>
      </c>
    </row>
    <row r="206" spans="1:25" ht="24.95" hidden="1" customHeight="1" thickTop="1" x14ac:dyDescent="0.25"/>
    <row r="207" spans="1:25" ht="24.95" hidden="1" customHeight="1" x14ac:dyDescent="0.25">
      <c r="C207" s="2" t="s">
        <v>97</v>
      </c>
      <c r="D207" s="685">
        <f>D157-D205</f>
        <v>0</v>
      </c>
      <c r="E207" s="685">
        <f>E157-E205</f>
        <v>0</v>
      </c>
      <c r="F207" s="685">
        <f>F157-F205</f>
        <v>-0.32400000000052387</v>
      </c>
      <c r="G207" s="685">
        <f t="shared" ref="G207:X207" si="63">G157-G205</f>
        <v>0</v>
      </c>
      <c r="H207" s="685">
        <f t="shared" si="63"/>
        <v>0</v>
      </c>
      <c r="I207" s="685">
        <f t="shared" si="63"/>
        <v>0</v>
      </c>
      <c r="J207" s="685">
        <f t="shared" si="63"/>
        <v>0</v>
      </c>
      <c r="K207" s="685">
        <f t="shared" si="63"/>
        <v>0</v>
      </c>
      <c r="L207" s="685">
        <f t="shared" si="63"/>
        <v>0</v>
      </c>
      <c r="M207" s="685">
        <f t="shared" si="63"/>
        <v>0</v>
      </c>
      <c r="N207" s="685">
        <f t="shared" si="63"/>
        <v>0</v>
      </c>
      <c r="O207" s="685">
        <f t="shared" si="63"/>
        <v>-0.32399999999324791</v>
      </c>
      <c r="P207" s="685"/>
      <c r="Q207" s="685">
        <f t="shared" si="63"/>
        <v>0</v>
      </c>
      <c r="R207" s="685">
        <f t="shared" si="63"/>
        <v>0</v>
      </c>
      <c r="S207" s="685">
        <f t="shared" si="63"/>
        <v>0</v>
      </c>
      <c r="T207" s="685">
        <f t="shared" si="63"/>
        <v>0</v>
      </c>
      <c r="U207" s="685">
        <f t="shared" si="63"/>
        <v>0</v>
      </c>
      <c r="V207" s="685"/>
      <c r="W207" s="685">
        <f t="shared" si="63"/>
        <v>-0.32399999999324791</v>
      </c>
      <c r="X207" s="685">
        <f t="shared" si="63"/>
        <v>0.35899999970570207</v>
      </c>
    </row>
    <row r="208" spans="1:25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7" ht="24.95" customHeight="1" x14ac:dyDescent="0.25"/>
    <row r="308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500" spans="9:9" x14ac:dyDescent="0.25">
      <c r="I500" s="52">
        <f>-10437-1367-86-236+13-6357-200+31+71-310-1500-799-55-443-3970</f>
        <v>-25645</v>
      </c>
    </row>
  </sheetData>
  <mergeCells count="5">
    <mergeCell ref="A3:X3"/>
    <mergeCell ref="A5:X5"/>
    <mergeCell ref="D8:F8"/>
    <mergeCell ref="J8:K8"/>
    <mergeCell ref="Q8:T8"/>
  </mergeCells>
  <phoneticPr fontId="3" type="noConversion"/>
  <printOptions horizontalCentered="1" verticalCentered="1"/>
  <pageMargins left="0" right="0" top="0.31496062992125984" bottom="0.35433070866141736" header="7.874015748031496E-2" footer="7.874015748031496E-2"/>
  <pageSetup paperSize="9" scale="44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48"/>
  <sheetViews>
    <sheetView topLeftCell="N1" zoomScale="75" zoomScaleNormal="75" workbookViewId="0">
      <selection activeCell="Y1" sqref="Y1"/>
    </sheetView>
  </sheetViews>
  <sheetFormatPr defaultRowHeight="16.5" x14ac:dyDescent="0.25"/>
  <cols>
    <col min="1" max="1" width="4.7109375" style="93" customWidth="1"/>
    <col min="2" max="2" width="12.42578125" style="1" hidden="1" customWidth="1"/>
    <col min="3" max="3" width="58.7109375" style="2" customWidth="1"/>
    <col min="4" max="4" width="14.42578125" style="2" customWidth="1"/>
    <col min="5" max="5" width="13.85546875" style="2" customWidth="1"/>
    <col min="6" max="6" width="12.7109375" style="2" customWidth="1"/>
    <col min="7" max="7" width="13.85546875" style="2" customWidth="1"/>
    <col min="8" max="8" width="12.28515625" style="2" customWidth="1"/>
    <col min="9" max="9" width="12.7109375" style="2" customWidth="1"/>
    <col min="10" max="11" width="12.28515625" style="2" customWidth="1"/>
    <col min="12" max="16" width="12.7109375" style="2" customWidth="1"/>
    <col min="17" max="17" width="12.28515625" style="2" customWidth="1"/>
    <col min="18" max="18" width="14.140625" style="2" customWidth="1"/>
    <col min="19" max="19" width="0.42578125" style="2" customWidth="1"/>
    <col min="20" max="24" width="12.7109375" style="2" customWidth="1"/>
    <col min="25" max="25" width="18.28515625" style="53" customWidth="1"/>
    <col min="26" max="26" width="16.28515625" style="53" hidden="1" customWidth="1"/>
    <col min="27" max="29" width="10.42578125" style="53" customWidth="1"/>
    <col min="30" max="30" width="12.28515625" style="53" customWidth="1"/>
    <col min="31" max="31" width="14" style="53" customWidth="1"/>
    <col min="32" max="32" width="12.28515625" style="53" customWidth="1"/>
    <col min="33" max="34" width="10.42578125" style="53" customWidth="1"/>
    <col min="35" max="35" width="12.28515625" style="53" customWidth="1"/>
    <col min="36" max="36" width="9.140625" style="53"/>
    <col min="37" max="38" width="10.42578125" style="53" customWidth="1"/>
    <col min="39" max="39" width="12.28515625" style="53" customWidth="1"/>
    <col min="40" max="40" width="12.7109375" style="53" customWidth="1"/>
    <col min="41" max="16384" width="9.140625" style="2"/>
  </cols>
  <sheetData>
    <row r="1" spans="1:40" x14ac:dyDescent="0.25">
      <c r="Y1" s="191" t="s">
        <v>95</v>
      </c>
    </row>
    <row r="2" spans="1:40" x14ac:dyDescent="0.25">
      <c r="Y2" s="191"/>
    </row>
    <row r="3" spans="1:40" ht="18.75" x14ac:dyDescent="0.2">
      <c r="A3" s="756" t="s">
        <v>0</v>
      </c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6"/>
      <c r="O3" s="756"/>
      <c r="P3" s="756"/>
      <c r="Q3" s="756"/>
      <c r="R3" s="756"/>
      <c r="S3" s="756"/>
      <c r="T3" s="756"/>
      <c r="U3" s="756"/>
      <c r="V3" s="756"/>
      <c r="W3" s="756"/>
      <c r="X3" s="756"/>
      <c r="Y3" s="756"/>
    </row>
    <row r="4" spans="1:40" ht="18.75" x14ac:dyDescent="0.2">
      <c r="A4" s="458"/>
      <c r="B4" s="458"/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X4" s="458"/>
      <c r="Y4" s="458"/>
    </row>
    <row r="5" spans="1:40" ht="42" customHeight="1" x14ac:dyDescent="0.2">
      <c r="A5" s="755" t="s">
        <v>625</v>
      </c>
      <c r="B5" s="756"/>
      <c r="C5" s="756"/>
      <c r="D5" s="756"/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  <c r="P5" s="756"/>
      <c r="Q5" s="756"/>
      <c r="R5" s="756"/>
      <c r="S5" s="756"/>
      <c r="T5" s="756"/>
      <c r="U5" s="756"/>
      <c r="V5" s="756"/>
      <c r="W5" s="756"/>
      <c r="X5" s="756"/>
      <c r="Y5" s="756"/>
    </row>
    <row r="6" spans="1:40" ht="24.95" customHeight="1" x14ac:dyDescent="0.2">
      <c r="A6" s="459"/>
      <c r="B6" s="458"/>
      <c r="C6" s="458"/>
      <c r="D6" s="458"/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</row>
    <row r="7" spans="1:40" ht="17.25" customHeight="1" thickBot="1" x14ac:dyDescent="0.25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6" t="s">
        <v>1</v>
      </c>
    </row>
    <row r="8" spans="1:40" ht="17.25" thickBot="1" x14ac:dyDescent="0.3">
      <c r="A8" s="55"/>
      <c r="B8" s="8"/>
      <c r="C8" s="486"/>
      <c r="D8" s="765" t="s">
        <v>32</v>
      </c>
      <c r="E8" s="766"/>
      <c r="F8" s="766"/>
      <c r="G8" s="766"/>
      <c r="H8" s="766"/>
      <c r="I8" s="766"/>
      <c r="J8" s="766"/>
      <c r="K8" s="766"/>
      <c r="L8" s="766"/>
      <c r="M8" s="766"/>
      <c r="N8" s="766"/>
      <c r="O8" s="766"/>
      <c r="P8" s="766"/>
      <c r="Q8" s="766"/>
      <c r="R8" s="766"/>
      <c r="S8" s="766"/>
      <c r="T8" s="766"/>
      <c r="U8" s="766"/>
      <c r="V8" s="766"/>
      <c r="W8" s="766"/>
      <c r="X8" s="757"/>
      <c r="Y8" s="452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</row>
    <row r="9" spans="1:40" ht="17.25" customHeight="1" thickTop="1" x14ac:dyDescent="0.25">
      <c r="A9" s="57"/>
      <c r="B9" s="12"/>
      <c r="C9" s="13"/>
      <c r="D9" s="758" t="s">
        <v>176</v>
      </c>
      <c r="E9" s="759"/>
      <c r="F9" s="759"/>
      <c r="G9" s="759"/>
      <c r="H9" s="759"/>
      <c r="I9" s="759"/>
      <c r="J9" s="759"/>
      <c r="K9" s="760"/>
      <c r="L9" s="761" t="s">
        <v>177</v>
      </c>
      <c r="M9" s="762"/>
      <c r="N9" s="762"/>
      <c r="O9" s="762"/>
      <c r="P9" s="762"/>
      <c r="Q9" s="760"/>
      <c r="R9" s="474" t="s">
        <v>139</v>
      </c>
      <c r="S9" s="503"/>
      <c r="T9" s="761" t="s">
        <v>178</v>
      </c>
      <c r="U9" s="762"/>
      <c r="V9" s="762"/>
      <c r="W9" s="763"/>
      <c r="X9" s="478" t="s">
        <v>153</v>
      </c>
      <c r="Y9" s="101" t="s">
        <v>2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56"/>
    </row>
    <row r="10" spans="1:40" x14ac:dyDescent="0.25">
      <c r="A10" s="18" t="s">
        <v>8</v>
      </c>
      <c r="B10" s="12"/>
      <c r="C10" s="13" t="s">
        <v>3</v>
      </c>
      <c r="D10" s="58"/>
      <c r="E10" s="208" t="s">
        <v>37</v>
      </c>
      <c r="F10" s="59"/>
      <c r="G10" s="59" t="s">
        <v>33</v>
      </c>
      <c r="H10" s="59" t="s">
        <v>125</v>
      </c>
      <c r="I10" s="59" t="s">
        <v>126</v>
      </c>
      <c r="J10" s="59" t="s">
        <v>126</v>
      </c>
      <c r="K10" s="208"/>
      <c r="L10" s="59"/>
      <c r="M10" s="59"/>
      <c r="N10" s="59" t="s">
        <v>4</v>
      </c>
      <c r="O10" s="59" t="s">
        <v>159</v>
      </c>
      <c r="P10" s="60" t="s">
        <v>160</v>
      </c>
      <c r="Q10" s="208" t="s">
        <v>4</v>
      </c>
      <c r="R10" s="475" t="s">
        <v>140</v>
      </c>
      <c r="S10" s="475"/>
      <c r="T10" s="17" t="s">
        <v>161</v>
      </c>
      <c r="U10" s="17" t="s">
        <v>162</v>
      </c>
      <c r="V10" s="17" t="s">
        <v>144</v>
      </c>
      <c r="W10" s="17" t="s">
        <v>4</v>
      </c>
      <c r="X10" s="479" t="s">
        <v>154</v>
      </c>
      <c r="Y10" s="102" t="s">
        <v>35</v>
      </c>
      <c r="Z10" s="4"/>
      <c r="AA10" s="4"/>
      <c r="AB10" s="4"/>
      <c r="AC10" s="4"/>
      <c r="AD10" s="4"/>
      <c r="AE10" s="4"/>
      <c r="AF10" s="4"/>
      <c r="AG10" s="4"/>
      <c r="AH10" s="754"/>
      <c r="AI10" s="754"/>
      <c r="AJ10" s="4"/>
      <c r="AK10" s="4"/>
      <c r="AL10" s="4"/>
      <c r="AM10" s="4"/>
      <c r="AN10" s="56"/>
    </row>
    <row r="11" spans="1:40" ht="16.5" customHeight="1" x14ac:dyDescent="0.25">
      <c r="A11" s="11"/>
      <c r="B11" s="12"/>
      <c r="C11" s="13" t="s">
        <v>9</v>
      </c>
      <c r="D11" s="59" t="s">
        <v>36</v>
      </c>
      <c r="E11" s="59" t="s">
        <v>77</v>
      </c>
      <c r="F11" s="59" t="s">
        <v>38</v>
      </c>
      <c r="G11" s="59" t="s">
        <v>39</v>
      </c>
      <c r="H11" s="59" t="s">
        <v>127</v>
      </c>
      <c r="I11" s="59" t="s">
        <v>79</v>
      </c>
      <c r="J11" s="59" t="s">
        <v>79</v>
      </c>
      <c r="K11" s="59" t="s">
        <v>42</v>
      </c>
      <c r="L11" s="59" t="s">
        <v>163</v>
      </c>
      <c r="M11" s="59" t="s">
        <v>164</v>
      </c>
      <c r="N11" s="59" t="s">
        <v>165</v>
      </c>
      <c r="O11" s="59" t="s">
        <v>166</v>
      </c>
      <c r="P11" s="59" t="s">
        <v>50</v>
      </c>
      <c r="Q11" s="59" t="s">
        <v>165</v>
      </c>
      <c r="R11" s="476" t="s">
        <v>40</v>
      </c>
      <c r="S11" s="476"/>
      <c r="T11" s="13" t="s">
        <v>167</v>
      </c>
      <c r="U11" s="13" t="s">
        <v>145</v>
      </c>
      <c r="V11" s="13" t="s">
        <v>147</v>
      </c>
      <c r="W11" s="17" t="s">
        <v>195</v>
      </c>
      <c r="X11" s="408" t="s">
        <v>40</v>
      </c>
      <c r="Y11" s="102" t="s">
        <v>12</v>
      </c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56"/>
    </row>
    <row r="12" spans="1:40" x14ac:dyDescent="0.25">
      <c r="A12" s="57"/>
      <c r="B12" s="12"/>
      <c r="C12" s="13" t="s">
        <v>13</v>
      </c>
      <c r="D12" s="59" t="s">
        <v>44</v>
      </c>
      <c r="E12" s="59" t="s">
        <v>49</v>
      </c>
      <c r="F12" s="59" t="s">
        <v>40</v>
      </c>
      <c r="G12" s="59" t="s">
        <v>45</v>
      </c>
      <c r="H12" s="59" t="s">
        <v>129</v>
      </c>
      <c r="I12" s="59" t="s">
        <v>130</v>
      </c>
      <c r="J12" s="59" t="s">
        <v>130</v>
      </c>
      <c r="K12" s="59"/>
      <c r="L12" s="59"/>
      <c r="M12" s="59"/>
      <c r="N12" s="59" t="s">
        <v>79</v>
      </c>
      <c r="O12" s="59" t="s">
        <v>46</v>
      </c>
      <c r="P12" s="59"/>
      <c r="Q12" s="59" t="s">
        <v>79</v>
      </c>
      <c r="R12" s="476" t="s">
        <v>12</v>
      </c>
      <c r="S12" s="476"/>
      <c r="T12" s="13" t="s">
        <v>168</v>
      </c>
      <c r="U12" s="13" t="s">
        <v>148</v>
      </c>
      <c r="V12" s="13" t="s">
        <v>169</v>
      </c>
      <c r="W12" s="17" t="s">
        <v>196</v>
      </c>
      <c r="X12" s="408" t="s">
        <v>12</v>
      </c>
      <c r="Y12" s="103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56"/>
    </row>
    <row r="13" spans="1:40" x14ac:dyDescent="0.25">
      <c r="A13" s="57"/>
      <c r="B13" s="12"/>
      <c r="C13" s="13"/>
      <c r="D13" s="61"/>
      <c r="E13" s="59" t="s">
        <v>78</v>
      </c>
      <c r="F13" s="59"/>
      <c r="G13" s="132"/>
      <c r="H13" s="62"/>
      <c r="I13" s="132" t="s">
        <v>170</v>
      </c>
      <c r="J13" s="132" t="s">
        <v>171</v>
      </c>
      <c r="K13" s="59"/>
      <c r="L13" s="62"/>
      <c r="M13" s="59"/>
      <c r="N13" s="59" t="s">
        <v>172</v>
      </c>
      <c r="O13" s="59" t="s">
        <v>173</v>
      </c>
      <c r="P13" s="59"/>
      <c r="Q13" s="59" t="s">
        <v>173</v>
      </c>
      <c r="R13" s="477" t="s">
        <v>181</v>
      </c>
      <c r="S13" s="477"/>
      <c r="T13" s="13" t="s">
        <v>174</v>
      </c>
      <c r="U13" s="13" t="s">
        <v>47</v>
      </c>
      <c r="V13" s="13" t="s">
        <v>175</v>
      </c>
      <c r="W13" s="13" t="s">
        <v>40</v>
      </c>
      <c r="X13" s="342" t="s">
        <v>182</v>
      </c>
      <c r="Y13" s="103" t="s">
        <v>183</v>
      </c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56"/>
    </row>
    <row r="14" spans="1:40" hidden="1" x14ac:dyDescent="0.25">
      <c r="A14" s="121"/>
      <c r="B14" s="114"/>
      <c r="C14" s="115"/>
      <c r="D14" s="116" t="s">
        <v>277</v>
      </c>
      <c r="E14" s="16" t="s">
        <v>278</v>
      </c>
      <c r="F14" s="16" t="s">
        <v>279</v>
      </c>
      <c r="G14" s="17" t="s">
        <v>280</v>
      </c>
      <c r="H14" s="122" t="s">
        <v>281</v>
      </c>
      <c r="I14" s="13" t="s">
        <v>282</v>
      </c>
      <c r="J14" s="17" t="s">
        <v>283</v>
      </c>
      <c r="K14" s="115" t="s">
        <v>284</v>
      </c>
      <c r="L14" s="122" t="s">
        <v>285</v>
      </c>
      <c r="M14" s="122" t="s">
        <v>286</v>
      </c>
      <c r="N14" s="122" t="s">
        <v>287</v>
      </c>
      <c r="O14" s="123" t="s">
        <v>288</v>
      </c>
      <c r="P14" s="115" t="s">
        <v>289</v>
      </c>
      <c r="Q14" s="115" t="s">
        <v>290</v>
      </c>
      <c r="R14" s="115"/>
      <c r="S14" s="115"/>
      <c r="T14" s="115" t="s">
        <v>291</v>
      </c>
      <c r="U14" s="115" t="s">
        <v>292</v>
      </c>
      <c r="V14" s="115" t="s">
        <v>293</v>
      </c>
      <c r="W14" s="124" t="s">
        <v>294</v>
      </c>
      <c r="X14" s="466"/>
      <c r="Y14" s="125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56"/>
    </row>
    <row r="15" spans="1:40" ht="18" customHeight="1" thickBot="1" x14ac:dyDescent="0.3">
      <c r="A15" s="197">
        <v>1</v>
      </c>
      <c r="B15" s="221"/>
      <c r="C15" s="218">
        <v>2</v>
      </c>
      <c r="D15" s="218">
        <v>3</v>
      </c>
      <c r="E15" s="218">
        <v>4</v>
      </c>
      <c r="F15" s="218">
        <v>5</v>
      </c>
      <c r="G15" s="218">
        <v>6</v>
      </c>
      <c r="H15" s="218">
        <v>7</v>
      </c>
      <c r="I15" s="218">
        <v>8</v>
      </c>
      <c r="J15" s="218">
        <v>9</v>
      </c>
      <c r="K15" s="218">
        <v>10</v>
      </c>
      <c r="L15" s="218">
        <v>11</v>
      </c>
      <c r="M15" s="218">
        <v>12</v>
      </c>
      <c r="N15" s="218">
        <v>13</v>
      </c>
      <c r="O15" s="218">
        <v>14</v>
      </c>
      <c r="P15" s="218">
        <v>15</v>
      </c>
      <c r="Q15" s="218">
        <v>16</v>
      </c>
      <c r="R15" s="218">
        <v>17</v>
      </c>
      <c r="S15" s="218"/>
      <c r="T15" s="218">
        <v>18</v>
      </c>
      <c r="U15" s="218">
        <v>19</v>
      </c>
      <c r="V15" s="482">
        <v>20</v>
      </c>
      <c r="W15" s="218">
        <v>21</v>
      </c>
      <c r="X15" s="218">
        <v>22</v>
      </c>
      <c r="Y15" s="219">
        <v>23</v>
      </c>
      <c r="Z15" s="4"/>
      <c r="AA15" s="4"/>
      <c r="AB15" s="4"/>
      <c r="AC15" s="4"/>
      <c r="AD15" s="4"/>
      <c r="AE15" s="4"/>
      <c r="AF15" s="4"/>
      <c r="AG15" s="4"/>
      <c r="AH15" s="754"/>
      <c r="AI15" s="754"/>
      <c r="AJ15" s="4"/>
      <c r="AK15" s="4"/>
      <c r="AL15" s="4"/>
      <c r="AM15" s="4"/>
      <c r="AN15" s="4"/>
    </row>
    <row r="16" spans="1:40" s="67" customFormat="1" ht="19.5" hidden="1" customHeight="1" x14ac:dyDescent="0.3">
      <c r="A16" s="63"/>
      <c r="B16" s="154"/>
      <c r="C16" s="64" t="s">
        <v>67</v>
      </c>
      <c r="D16" s="155">
        <v>1443841</v>
      </c>
      <c r="E16" s="155">
        <v>430744</v>
      </c>
      <c r="F16" s="155">
        <v>503009</v>
      </c>
      <c r="G16" s="155">
        <v>698</v>
      </c>
      <c r="H16" s="155">
        <v>0</v>
      </c>
      <c r="I16" s="155">
        <v>0</v>
      </c>
      <c r="J16" s="155">
        <v>0</v>
      </c>
      <c r="K16" s="155">
        <v>0</v>
      </c>
      <c r="L16" s="155">
        <v>202259</v>
      </c>
      <c r="M16" s="155">
        <v>17550</v>
      </c>
      <c r="N16" s="155">
        <v>0</v>
      </c>
      <c r="O16" s="155">
        <v>5000</v>
      </c>
      <c r="P16" s="155">
        <v>0</v>
      </c>
      <c r="Q16" s="155">
        <v>0</v>
      </c>
      <c r="R16" s="155">
        <f>SUM(D16:Q16)</f>
        <v>2603101</v>
      </c>
      <c r="S16" s="155"/>
      <c r="T16" s="155">
        <v>0</v>
      </c>
      <c r="U16" s="155">
        <v>0</v>
      </c>
      <c r="V16" s="156">
        <v>0</v>
      </c>
      <c r="W16" s="155">
        <v>0</v>
      </c>
      <c r="X16" s="156">
        <f>SUM(T16:W16)</f>
        <v>0</v>
      </c>
      <c r="Y16" s="157">
        <f>R16+X16</f>
        <v>2603101</v>
      </c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6"/>
    </row>
    <row r="17" spans="1:40" ht="20.100000000000001" hidden="1" customHeight="1" x14ac:dyDescent="0.25">
      <c r="A17" s="68"/>
      <c r="B17" s="140" t="s">
        <v>82</v>
      </c>
      <c r="C17" s="41" t="s">
        <v>109</v>
      </c>
      <c r="D17" s="71"/>
      <c r="E17" s="71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3"/>
      <c r="W17" s="72"/>
      <c r="X17" s="73"/>
      <c r="Y17" s="83">
        <f>SUM(D17:W17)</f>
        <v>0</v>
      </c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70"/>
    </row>
    <row r="18" spans="1:40" ht="20.100000000000001" hidden="1" customHeight="1" x14ac:dyDescent="0.25">
      <c r="A18" s="160"/>
      <c r="B18" s="27"/>
      <c r="C18" s="24" t="s">
        <v>18</v>
      </c>
      <c r="D18" s="155">
        <f t="shared" ref="D18:Y18" si="0">SUM(D16:D17)</f>
        <v>1443841</v>
      </c>
      <c r="E18" s="155">
        <f t="shared" si="0"/>
        <v>430744</v>
      </c>
      <c r="F18" s="155">
        <f t="shared" si="0"/>
        <v>503009</v>
      </c>
      <c r="G18" s="155">
        <f t="shared" si="0"/>
        <v>698</v>
      </c>
      <c r="H18" s="155">
        <f t="shared" si="0"/>
        <v>0</v>
      </c>
      <c r="I18" s="155">
        <f t="shared" si="0"/>
        <v>0</v>
      </c>
      <c r="J18" s="155">
        <f t="shared" si="0"/>
        <v>0</v>
      </c>
      <c r="K18" s="155">
        <f t="shared" si="0"/>
        <v>0</v>
      </c>
      <c r="L18" s="155">
        <f t="shared" si="0"/>
        <v>202259</v>
      </c>
      <c r="M18" s="155">
        <f t="shared" si="0"/>
        <v>17550</v>
      </c>
      <c r="N18" s="155">
        <f t="shared" si="0"/>
        <v>0</v>
      </c>
      <c r="O18" s="155">
        <f t="shared" si="0"/>
        <v>5000</v>
      </c>
      <c r="P18" s="155">
        <f t="shared" si="0"/>
        <v>0</v>
      </c>
      <c r="Q18" s="155">
        <f t="shared" si="0"/>
        <v>0</v>
      </c>
      <c r="R18" s="155">
        <f>SUM(D18:Q18)</f>
        <v>2603101</v>
      </c>
      <c r="S18" s="155"/>
      <c r="T18" s="155">
        <f t="shared" si="0"/>
        <v>0</v>
      </c>
      <c r="U18" s="155">
        <f t="shared" si="0"/>
        <v>0</v>
      </c>
      <c r="V18" s="156">
        <f t="shared" si="0"/>
        <v>0</v>
      </c>
      <c r="W18" s="155">
        <f t="shared" si="0"/>
        <v>0</v>
      </c>
      <c r="X18" s="156">
        <f>SUM(T18:W18)</f>
        <v>0</v>
      </c>
      <c r="Y18" s="157">
        <f t="shared" si="0"/>
        <v>2603101</v>
      </c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70"/>
    </row>
    <row r="19" spans="1:40" ht="30" hidden="1" customHeight="1" x14ac:dyDescent="0.25">
      <c r="A19" s="82"/>
      <c r="B19" s="140"/>
      <c r="C19" s="28"/>
      <c r="D19" s="72"/>
      <c r="E19" s="72"/>
      <c r="F19" s="73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>
        <f t="shared" ref="R19:R88" si="1">SUM(D19:Q19)</f>
        <v>0</v>
      </c>
      <c r="S19" s="72"/>
      <c r="T19" s="72"/>
      <c r="U19" s="72"/>
      <c r="V19" s="73"/>
      <c r="W19" s="72"/>
      <c r="X19" s="73">
        <f t="shared" ref="X19:X88" si="2">SUM(T19:W19)</f>
        <v>0</v>
      </c>
      <c r="Y19" s="83">
        <f t="shared" ref="Y19:Y88" si="3">R19+X19</f>
        <v>0</v>
      </c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70"/>
    </row>
    <row r="20" spans="1:40" ht="30" hidden="1" customHeight="1" x14ac:dyDescent="0.25">
      <c r="A20" s="82">
        <v>1</v>
      </c>
      <c r="B20" s="603" t="s">
        <v>241</v>
      </c>
      <c r="C20" s="28" t="s">
        <v>240</v>
      </c>
      <c r="D20" s="159"/>
      <c r="E20" s="159"/>
      <c r="F20" s="159">
        <f>-14</f>
        <v>-14</v>
      </c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>
        <f t="shared" si="1"/>
        <v>-14</v>
      </c>
      <c r="S20" s="159"/>
      <c r="T20" s="159"/>
      <c r="U20" s="159"/>
      <c r="V20" s="165"/>
      <c r="W20" s="159"/>
      <c r="X20" s="165">
        <f t="shared" si="2"/>
        <v>0</v>
      </c>
      <c r="Y20" s="601">
        <f t="shared" si="3"/>
        <v>-14</v>
      </c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70"/>
    </row>
    <row r="21" spans="1:40" ht="30" hidden="1" customHeight="1" x14ac:dyDescent="0.25">
      <c r="A21" s="82">
        <v>2</v>
      </c>
      <c r="B21" s="141" t="s">
        <v>260</v>
      </c>
      <c r="C21" s="28" t="s">
        <v>259</v>
      </c>
      <c r="D21" s="159">
        <f>866.8</f>
        <v>866.8</v>
      </c>
      <c r="E21" s="159">
        <f>234.036</f>
        <v>234.036</v>
      </c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>
        <f t="shared" si="1"/>
        <v>1100.836</v>
      </c>
      <c r="S21" s="159"/>
      <c r="T21" s="159"/>
      <c r="U21" s="159"/>
      <c r="V21" s="165"/>
      <c r="W21" s="159"/>
      <c r="X21" s="165">
        <f t="shared" si="2"/>
        <v>0</v>
      </c>
      <c r="Y21" s="601">
        <f t="shared" si="3"/>
        <v>1100.836</v>
      </c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70"/>
    </row>
    <row r="22" spans="1:40" ht="30" hidden="1" customHeight="1" x14ac:dyDescent="0.25">
      <c r="A22" s="660">
        <v>3</v>
      </c>
      <c r="B22" s="659" t="s">
        <v>264</v>
      </c>
      <c r="C22" s="33" t="s">
        <v>219</v>
      </c>
      <c r="D22" s="159">
        <f>3052.874</f>
        <v>3052.8739999999998</v>
      </c>
      <c r="E22" s="159">
        <f>670.7</f>
        <v>670.7</v>
      </c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>
        <f t="shared" si="1"/>
        <v>3723.5739999999996</v>
      </c>
      <c r="S22" s="159"/>
      <c r="T22" s="159"/>
      <c r="U22" s="159"/>
      <c r="V22" s="165"/>
      <c r="W22" s="159"/>
      <c r="X22" s="165">
        <f t="shared" si="2"/>
        <v>0</v>
      </c>
      <c r="Y22" s="601">
        <f t="shared" si="3"/>
        <v>3723.5739999999996</v>
      </c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70"/>
    </row>
    <row r="23" spans="1:40" ht="30" hidden="1" customHeight="1" x14ac:dyDescent="0.25">
      <c r="A23" s="82"/>
      <c r="B23" s="141"/>
      <c r="C23" s="28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>
        <f t="shared" si="1"/>
        <v>0</v>
      </c>
      <c r="S23" s="159"/>
      <c r="T23" s="159"/>
      <c r="U23" s="159"/>
      <c r="V23" s="165"/>
      <c r="W23" s="159"/>
      <c r="X23" s="165">
        <f t="shared" si="2"/>
        <v>0</v>
      </c>
      <c r="Y23" s="601">
        <f t="shared" si="3"/>
        <v>0</v>
      </c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70"/>
    </row>
    <row r="24" spans="1:40" ht="30" hidden="1" customHeight="1" x14ac:dyDescent="0.25">
      <c r="A24" s="82"/>
      <c r="B24" s="141"/>
      <c r="C24" s="28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>
        <f t="shared" si="1"/>
        <v>0</v>
      </c>
      <c r="S24" s="159"/>
      <c r="T24" s="159"/>
      <c r="U24" s="159"/>
      <c r="V24" s="165"/>
      <c r="W24" s="159"/>
      <c r="X24" s="165">
        <f t="shared" si="2"/>
        <v>0</v>
      </c>
      <c r="Y24" s="601">
        <f t="shared" si="3"/>
        <v>0</v>
      </c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70"/>
    </row>
    <row r="25" spans="1:40" ht="30" hidden="1" customHeight="1" x14ac:dyDescent="0.25">
      <c r="A25" s="82"/>
      <c r="B25" s="141"/>
      <c r="C25" s="28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>
        <f t="shared" si="1"/>
        <v>0</v>
      </c>
      <c r="S25" s="159"/>
      <c r="T25" s="159"/>
      <c r="U25" s="159"/>
      <c r="V25" s="165"/>
      <c r="W25" s="159"/>
      <c r="X25" s="165">
        <f t="shared" si="2"/>
        <v>0</v>
      </c>
      <c r="Y25" s="601">
        <f t="shared" si="3"/>
        <v>0</v>
      </c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70"/>
    </row>
    <row r="26" spans="1:40" ht="30" hidden="1" customHeight="1" x14ac:dyDescent="0.25">
      <c r="A26" s="82"/>
      <c r="B26" s="141"/>
      <c r="C26" s="28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>
        <f t="shared" si="1"/>
        <v>0</v>
      </c>
      <c r="S26" s="159"/>
      <c r="T26" s="159"/>
      <c r="U26" s="159"/>
      <c r="V26" s="165"/>
      <c r="W26" s="159"/>
      <c r="X26" s="165">
        <f t="shared" si="2"/>
        <v>0</v>
      </c>
      <c r="Y26" s="601">
        <f t="shared" si="3"/>
        <v>0</v>
      </c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70"/>
    </row>
    <row r="27" spans="1:40" ht="30" hidden="1" customHeight="1" x14ac:dyDescent="0.25">
      <c r="A27" s="82"/>
      <c r="B27" s="141"/>
      <c r="C27" s="28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>
        <f t="shared" si="1"/>
        <v>0</v>
      </c>
      <c r="S27" s="159"/>
      <c r="T27" s="159"/>
      <c r="U27" s="159"/>
      <c r="V27" s="165"/>
      <c r="W27" s="159"/>
      <c r="X27" s="165">
        <f t="shared" si="2"/>
        <v>0</v>
      </c>
      <c r="Y27" s="601">
        <f t="shared" si="3"/>
        <v>0</v>
      </c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70"/>
    </row>
    <row r="28" spans="1:40" ht="30" hidden="1" customHeight="1" x14ac:dyDescent="0.25">
      <c r="A28" s="630">
        <v>4</v>
      </c>
      <c r="B28" s="599" t="s">
        <v>355</v>
      </c>
      <c r="C28" s="448" t="s">
        <v>219</v>
      </c>
      <c r="D28" s="159">
        <f>818.431</f>
        <v>818.43100000000004</v>
      </c>
      <c r="E28" s="159">
        <f>220.976</f>
        <v>220.976</v>
      </c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>
        <f t="shared" si="1"/>
        <v>1039.4070000000002</v>
      </c>
      <c r="S28" s="159"/>
      <c r="T28" s="159"/>
      <c r="U28" s="159"/>
      <c r="V28" s="165"/>
      <c r="W28" s="159"/>
      <c r="X28" s="165">
        <f t="shared" si="2"/>
        <v>0</v>
      </c>
      <c r="Y28" s="601">
        <f t="shared" si="3"/>
        <v>1039.4070000000002</v>
      </c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70"/>
    </row>
    <row r="29" spans="1:40" ht="30" hidden="1" customHeight="1" x14ac:dyDescent="0.25">
      <c r="A29" s="82"/>
      <c r="B29" s="141"/>
      <c r="C29" s="28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>
        <f t="shared" si="1"/>
        <v>0</v>
      </c>
      <c r="S29" s="159"/>
      <c r="T29" s="159"/>
      <c r="U29" s="159"/>
      <c r="V29" s="165"/>
      <c r="W29" s="159"/>
      <c r="X29" s="165">
        <f t="shared" si="2"/>
        <v>0</v>
      </c>
      <c r="Y29" s="601">
        <f t="shared" si="3"/>
        <v>0</v>
      </c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70"/>
    </row>
    <row r="30" spans="1:40" ht="9.9499999999999993" hidden="1" customHeight="1" x14ac:dyDescent="0.25">
      <c r="A30" s="82"/>
      <c r="B30" s="141"/>
      <c r="C30" s="28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65"/>
      <c r="W30" s="159"/>
      <c r="X30" s="165"/>
      <c r="Y30" s="601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70"/>
    </row>
    <row r="31" spans="1:40" ht="30" hidden="1" customHeight="1" x14ac:dyDescent="0.25">
      <c r="A31" s="216" t="s">
        <v>88</v>
      </c>
      <c r="B31" s="212"/>
      <c r="C31" s="217" t="s">
        <v>86</v>
      </c>
      <c r="D31" s="159">
        <f t="shared" ref="D31:I31" si="4">SUM(D19:D29)</f>
        <v>4738.1049999999996</v>
      </c>
      <c r="E31" s="159">
        <f t="shared" si="4"/>
        <v>1125.712</v>
      </c>
      <c r="F31" s="159">
        <f t="shared" si="4"/>
        <v>-14</v>
      </c>
      <c r="G31" s="159">
        <f t="shared" si="4"/>
        <v>0</v>
      </c>
      <c r="H31" s="159">
        <f t="shared" si="4"/>
        <v>0</v>
      </c>
      <c r="I31" s="159">
        <f t="shared" si="4"/>
        <v>0</v>
      </c>
      <c r="J31" s="159"/>
      <c r="K31" s="159">
        <f t="shared" ref="K31:Q31" si="5">SUM(K19:K29)</f>
        <v>0</v>
      </c>
      <c r="L31" s="159">
        <f t="shared" si="5"/>
        <v>0</v>
      </c>
      <c r="M31" s="159">
        <f t="shared" si="5"/>
        <v>0</v>
      </c>
      <c r="N31" s="159">
        <f t="shared" si="5"/>
        <v>0</v>
      </c>
      <c r="O31" s="159">
        <f t="shared" si="5"/>
        <v>0</v>
      </c>
      <c r="P31" s="159">
        <f t="shared" si="5"/>
        <v>0</v>
      </c>
      <c r="Q31" s="159">
        <f t="shared" si="5"/>
        <v>0</v>
      </c>
      <c r="R31" s="159">
        <f t="shared" si="1"/>
        <v>5849.8169999999991</v>
      </c>
      <c r="S31" s="159"/>
      <c r="T31" s="159">
        <f>SUM(T19:T29)</f>
        <v>0</v>
      </c>
      <c r="U31" s="159">
        <f>SUM(U19:U29)</f>
        <v>0</v>
      </c>
      <c r="V31" s="165">
        <f>SUM(V19:V29)</f>
        <v>0</v>
      </c>
      <c r="W31" s="159">
        <f>SUM(W19:W29)</f>
        <v>0</v>
      </c>
      <c r="X31" s="165">
        <f t="shared" si="2"/>
        <v>0</v>
      </c>
      <c r="Y31" s="602">
        <f t="shared" si="3"/>
        <v>5849.8169999999991</v>
      </c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70"/>
    </row>
    <row r="32" spans="1:40" ht="30" hidden="1" customHeight="1" x14ac:dyDescent="0.25">
      <c r="A32" s="82"/>
      <c r="B32" s="141"/>
      <c r="C32" s="28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65"/>
      <c r="W32" s="159"/>
      <c r="X32" s="165"/>
      <c r="Y32" s="601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</row>
    <row r="33" spans="1:40" ht="30" hidden="1" customHeight="1" x14ac:dyDescent="0.25">
      <c r="A33" s="82">
        <v>5</v>
      </c>
      <c r="B33" s="141" t="s">
        <v>271</v>
      </c>
      <c r="C33" s="28" t="s">
        <v>272</v>
      </c>
      <c r="D33" s="159"/>
      <c r="E33" s="159"/>
      <c r="F33" s="159">
        <f>-80-22</f>
        <v>-102</v>
      </c>
      <c r="G33" s="159"/>
      <c r="H33" s="159"/>
      <c r="I33" s="159"/>
      <c r="J33" s="159"/>
      <c r="K33" s="159"/>
      <c r="L33" s="159">
        <f>80+22</f>
        <v>102</v>
      </c>
      <c r="M33" s="159"/>
      <c r="N33" s="159"/>
      <c r="O33" s="159"/>
      <c r="P33" s="159"/>
      <c r="Q33" s="159"/>
      <c r="R33" s="159">
        <f t="shared" si="1"/>
        <v>0</v>
      </c>
      <c r="S33" s="159"/>
      <c r="T33" s="159"/>
      <c r="U33" s="159"/>
      <c r="V33" s="165"/>
      <c r="W33" s="159"/>
      <c r="X33" s="165">
        <f t="shared" si="2"/>
        <v>0</v>
      </c>
      <c r="Y33" s="601">
        <f t="shared" si="3"/>
        <v>0</v>
      </c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70"/>
    </row>
    <row r="34" spans="1:40" ht="30" hidden="1" customHeight="1" x14ac:dyDescent="0.25">
      <c r="A34" s="82">
        <v>6</v>
      </c>
      <c r="B34" s="603" t="s">
        <v>273</v>
      </c>
      <c r="C34" s="41" t="s">
        <v>274</v>
      </c>
      <c r="D34" s="159"/>
      <c r="E34" s="159"/>
      <c r="F34" s="159">
        <f>2625+709</f>
        <v>3334</v>
      </c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>
        <f t="shared" si="1"/>
        <v>3334</v>
      </c>
      <c r="S34" s="159"/>
      <c r="T34" s="159"/>
      <c r="U34" s="159"/>
      <c r="V34" s="165"/>
      <c r="W34" s="159"/>
      <c r="X34" s="165">
        <f t="shared" si="2"/>
        <v>0</v>
      </c>
      <c r="Y34" s="601">
        <f t="shared" si="3"/>
        <v>3334</v>
      </c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70"/>
    </row>
    <row r="35" spans="1:40" ht="30" hidden="1" customHeight="1" x14ac:dyDescent="0.25">
      <c r="A35" s="227">
        <v>7</v>
      </c>
      <c r="B35" s="603" t="s">
        <v>275</v>
      </c>
      <c r="C35" s="41" t="s">
        <v>276</v>
      </c>
      <c r="D35" s="159">
        <f>3073</f>
        <v>3073</v>
      </c>
      <c r="E35" s="159">
        <f>414.87</f>
        <v>414.87</v>
      </c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>
        <f t="shared" si="1"/>
        <v>3487.87</v>
      </c>
      <c r="S35" s="159"/>
      <c r="T35" s="159"/>
      <c r="U35" s="159"/>
      <c r="V35" s="165"/>
      <c r="W35" s="159"/>
      <c r="X35" s="165">
        <f t="shared" si="2"/>
        <v>0</v>
      </c>
      <c r="Y35" s="601">
        <f t="shared" si="3"/>
        <v>3487.87</v>
      </c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</row>
    <row r="36" spans="1:40" ht="30" hidden="1" customHeight="1" x14ac:dyDescent="0.25">
      <c r="A36" s="82">
        <v>7</v>
      </c>
      <c r="B36" s="603"/>
      <c r="C36" s="41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>
        <f t="shared" si="1"/>
        <v>0</v>
      </c>
      <c r="S36" s="159"/>
      <c r="T36" s="159"/>
      <c r="U36" s="159"/>
      <c r="V36" s="165"/>
      <c r="W36" s="159"/>
      <c r="X36" s="165">
        <f t="shared" si="2"/>
        <v>0</v>
      </c>
      <c r="Y36" s="601">
        <f t="shared" si="3"/>
        <v>0</v>
      </c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70"/>
    </row>
    <row r="37" spans="1:40" ht="30" hidden="1" customHeight="1" x14ac:dyDescent="0.25">
      <c r="A37" s="660">
        <v>8</v>
      </c>
      <c r="B37" s="603"/>
      <c r="C37" s="41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>
        <f t="shared" si="1"/>
        <v>0</v>
      </c>
      <c r="S37" s="159"/>
      <c r="T37" s="159"/>
      <c r="U37" s="159"/>
      <c r="V37" s="165"/>
      <c r="W37" s="159"/>
      <c r="X37" s="165">
        <f t="shared" si="2"/>
        <v>0</v>
      </c>
      <c r="Y37" s="601">
        <f t="shared" si="3"/>
        <v>0</v>
      </c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70"/>
    </row>
    <row r="38" spans="1:40" ht="30" hidden="1" customHeight="1" x14ac:dyDescent="0.25">
      <c r="A38" s="82">
        <v>9</v>
      </c>
      <c r="B38" s="603"/>
      <c r="C38" s="41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>
        <f t="shared" si="1"/>
        <v>0</v>
      </c>
      <c r="S38" s="159"/>
      <c r="T38" s="159"/>
      <c r="U38" s="159"/>
      <c r="V38" s="165"/>
      <c r="W38" s="159"/>
      <c r="X38" s="165">
        <f t="shared" si="2"/>
        <v>0</v>
      </c>
      <c r="Y38" s="601">
        <f t="shared" si="3"/>
        <v>0</v>
      </c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70"/>
    </row>
    <row r="39" spans="1:40" ht="30" hidden="1" customHeight="1" x14ac:dyDescent="0.25">
      <c r="A39" s="660">
        <v>10</v>
      </c>
      <c r="B39" s="603"/>
      <c r="C39" s="41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>
        <f t="shared" si="1"/>
        <v>0</v>
      </c>
      <c r="S39" s="159"/>
      <c r="T39" s="159"/>
      <c r="U39" s="159"/>
      <c r="V39" s="165"/>
      <c r="W39" s="159"/>
      <c r="X39" s="165">
        <f t="shared" si="2"/>
        <v>0</v>
      </c>
      <c r="Y39" s="601">
        <f t="shared" si="3"/>
        <v>0</v>
      </c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70"/>
    </row>
    <row r="40" spans="1:40" ht="30" hidden="1" customHeight="1" x14ac:dyDescent="0.25">
      <c r="A40" s="662">
        <v>8</v>
      </c>
      <c r="B40" s="663" t="s">
        <v>345</v>
      </c>
      <c r="C40" s="41" t="s">
        <v>274</v>
      </c>
      <c r="D40" s="159"/>
      <c r="E40" s="159"/>
      <c r="F40" s="159">
        <f>13</f>
        <v>13</v>
      </c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>
        <f t="shared" si="1"/>
        <v>13</v>
      </c>
      <c r="S40" s="159"/>
      <c r="T40" s="159"/>
      <c r="U40" s="159"/>
      <c r="V40" s="165"/>
      <c r="W40" s="159"/>
      <c r="X40" s="165">
        <f t="shared" si="2"/>
        <v>0</v>
      </c>
      <c r="Y40" s="601">
        <f t="shared" si="3"/>
        <v>13</v>
      </c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70"/>
    </row>
    <row r="41" spans="1:40" ht="30" hidden="1" customHeight="1" x14ac:dyDescent="0.25">
      <c r="A41" s="82">
        <v>9</v>
      </c>
      <c r="B41" s="141" t="s">
        <v>356</v>
      </c>
      <c r="C41" s="28" t="s">
        <v>357</v>
      </c>
      <c r="D41" s="159"/>
      <c r="E41" s="159"/>
      <c r="F41" s="159">
        <f>39+10</f>
        <v>49</v>
      </c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>
        <f t="shared" si="1"/>
        <v>49</v>
      </c>
      <c r="S41" s="159"/>
      <c r="T41" s="159"/>
      <c r="U41" s="159"/>
      <c r="V41" s="165"/>
      <c r="W41" s="159"/>
      <c r="X41" s="165">
        <f t="shared" si="2"/>
        <v>0</v>
      </c>
      <c r="Y41" s="601">
        <f t="shared" si="3"/>
        <v>49</v>
      </c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70"/>
    </row>
    <row r="42" spans="1:40" ht="30" hidden="1" customHeight="1" x14ac:dyDescent="0.25">
      <c r="A42" s="82">
        <v>10</v>
      </c>
      <c r="B42" s="141" t="s">
        <v>372</v>
      </c>
      <c r="C42" s="28" t="s">
        <v>373</v>
      </c>
      <c r="D42" s="159"/>
      <c r="E42" s="159"/>
      <c r="F42" s="159">
        <f>-300-81</f>
        <v>-381</v>
      </c>
      <c r="G42" s="159"/>
      <c r="H42" s="159"/>
      <c r="I42" s="159"/>
      <c r="J42" s="159"/>
      <c r="K42" s="159"/>
      <c r="L42" s="159">
        <f>300+81</f>
        <v>381</v>
      </c>
      <c r="M42" s="159"/>
      <c r="N42" s="159"/>
      <c r="O42" s="159"/>
      <c r="P42" s="159"/>
      <c r="Q42" s="159"/>
      <c r="R42" s="159">
        <f t="shared" si="1"/>
        <v>0</v>
      </c>
      <c r="S42" s="159"/>
      <c r="T42" s="159"/>
      <c r="U42" s="159"/>
      <c r="V42" s="165"/>
      <c r="W42" s="159"/>
      <c r="X42" s="165">
        <f t="shared" si="2"/>
        <v>0</v>
      </c>
      <c r="Y42" s="601">
        <f t="shared" si="3"/>
        <v>0</v>
      </c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70"/>
    </row>
    <row r="43" spans="1:40" ht="30" hidden="1" customHeight="1" x14ac:dyDescent="0.25">
      <c r="A43" s="630">
        <v>11</v>
      </c>
      <c r="B43" s="599" t="s">
        <v>374</v>
      </c>
      <c r="C43" s="28" t="s">
        <v>276</v>
      </c>
      <c r="D43" s="159">
        <f>1854</f>
        <v>1854</v>
      </c>
      <c r="E43" s="159">
        <f>250.987</f>
        <v>250.98699999999999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>
        <f t="shared" si="1"/>
        <v>2104.9870000000001</v>
      </c>
      <c r="S43" s="159"/>
      <c r="T43" s="159"/>
      <c r="U43" s="159"/>
      <c r="V43" s="165"/>
      <c r="W43" s="159"/>
      <c r="X43" s="165">
        <f t="shared" si="2"/>
        <v>0</v>
      </c>
      <c r="Y43" s="601">
        <f t="shared" si="3"/>
        <v>2104.9870000000001</v>
      </c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70"/>
    </row>
    <row r="44" spans="1:40" ht="30" hidden="1" customHeight="1" x14ac:dyDescent="0.25">
      <c r="A44" s="82"/>
      <c r="B44" s="141"/>
      <c r="C44" s="28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65"/>
      <c r="W44" s="159"/>
      <c r="X44" s="165"/>
      <c r="Y44" s="601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70"/>
    </row>
    <row r="45" spans="1:40" ht="30" hidden="1" customHeight="1" x14ac:dyDescent="0.25">
      <c r="A45" s="216" t="s">
        <v>89</v>
      </c>
      <c r="B45" s="212"/>
      <c r="C45" s="217" t="s">
        <v>87</v>
      </c>
      <c r="D45" s="159">
        <f t="shared" ref="D45:Q45" si="6">SUM(D33:D43)</f>
        <v>4927</v>
      </c>
      <c r="E45" s="159">
        <f t="shared" si="6"/>
        <v>665.85699999999997</v>
      </c>
      <c r="F45" s="159">
        <f t="shared" si="6"/>
        <v>2913</v>
      </c>
      <c r="G45" s="159">
        <f t="shared" si="6"/>
        <v>0</v>
      </c>
      <c r="H45" s="159">
        <f t="shared" si="6"/>
        <v>0</v>
      </c>
      <c r="I45" s="159">
        <f t="shared" si="6"/>
        <v>0</v>
      </c>
      <c r="J45" s="159">
        <f t="shared" si="6"/>
        <v>0</v>
      </c>
      <c r="K45" s="159">
        <f t="shared" si="6"/>
        <v>0</v>
      </c>
      <c r="L45" s="159">
        <f t="shared" si="6"/>
        <v>483</v>
      </c>
      <c r="M45" s="159">
        <f t="shared" si="6"/>
        <v>0</v>
      </c>
      <c r="N45" s="159">
        <f t="shared" si="6"/>
        <v>0</v>
      </c>
      <c r="O45" s="159">
        <f t="shared" si="6"/>
        <v>0</v>
      </c>
      <c r="P45" s="159">
        <f t="shared" si="6"/>
        <v>0</v>
      </c>
      <c r="Q45" s="159">
        <f t="shared" si="6"/>
        <v>0</v>
      </c>
      <c r="R45" s="159">
        <f t="shared" si="1"/>
        <v>8988.857</v>
      </c>
      <c r="S45" s="159"/>
      <c r="T45" s="159">
        <f>SUM(T33:T43)</f>
        <v>0</v>
      </c>
      <c r="U45" s="159">
        <f>SUM(U33:U43)</f>
        <v>0</v>
      </c>
      <c r="V45" s="159">
        <f>SUM(V33:V43)</f>
        <v>0</v>
      </c>
      <c r="W45" s="159">
        <f>SUM(W33:W43)</f>
        <v>0</v>
      </c>
      <c r="X45" s="165">
        <f t="shared" si="2"/>
        <v>0</v>
      </c>
      <c r="Y45" s="602">
        <f t="shared" si="3"/>
        <v>8988.857</v>
      </c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70"/>
    </row>
    <row r="46" spans="1:40" ht="30" hidden="1" customHeight="1" x14ac:dyDescent="0.25">
      <c r="A46" s="82"/>
      <c r="B46" s="141"/>
      <c r="C46" s="28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3"/>
      <c r="W46" s="72"/>
      <c r="X46" s="73"/>
      <c r="Y46" s="83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70"/>
    </row>
    <row r="47" spans="1:40" ht="17.25" hidden="1" thickBot="1" x14ac:dyDescent="0.25">
      <c r="A47" s="82"/>
      <c r="B47" s="129"/>
      <c r="C47" s="163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3"/>
      <c r="W47" s="72"/>
      <c r="X47" s="73"/>
      <c r="Y47" s="83"/>
    </row>
    <row r="48" spans="1:40" ht="30" hidden="1" customHeight="1" thickTop="1" thickBot="1" x14ac:dyDescent="0.25">
      <c r="A48" s="138"/>
      <c r="B48" s="90"/>
      <c r="C48" s="44" t="s">
        <v>90</v>
      </c>
      <c r="D48" s="86">
        <f t="shared" ref="D48:W48" si="7">D31+D45</f>
        <v>9665.1049999999996</v>
      </c>
      <c r="E48" s="86">
        <f t="shared" si="7"/>
        <v>1791.569</v>
      </c>
      <c r="F48" s="86">
        <f t="shared" si="7"/>
        <v>2899</v>
      </c>
      <c r="G48" s="86">
        <f t="shared" si="7"/>
        <v>0</v>
      </c>
      <c r="H48" s="86">
        <f t="shared" si="7"/>
        <v>0</v>
      </c>
      <c r="I48" s="86">
        <f t="shared" si="7"/>
        <v>0</v>
      </c>
      <c r="J48" s="86">
        <f t="shared" si="7"/>
        <v>0</v>
      </c>
      <c r="K48" s="86">
        <f t="shared" si="7"/>
        <v>0</v>
      </c>
      <c r="L48" s="86">
        <f t="shared" si="7"/>
        <v>483</v>
      </c>
      <c r="M48" s="86">
        <f t="shared" si="7"/>
        <v>0</v>
      </c>
      <c r="N48" s="86">
        <f t="shared" si="7"/>
        <v>0</v>
      </c>
      <c r="O48" s="86">
        <f t="shared" si="7"/>
        <v>0</v>
      </c>
      <c r="P48" s="86">
        <f t="shared" si="7"/>
        <v>0</v>
      </c>
      <c r="Q48" s="86">
        <f t="shared" si="7"/>
        <v>0</v>
      </c>
      <c r="R48" s="86">
        <f t="shared" si="1"/>
        <v>14838.673999999999</v>
      </c>
      <c r="S48" s="86"/>
      <c r="T48" s="86">
        <f t="shared" si="7"/>
        <v>0</v>
      </c>
      <c r="U48" s="86">
        <f t="shared" si="7"/>
        <v>0</v>
      </c>
      <c r="V48" s="87">
        <f t="shared" si="7"/>
        <v>0</v>
      </c>
      <c r="W48" s="86">
        <f t="shared" si="7"/>
        <v>0</v>
      </c>
      <c r="X48" s="86">
        <f t="shared" si="2"/>
        <v>0</v>
      </c>
      <c r="Y48" s="80">
        <f t="shared" si="3"/>
        <v>14838.673999999999</v>
      </c>
    </row>
    <row r="49" spans="1:72" ht="9.9499999999999993" hidden="1" customHeight="1" thickTop="1" x14ac:dyDescent="0.2">
      <c r="A49" s="634"/>
      <c r="B49" s="193"/>
      <c r="C49" s="194"/>
      <c r="D49" s="649"/>
      <c r="E49" s="649"/>
      <c r="F49" s="649"/>
      <c r="G49" s="649"/>
      <c r="H49" s="649"/>
      <c r="I49" s="649"/>
      <c r="J49" s="649"/>
      <c r="K49" s="649"/>
      <c r="L49" s="649"/>
      <c r="M49" s="649"/>
      <c r="N49" s="649"/>
      <c r="O49" s="649"/>
      <c r="P49" s="649"/>
      <c r="Q49" s="649"/>
      <c r="R49" s="649"/>
      <c r="S49" s="649"/>
      <c r="T49" s="649"/>
      <c r="U49" s="649"/>
      <c r="V49" s="566"/>
      <c r="W49" s="649"/>
      <c r="X49" s="566"/>
      <c r="Y49" s="650"/>
    </row>
    <row r="50" spans="1:72" ht="30" hidden="1" customHeight="1" x14ac:dyDescent="0.2">
      <c r="A50" s="651"/>
      <c r="B50" s="30" t="s">
        <v>270</v>
      </c>
      <c r="C50" s="652" t="s">
        <v>269</v>
      </c>
      <c r="D50" s="653"/>
      <c r="E50" s="653"/>
      <c r="F50" s="653"/>
      <c r="G50" s="653"/>
      <c r="H50" s="653"/>
      <c r="I50" s="653"/>
      <c r="J50" s="653"/>
      <c r="K50" s="653"/>
      <c r="L50" s="653">
        <f>-15000-5000-5400</f>
        <v>-25400</v>
      </c>
      <c r="M50" s="653"/>
      <c r="N50" s="653"/>
      <c r="O50" s="653"/>
      <c r="P50" s="653"/>
      <c r="Q50" s="653"/>
      <c r="R50" s="653">
        <f>SUM(D50:Q50)</f>
        <v>-25400</v>
      </c>
      <c r="S50" s="653"/>
      <c r="T50" s="653"/>
      <c r="U50" s="653"/>
      <c r="V50" s="654"/>
      <c r="W50" s="653"/>
      <c r="X50" s="654">
        <f>SUM(T50:W50)</f>
        <v>0</v>
      </c>
      <c r="Y50" s="655">
        <f>R50+X50</f>
        <v>-25400</v>
      </c>
    </row>
    <row r="51" spans="1:72" ht="9.9499999999999993" hidden="1" customHeight="1" thickBot="1" x14ac:dyDescent="0.25">
      <c r="A51" s="645"/>
      <c r="B51" s="202"/>
      <c r="C51" s="203"/>
      <c r="D51" s="656"/>
      <c r="E51" s="656"/>
      <c r="F51" s="656"/>
      <c r="G51" s="656"/>
      <c r="H51" s="656"/>
      <c r="I51" s="656"/>
      <c r="J51" s="656"/>
      <c r="K51" s="656"/>
      <c r="L51" s="656"/>
      <c r="M51" s="656"/>
      <c r="N51" s="656"/>
      <c r="O51" s="656"/>
      <c r="P51" s="656"/>
      <c r="Q51" s="656"/>
      <c r="R51" s="656"/>
      <c r="S51" s="656"/>
      <c r="T51" s="656"/>
      <c r="U51" s="656"/>
      <c r="V51" s="657"/>
      <c r="W51" s="656"/>
      <c r="X51" s="657"/>
      <c r="Y51" s="658"/>
    </row>
    <row r="52" spans="1:72" ht="30" hidden="1" customHeight="1" thickTop="1" thickBot="1" x14ac:dyDescent="0.25">
      <c r="A52" s="138"/>
      <c r="B52" s="90"/>
      <c r="C52" s="44" t="s">
        <v>157</v>
      </c>
      <c r="D52" s="131">
        <f t="shared" ref="D52:K52" si="8">D18+D48</f>
        <v>1453506.105</v>
      </c>
      <c r="E52" s="131">
        <f t="shared" si="8"/>
        <v>432535.56900000002</v>
      </c>
      <c r="F52" s="131">
        <f t="shared" si="8"/>
        <v>505908</v>
      </c>
      <c r="G52" s="131">
        <f t="shared" si="8"/>
        <v>698</v>
      </c>
      <c r="H52" s="131">
        <f t="shared" si="8"/>
        <v>0</v>
      </c>
      <c r="I52" s="131">
        <f t="shared" si="8"/>
        <v>0</v>
      </c>
      <c r="J52" s="131">
        <f t="shared" si="8"/>
        <v>0</v>
      </c>
      <c r="K52" s="131">
        <f t="shared" si="8"/>
        <v>0</v>
      </c>
      <c r="L52" s="131">
        <f>L18+L48+L50</f>
        <v>177342</v>
      </c>
      <c r="M52" s="131">
        <f>M18+M48</f>
        <v>17550</v>
      </c>
      <c r="N52" s="131">
        <f>N18+N48</f>
        <v>0</v>
      </c>
      <c r="O52" s="131">
        <f>O18+O48</f>
        <v>5000</v>
      </c>
      <c r="P52" s="131">
        <f>P18+P48</f>
        <v>0</v>
      </c>
      <c r="Q52" s="131">
        <f>Q18+Q48</f>
        <v>0</v>
      </c>
      <c r="R52" s="131">
        <f>SUM(D52:Q52)</f>
        <v>2592539.6740000001</v>
      </c>
      <c r="S52" s="131"/>
      <c r="T52" s="131">
        <f>T18+T48</f>
        <v>0</v>
      </c>
      <c r="U52" s="131">
        <f>U18+U48</f>
        <v>0</v>
      </c>
      <c r="V52" s="357">
        <f>V18+V48</f>
        <v>0</v>
      </c>
      <c r="W52" s="131">
        <f>W18+W48</f>
        <v>0</v>
      </c>
      <c r="X52" s="357">
        <f t="shared" si="2"/>
        <v>0</v>
      </c>
      <c r="Y52" s="161">
        <f>R52+X52+Y50</f>
        <v>2567139.6740000001</v>
      </c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</row>
    <row r="53" spans="1:72" ht="17.25" hidden="1" thickTop="1" x14ac:dyDescent="0.2">
      <c r="A53" s="26"/>
      <c r="B53" s="139" t="s">
        <v>65</v>
      </c>
      <c r="C53" s="94" t="s">
        <v>149</v>
      </c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>
        <f t="shared" si="1"/>
        <v>0</v>
      </c>
      <c r="S53" s="95"/>
      <c r="T53" s="95"/>
      <c r="U53" s="95"/>
      <c r="V53" s="99"/>
      <c r="W53" s="95"/>
      <c r="X53" s="99">
        <f t="shared" si="2"/>
        <v>0</v>
      </c>
      <c r="Y53" s="104">
        <f t="shared" si="3"/>
        <v>0</v>
      </c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</row>
    <row r="54" spans="1:72" hidden="1" x14ac:dyDescent="0.2">
      <c r="A54" s="26"/>
      <c r="B54" s="74" t="s">
        <v>69</v>
      </c>
      <c r="C54" s="96" t="s">
        <v>149</v>
      </c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>
        <f t="shared" si="1"/>
        <v>0</v>
      </c>
      <c r="S54" s="97"/>
      <c r="T54" s="97"/>
      <c r="U54" s="97"/>
      <c r="V54" s="100"/>
      <c r="W54" s="97"/>
      <c r="X54" s="100">
        <f t="shared" si="2"/>
        <v>0</v>
      </c>
      <c r="Y54" s="105">
        <f t="shared" si="3"/>
        <v>0</v>
      </c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</row>
    <row r="55" spans="1:72" hidden="1" x14ac:dyDescent="0.2">
      <c r="A55" s="26"/>
      <c r="B55" s="74" t="s">
        <v>83</v>
      </c>
      <c r="C55" s="96" t="s">
        <v>149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>
        <f t="shared" si="1"/>
        <v>0</v>
      </c>
      <c r="S55" s="97"/>
      <c r="T55" s="97"/>
      <c r="U55" s="97"/>
      <c r="V55" s="100"/>
      <c r="W55" s="97"/>
      <c r="X55" s="100">
        <f t="shared" si="2"/>
        <v>0</v>
      </c>
      <c r="Y55" s="105">
        <f t="shared" si="3"/>
        <v>0</v>
      </c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</row>
    <row r="56" spans="1:72" ht="16.5" hidden="1" customHeight="1" x14ac:dyDescent="0.2">
      <c r="A56" s="26"/>
      <c r="B56" s="74" t="s">
        <v>84</v>
      </c>
      <c r="C56" s="96" t="s">
        <v>149</v>
      </c>
      <c r="D56" s="97"/>
      <c r="E56" s="97"/>
      <c r="F56" s="97">
        <f>3000</f>
        <v>3000</v>
      </c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>
        <f t="shared" si="1"/>
        <v>3000</v>
      </c>
      <c r="S56" s="97"/>
      <c r="T56" s="97"/>
      <c r="U56" s="97"/>
      <c r="V56" s="100"/>
      <c r="W56" s="97"/>
      <c r="X56" s="100">
        <f t="shared" si="2"/>
        <v>0</v>
      </c>
      <c r="Y56" s="105">
        <f t="shared" si="3"/>
        <v>3000</v>
      </c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</row>
    <row r="57" spans="1:72" hidden="1" x14ac:dyDescent="0.2">
      <c r="A57" s="26"/>
      <c r="B57" s="74" t="s">
        <v>51</v>
      </c>
      <c r="C57" s="96" t="s">
        <v>149</v>
      </c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>
        <f t="shared" si="1"/>
        <v>0</v>
      </c>
      <c r="S57" s="97"/>
      <c r="T57" s="97"/>
      <c r="U57" s="97"/>
      <c r="V57" s="100"/>
      <c r="W57" s="97"/>
      <c r="X57" s="100">
        <f t="shared" si="2"/>
        <v>0</v>
      </c>
      <c r="Y57" s="105">
        <f t="shared" si="3"/>
        <v>0</v>
      </c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</row>
    <row r="58" spans="1:72" hidden="1" x14ac:dyDescent="0.2">
      <c r="A58" s="26"/>
      <c r="B58" s="74" t="s">
        <v>52</v>
      </c>
      <c r="C58" s="96" t="s">
        <v>149</v>
      </c>
      <c r="D58" s="97">
        <v>29560</v>
      </c>
      <c r="E58" s="97">
        <v>22660</v>
      </c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>
        <f t="shared" si="1"/>
        <v>52220</v>
      </c>
      <c r="S58" s="97"/>
      <c r="T58" s="97"/>
      <c r="U58" s="97"/>
      <c r="V58" s="100"/>
      <c r="W58" s="97"/>
      <c r="X58" s="100">
        <f t="shared" si="2"/>
        <v>0</v>
      </c>
      <c r="Y58" s="105">
        <f t="shared" si="3"/>
        <v>52220</v>
      </c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</row>
    <row r="59" spans="1:72" hidden="1" x14ac:dyDescent="0.2">
      <c r="A59" s="26"/>
      <c r="B59" s="74" t="s">
        <v>66</v>
      </c>
      <c r="C59" s="96" t="s">
        <v>149</v>
      </c>
      <c r="D59" s="97"/>
      <c r="E59" s="97">
        <v>1404</v>
      </c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>
        <f t="shared" si="1"/>
        <v>1404</v>
      </c>
      <c r="S59" s="97"/>
      <c r="T59" s="97"/>
      <c r="U59" s="97"/>
      <c r="V59" s="100"/>
      <c r="W59" s="97"/>
      <c r="X59" s="100">
        <f t="shared" si="2"/>
        <v>0</v>
      </c>
      <c r="Y59" s="105">
        <f t="shared" si="3"/>
        <v>1404</v>
      </c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</row>
    <row r="60" spans="1:72" hidden="1" x14ac:dyDescent="0.2">
      <c r="A60" s="26"/>
      <c r="B60" s="74" t="s">
        <v>55</v>
      </c>
      <c r="C60" s="96" t="s">
        <v>149</v>
      </c>
      <c r="D60" s="97"/>
      <c r="E60" s="97"/>
      <c r="F60" s="97"/>
      <c r="G60" s="97"/>
      <c r="H60" s="97"/>
      <c r="I60" s="97"/>
      <c r="J60" s="97"/>
      <c r="K60" s="97"/>
      <c r="L60" s="97">
        <f>398+107</f>
        <v>505</v>
      </c>
      <c r="M60" s="97"/>
      <c r="N60" s="97"/>
      <c r="O60" s="97"/>
      <c r="P60" s="97"/>
      <c r="Q60" s="97"/>
      <c r="R60" s="97">
        <f t="shared" si="1"/>
        <v>505</v>
      </c>
      <c r="S60" s="97"/>
      <c r="T60" s="97"/>
      <c r="U60" s="97"/>
      <c r="V60" s="100"/>
      <c r="W60" s="97"/>
      <c r="X60" s="100">
        <f t="shared" si="2"/>
        <v>0</v>
      </c>
      <c r="Y60" s="105">
        <f t="shared" si="3"/>
        <v>505</v>
      </c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</row>
    <row r="61" spans="1:72" hidden="1" x14ac:dyDescent="0.2">
      <c r="A61" s="26"/>
      <c r="B61" s="74" t="s">
        <v>58</v>
      </c>
      <c r="C61" s="96" t="s">
        <v>149</v>
      </c>
      <c r="D61" s="97">
        <v>1511</v>
      </c>
      <c r="E61" s="97">
        <v>1315</v>
      </c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>
        <f t="shared" si="1"/>
        <v>2826</v>
      </c>
      <c r="S61" s="97"/>
      <c r="T61" s="97"/>
      <c r="U61" s="97"/>
      <c r="V61" s="100"/>
      <c r="W61" s="97"/>
      <c r="X61" s="100">
        <f t="shared" si="2"/>
        <v>0</v>
      </c>
      <c r="Y61" s="105">
        <f t="shared" si="3"/>
        <v>2826</v>
      </c>
      <c r="Z61" s="85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</row>
    <row r="62" spans="1:72" hidden="1" x14ac:dyDescent="0.2">
      <c r="A62" s="26"/>
      <c r="B62" s="74" t="s">
        <v>114</v>
      </c>
      <c r="C62" s="96" t="s">
        <v>149</v>
      </c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>
        <f t="shared" si="1"/>
        <v>0</v>
      </c>
      <c r="S62" s="97"/>
      <c r="T62" s="97"/>
      <c r="U62" s="97"/>
      <c r="V62" s="100"/>
      <c r="W62" s="97"/>
      <c r="X62" s="100">
        <f t="shared" si="2"/>
        <v>0</v>
      </c>
      <c r="Y62" s="105">
        <f t="shared" si="3"/>
        <v>0</v>
      </c>
      <c r="Z62" s="85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</row>
    <row r="63" spans="1:72" hidden="1" x14ac:dyDescent="0.2">
      <c r="A63" s="26"/>
      <c r="B63" s="74" t="s">
        <v>61</v>
      </c>
      <c r="C63" s="96" t="s">
        <v>149</v>
      </c>
      <c r="D63" s="97"/>
      <c r="E63" s="97"/>
      <c r="F63" s="97">
        <f>960+259</f>
        <v>1219</v>
      </c>
      <c r="G63" s="97"/>
      <c r="H63" s="97"/>
      <c r="I63" s="97"/>
      <c r="J63" s="97"/>
      <c r="K63" s="97"/>
      <c r="L63" s="97">
        <f>19178+5178</f>
        <v>24356</v>
      </c>
      <c r="M63" s="97">
        <f>4119+1112</f>
        <v>5231</v>
      </c>
      <c r="N63" s="97"/>
      <c r="O63" s="97"/>
      <c r="P63" s="97"/>
      <c r="Q63" s="97"/>
      <c r="R63" s="97">
        <f t="shared" si="1"/>
        <v>30806</v>
      </c>
      <c r="S63" s="97"/>
      <c r="T63" s="97"/>
      <c r="U63" s="97"/>
      <c r="V63" s="100"/>
      <c r="W63" s="97"/>
      <c r="X63" s="100">
        <f t="shared" si="2"/>
        <v>0</v>
      </c>
      <c r="Y63" s="105">
        <f t="shared" si="3"/>
        <v>30806</v>
      </c>
      <c r="Z63" s="85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</row>
    <row r="64" spans="1:72" hidden="1" x14ac:dyDescent="0.2">
      <c r="A64" s="26"/>
      <c r="B64" s="74" t="s">
        <v>72</v>
      </c>
      <c r="C64" s="96" t="s">
        <v>149</v>
      </c>
      <c r="D64" s="97"/>
      <c r="E64" s="97"/>
      <c r="F64" s="97"/>
      <c r="G64" s="97"/>
      <c r="H64" s="97"/>
      <c r="I64" s="97"/>
      <c r="J64" s="97"/>
      <c r="K64" s="97"/>
      <c r="L64" s="97">
        <f>3503+946</f>
        <v>4449</v>
      </c>
      <c r="M64" s="97"/>
      <c r="N64" s="97"/>
      <c r="O64" s="97"/>
      <c r="P64" s="97"/>
      <c r="Q64" s="97"/>
      <c r="R64" s="97">
        <f t="shared" si="1"/>
        <v>4449</v>
      </c>
      <c r="S64" s="97"/>
      <c r="T64" s="97"/>
      <c r="U64" s="97"/>
      <c r="V64" s="100"/>
      <c r="W64" s="97"/>
      <c r="X64" s="100">
        <f t="shared" si="2"/>
        <v>0</v>
      </c>
      <c r="Y64" s="105">
        <f t="shared" si="3"/>
        <v>4449</v>
      </c>
      <c r="Z64" s="85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</row>
    <row r="65" spans="1:72" hidden="1" x14ac:dyDescent="0.2">
      <c r="A65" s="26"/>
      <c r="B65" s="279" t="s">
        <v>115</v>
      </c>
      <c r="C65" s="96" t="s">
        <v>149</v>
      </c>
      <c r="D65" s="303"/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>
        <f t="shared" si="1"/>
        <v>0</v>
      </c>
      <c r="S65" s="303"/>
      <c r="T65" s="303"/>
      <c r="U65" s="303"/>
      <c r="V65" s="304"/>
      <c r="W65" s="303"/>
      <c r="X65" s="304">
        <f t="shared" si="2"/>
        <v>0</v>
      </c>
      <c r="Y65" s="105">
        <f t="shared" si="3"/>
        <v>0</v>
      </c>
      <c r="Z65" s="85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</row>
    <row r="66" spans="1:72" hidden="1" x14ac:dyDescent="0.2">
      <c r="A66" s="26"/>
      <c r="B66" s="279" t="s">
        <v>91</v>
      </c>
      <c r="C66" s="96" t="s">
        <v>149</v>
      </c>
      <c r="D66" s="303"/>
      <c r="E66" s="303"/>
      <c r="F66" s="303"/>
      <c r="G66" s="303"/>
      <c r="H66" s="303"/>
      <c r="I66" s="303"/>
      <c r="J66" s="303"/>
      <c r="K66" s="303"/>
      <c r="L66" s="303">
        <f>28+7</f>
        <v>35</v>
      </c>
      <c r="M66" s="303"/>
      <c r="N66" s="303"/>
      <c r="O66" s="303"/>
      <c r="P66" s="303"/>
      <c r="Q66" s="303"/>
      <c r="R66" s="303">
        <f t="shared" si="1"/>
        <v>35</v>
      </c>
      <c r="S66" s="303"/>
      <c r="T66" s="303"/>
      <c r="U66" s="303"/>
      <c r="V66" s="304"/>
      <c r="W66" s="303"/>
      <c r="X66" s="304">
        <f t="shared" si="2"/>
        <v>0</v>
      </c>
      <c r="Y66" s="105">
        <f t="shared" si="3"/>
        <v>35</v>
      </c>
      <c r="Z66" s="85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</row>
    <row r="67" spans="1:72" hidden="1" x14ac:dyDescent="0.2">
      <c r="A67" s="26"/>
      <c r="B67" s="301" t="s">
        <v>116</v>
      </c>
      <c r="C67" s="302" t="s">
        <v>149</v>
      </c>
      <c r="D67" s="303"/>
      <c r="E67" s="303"/>
      <c r="F67" s="303"/>
      <c r="G67" s="303"/>
      <c r="H67" s="303"/>
      <c r="I67" s="303"/>
      <c r="J67" s="303"/>
      <c r="K67" s="303"/>
      <c r="L67" s="303"/>
      <c r="M67" s="303"/>
      <c r="N67" s="303"/>
      <c r="O67" s="303"/>
      <c r="P67" s="303"/>
      <c r="Q67" s="303"/>
      <c r="R67" s="303">
        <f t="shared" si="1"/>
        <v>0</v>
      </c>
      <c r="S67" s="303"/>
      <c r="T67" s="303"/>
      <c r="U67" s="303"/>
      <c r="V67" s="304"/>
      <c r="W67" s="303"/>
      <c r="X67" s="304">
        <f t="shared" si="2"/>
        <v>0</v>
      </c>
      <c r="Y67" s="305">
        <f t="shared" si="3"/>
        <v>0</v>
      </c>
      <c r="Z67" s="85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</row>
    <row r="68" spans="1:72" ht="17.25" hidden="1" thickBot="1" x14ac:dyDescent="0.25">
      <c r="A68" s="26"/>
      <c r="B68" s="460"/>
      <c r="C68" s="461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462"/>
      <c r="O68" s="462"/>
      <c r="P68" s="462"/>
      <c r="Q68" s="462"/>
      <c r="R68" s="462"/>
      <c r="S68" s="462"/>
      <c r="T68" s="462"/>
      <c r="U68" s="462"/>
      <c r="V68" s="463"/>
      <c r="W68" s="462"/>
      <c r="X68" s="463"/>
      <c r="Y68" s="464"/>
      <c r="Z68" s="85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</row>
    <row r="69" spans="1:72" s="81" customFormat="1" ht="30" hidden="1" customHeight="1" thickTop="1" thickBot="1" x14ac:dyDescent="0.25">
      <c r="A69" s="138"/>
      <c r="B69" s="306"/>
      <c r="C69" s="307" t="s">
        <v>311</v>
      </c>
      <c r="D69" s="308">
        <f t="shared" ref="D69:I69" si="9">SUM(D53:D67)</f>
        <v>31071</v>
      </c>
      <c r="E69" s="308">
        <f t="shared" si="9"/>
        <v>25379</v>
      </c>
      <c r="F69" s="308">
        <f t="shared" si="9"/>
        <v>4219</v>
      </c>
      <c r="G69" s="308">
        <f t="shared" si="9"/>
        <v>0</v>
      </c>
      <c r="H69" s="308">
        <f t="shared" si="9"/>
        <v>0</v>
      </c>
      <c r="I69" s="308">
        <f t="shared" si="9"/>
        <v>0</v>
      </c>
      <c r="J69" s="308"/>
      <c r="K69" s="308">
        <f t="shared" ref="K69:W69" si="10">SUM(K53:K67)</f>
        <v>0</v>
      </c>
      <c r="L69" s="308">
        <f t="shared" si="10"/>
        <v>29345</v>
      </c>
      <c r="M69" s="308">
        <f t="shared" si="10"/>
        <v>5231</v>
      </c>
      <c r="N69" s="308">
        <f t="shared" si="10"/>
        <v>0</v>
      </c>
      <c r="O69" s="308">
        <f t="shared" si="10"/>
        <v>0</v>
      </c>
      <c r="P69" s="308">
        <f t="shared" si="10"/>
        <v>0</v>
      </c>
      <c r="Q69" s="308">
        <f t="shared" si="10"/>
        <v>0</v>
      </c>
      <c r="R69" s="308">
        <f t="shared" si="1"/>
        <v>95245</v>
      </c>
      <c r="S69" s="308"/>
      <c r="T69" s="308">
        <f t="shared" si="10"/>
        <v>0</v>
      </c>
      <c r="U69" s="308">
        <f t="shared" si="10"/>
        <v>0</v>
      </c>
      <c r="V69" s="483">
        <f t="shared" si="10"/>
        <v>0</v>
      </c>
      <c r="W69" s="308">
        <f t="shared" si="10"/>
        <v>0</v>
      </c>
      <c r="X69" s="483">
        <f t="shared" si="2"/>
        <v>0</v>
      </c>
      <c r="Y69" s="80">
        <f t="shared" si="3"/>
        <v>95245</v>
      </c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</row>
    <row r="70" spans="1:72" s="53" customFormat="1" ht="16.5" hidden="1" customHeight="1" thickTop="1" thickBot="1" x14ac:dyDescent="0.25">
      <c r="A70" s="152"/>
      <c r="B70" s="311"/>
      <c r="C70" s="312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484"/>
      <c r="W70" s="313"/>
      <c r="X70" s="484"/>
      <c r="Y70" s="314"/>
    </row>
    <row r="71" spans="1:72" ht="30" hidden="1" customHeight="1" thickTop="1" thickBot="1" x14ac:dyDescent="0.35">
      <c r="A71" s="137"/>
      <c r="B71" s="465" t="s">
        <v>180</v>
      </c>
      <c r="C71" s="44" t="s">
        <v>179</v>
      </c>
      <c r="D71" s="86">
        <f>D52+D69</f>
        <v>1484577.105</v>
      </c>
      <c r="E71" s="86">
        <f t="shared" ref="E71:Q71" si="11">E52+E69</f>
        <v>457914.56900000002</v>
      </c>
      <c r="F71" s="86">
        <f t="shared" si="11"/>
        <v>510127</v>
      </c>
      <c r="G71" s="86">
        <f t="shared" si="11"/>
        <v>698</v>
      </c>
      <c r="H71" s="86">
        <f t="shared" si="11"/>
        <v>0</v>
      </c>
      <c r="I71" s="86">
        <f t="shared" si="11"/>
        <v>0</v>
      </c>
      <c r="J71" s="86">
        <f t="shared" si="11"/>
        <v>0</v>
      </c>
      <c r="K71" s="86">
        <f t="shared" si="11"/>
        <v>0</v>
      </c>
      <c r="L71" s="86">
        <f>L52+L69</f>
        <v>206687</v>
      </c>
      <c r="M71" s="86">
        <f t="shared" si="11"/>
        <v>22781</v>
      </c>
      <c r="N71" s="86">
        <f t="shared" si="11"/>
        <v>0</v>
      </c>
      <c r="O71" s="86">
        <f t="shared" si="11"/>
        <v>5000</v>
      </c>
      <c r="P71" s="86">
        <f t="shared" si="11"/>
        <v>0</v>
      </c>
      <c r="Q71" s="86">
        <f t="shared" si="11"/>
        <v>0</v>
      </c>
      <c r="R71" s="86">
        <f t="shared" si="1"/>
        <v>2687784.6740000001</v>
      </c>
      <c r="S71" s="86"/>
      <c r="T71" s="86">
        <f>T52+T69</f>
        <v>0</v>
      </c>
      <c r="U71" s="86">
        <f>U52+U69</f>
        <v>0</v>
      </c>
      <c r="V71" s="86">
        <f>V52+V69</f>
        <v>0</v>
      </c>
      <c r="W71" s="86">
        <f>W52+W69</f>
        <v>0</v>
      </c>
      <c r="X71" s="86">
        <f t="shared" si="2"/>
        <v>0</v>
      </c>
      <c r="Y71" s="86">
        <f t="shared" si="3"/>
        <v>2687784.6740000001</v>
      </c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</row>
    <row r="72" spans="1:72" ht="24" hidden="1" customHeight="1" x14ac:dyDescent="0.25">
      <c r="A72" s="135"/>
      <c r="B72" s="276"/>
      <c r="C72" s="136" t="s">
        <v>18</v>
      </c>
      <c r="D72" s="223">
        <f t="shared" ref="D72:L72" si="12">D71</f>
        <v>1484577.105</v>
      </c>
      <c r="E72" s="223">
        <f t="shared" si="12"/>
        <v>457914.56900000002</v>
      </c>
      <c r="F72" s="223">
        <f t="shared" si="12"/>
        <v>510127</v>
      </c>
      <c r="G72" s="223">
        <f t="shared" si="12"/>
        <v>698</v>
      </c>
      <c r="H72" s="223">
        <f t="shared" si="12"/>
        <v>0</v>
      </c>
      <c r="I72" s="223">
        <f t="shared" si="12"/>
        <v>0</v>
      </c>
      <c r="J72" s="223">
        <f t="shared" si="12"/>
        <v>0</v>
      </c>
      <c r="K72" s="223">
        <f t="shared" si="12"/>
        <v>0</v>
      </c>
      <c r="L72" s="223">
        <f t="shared" si="12"/>
        <v>206687</v>
      </c>
      <c r="M72" s="223">
        <f t="shared" ref="M72:W72" si="13">M71</f>
        <v>22781</v>
      </c>
      <c r="N72" s="223">
        <f t="shared" si="13"/>
        <v>0</v>
      </c>
      <c r="O72" s="223">
        <f t="shared" si="13"/>
        <v>5000</v>
      </c>
      <c r="P72" s="223">
        <f t="shared" si="13"/>
        <v>0</v>
      </c>
      <c r="Q72" s="223">
        <f t="shared" si="13"/>
        <v>0</v>
      </c>
      <c r="R72" s="223">
        <f t="shared" si="1"/>
        <v>2687784.6740000001</v>
      </c>
      <c r="S72" s="223"/>
      <c r="T72" s="223">
        <f>T71</f>
        <v>0</v>
      </c>
      <c r="U72" s="223">
        <f>U71</f>
        <v>0</v>
      </c>
      <c r="V72" s="266">
        <f t="shared" si="13"/>
        <v>0</v>
      </c>
      <c r="W72" s="155">
        <f t="shared" si="13"/>
        <v>0</v>
      </c>
      <c r="X72" s="432">
        <f t="shared" si="2"/>
        <v>0</v>
      </c>
      <c r="Y72" s="327">
        <f t="shared" si="3"/>
        <v>2687784.6740000001</v>
      </c>
    </row>
    <row r="73" spans="1:72" ht="24" hidden="1" customHeight="1" x14ac:dyDescent="0.25">
      <c r="A73" s="18"/>
      <c r="B73" s="501"/>
      <c r="C73" s="41"/>
      <c r="D73" s="500"/>
      <c r="E73" s="500"/>
      <c r="F73" s="500"/>
      <c r="G73" s="499"/>
      <c r="H73" s="499"/>
      <c r="I73" s="499"/>
      <c r="J73" s="499"/>
      <c r="K73" s="499"/>
      <c r="L73" s="499"/>
      <c r="M73" s="499"/>
      <c r="N73" s="499"/>
      <c r="O73" s="499"/>
      <c r="P73" s="499"/>
      <c r="Q73" s="499"/>
      <c r="R73" s="499"/>
      <c r="S73" s="499"/>
      <c r="T73" s="499"/>
      <c r="U73" s="499"/>
      <c r="V73" s="519"/>
      <c r="W73" s="499"/>
      <c r="X73" s="512"/>
      <c r="Y73" s="271"/>
    </row>
    <row r="74" spans="1:72" ht="24" hidden="1" customHeight="1" x14ac:dyDescent="0.2">
      <c r="A74" s="82">
        <v>1</v>
      </c>
      <c r="B74" s="692" t="s">
        <v>410</v>
      </c>
      <c r="C74" s="679" t="s">
        <v>409</v>
      </c>
      <c r="D74" s="159"/>
      <c r="E74" s="159"/>
      <c r="F74" s="159"/>
      <c r="G74" s="159"/>
      <c r="H74" s="159"/>
      <c r="I74" s="159"/>
      <c r="J74" s="159"/>
      <c r="K74" s="159"/>
      <c r="L74" s="159"/>
      <c r="M74" s="159">
        <f>-3779-1021</f>
        <v>-4800</v>
      </c>
      <c r="N74" s="159"/>
      <c r="O74" s="159"/>
      <c r="P74" s="159"/>
      <c r="Q74" s="159"/>
      <c r="R74" s="159">
        <f t="shared" si="1"/>
        <v>-4800</v>
      </c>
      <c r="S74" s="159"/>
      <c r="T74" s="159"/>
      <c r="U74" s="159"/>
      <c r="V74" s="165"/>
      <c r="W74" s="159"/>
      <c r="X74" s="439">
        <f t="shared" si="2"/>
        <v>0</v>
      </c>
      <c r="Y74" s="271">
        <f t="shared" si="3"/>
        <v>-4800</v>
      </c>
    </row>
    <row r="75" spans="1:72" ht="24" hidden="1" customHeight="1" x14ac:dyDescent="0.25">
      <c r="A75" s="18">
        <v>2</v>
      </c>
      <c r="B75" s="680" t="s">
        <v>449</v>
      </c>
      <c r="C75" s="41" t="s">
        <v>448</v>
      </c>
      <c r="D75" s="159"/>
      <c r="E75" s="159"/>
      <c r="F75" s="159"/>
      <c r="G75" s="159"/>
      <c r="H75" s="159"/>
      <c r="I75" s="159"/>
      <c r="J75" s="159"/>
      <c r="K75" s="159"/>
      <c r="L75" s="159">
        <f>-4488-1212</f>
        <v>-5700</v>
      </c>
      <c r="M75" s="159"/>
      <c r="N75" s="159"/>
      <c r="O75" s="159"/>
      <c r="P75" s="159"/>
      <c r="Q75" s="159"/>
      <c r="R75" s="159">
        <f t="shared" si="1"/>
        <v>-5700</v>
      </c>
      <c r="S75" s="159"/>
      <c r="T75" s="159"/>
      <c r="U75" s="159"/>
      <c r="V75" s="165"/>
      <c r="W75" s="159"/>
      <c r="X75" s="439">
        <f t="shared" si="2"/>
        <v>0</v>
      </c>
      <c r="Y75" s="271">
        <f t="shared" si="3"/>
        <v>-5700</v>
      </c>
    </row>
    <row r="76" spans="1:72" ht="24" hidden="1" customHeight="1" x14ac:dyDescent="0.2">
      <c r="A76" s="82">
        <v>3</v>
      </c>
      <c r="B76" s="680" t="s">
        <v>455</v>
      </c>
      <c r="C76" s="41" t="s">
        <v>453</v>
      </c>
      <c r="D76" s="159">
        <f>1591.853</f>
        <v>1591.8530000000001</v>
      </c>
      <c r="E76" s="159">
        <f>429.8</f>
        <v>429.8</v>
      </c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>
        <f t="shared" si="1"/>
        <v>2021.653</v>
      </c>
      <c r="S76" s="159"/>
      <c r="T76" s="159"/>
      <c r="U76" s="159"/>
      <c r="V76" s="165"/>
      <c r="W76" s="159"/>
      <c r="X76" s="439">
        <f t="shared" si="2"/>
        <v>0</v>
      </c>
      <c r="Y76" s="271">
        <f t="shared" si="3"/>
        <v>2021.653</v>
      </c>
    </row>
    <row r="77" spans="1:72" ht="24" hidden="1" customHeight="1" x14ac:dyDescent="0.25">
      <c r="A77" s="18">
        <v>4</v>
      </c>
      <c r="B77" s="677" t="s">
        <v>478</v>
      </c>
      <c r="C77" s="28" t="s">
        <v>479</v>
      </c>
      <c r="D77" s="164">
        <f>9208.978</f>
        <v>9208.9779999999992</v>
      </c>
      <c r="E77" s="164">
        <f>2346.791</f>
        <v>2346.7910000000002</v>
      </c>
      <c r="F77" s="159">
        <f>35.382+1555+419.849</f>
        <v>2010.231</v>
      </c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>
        <f t="shared" si="1"/>
        <v>13566</v>
      </c>
      <c r="S77" s="159"/>
      <c r="T77" s="159"/>
      <c r="U77" s="159"/>
      <c r="V77" s="165"/>
      <c r="W77" s="159"/>
      <c r="X77" s="439">
        <f t="shared" si="2"/>
        <v>0</v>
      </c>
      <c r="Y77" s="271">
        <f t="shared" si="3"/>
        <v>13566</v>
      </c>
    </row>
    <row r="78" spans="1:72" ht="24" hidden="1" customHeight="1" x14ac:dyDescent="0.2">
      <c r="A78" s="82"/>
      <c r="B78" s="501"/>
      <c r="C78" s="34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>
        <f t="shared" si="1"/>
        <v>0</v>
      </c>
      <c r="S78" s="159"/>
      <c r="T78" s="159"/>
      <c r="U78" s="159"/>
      <c r="V78" s="165"/>
      <c r="W78" s="159"/>
      <c r="X78" s="439">
        <f t="shared" si="2"/>
        <v>0</v>
      </c>
      <c r="Y78" s="271">
        <f t="shared" si="3"/>
        <v>0</v>
      </c>
    </row>
    <row r="79" spans="1:72" ht="24" hidden="1" customHeight="1" x14ac:dyDescent="0.25">
      <c r="A79" s="450"/>
      <c r="B79" s="501"/>
      <c r="C79" s="33"/>
      <c r="D79" s="335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59"/>
      <c r="R79" s="159">
        <f t="shared" si="1"/>
        <v>0</v>
      </c>
      <c r="S79" s="159"/>
      <c r="T79" s="159"/>
      <c r="U79" s="159"/>
      <c r="V79" s="165"/>
      <c r="W79" s="159"/>
      <c r="X79" s="439">
        <f t="shared" si="2"/>
        <v>0</v>
      </c>
      <c r="Y79" s="271">
        <f t="shared" si="3"/>
        <v>0</v>
      </c>
    </row>
    <row r="80" spans="1:72" ht="24" hidden="1" customHeight="1" x14ac:dyDescent="0.2">
      <c r="A80" s="227"/>
      <c r="B80" s="501"/>
      <c r="C80" s="28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>
        <f t="shared" si="1"/>
        <v>0</v>
      </c>
      <c r="S80" s="159"/>
      <c r="T80" s="159"/>
      <c r="U80" s="159"/>
      <c r="V80" s="165"/>
      <c r="W80" s="159"/>
      <c r="X80" s="439">
        <f t="shared" si="2"/>
        <v>0</v>
      </c>
      <c r="Y80" s="271">
        <f t="shared" si="3"/>
        <v>0</v>
      </c>
    </row>
    <row r="81" spans="1:25" ht="24" hidden="1" customHeight="1" x14ac:dyDescent="0.2">
      <c r="A81" s="82"/>
      <c r="B81" s="501"/>
      <c r="C81" s="41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>
        <f t="shared" si="1"/>
        <v>0</v>
      </c>
      <c r="S81" s="159"/>
      <c r="T81" s="159"/>
      <c r="U81" s="159"/>
      <c r="V81" s="165"/>
      <c r="W81" s="159"/>
      <c r="X81" s="439">
        <f t="shared" si="2"/>
        <v>0</v>
      </c>
      <c r="Y81" s="271">
        <f t="shared" si="3"/>
        <v>0</v>
      </c>
    </row>
    <row r="82" spans="1:25" ht="24" hidden="1" customHeight="1" x14ac:dyDescent="0.2">
      <c r="A82" s="227"/>
      <c r="B82" s="501"/>
      <c r="C82" s="41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>
        <f t="shared" si="1"/>
        <v>0</v>
      </c>
      <c r="S82" s="159"/>
      <c r="T82" s="159"/>
      <c r="U82" s="159"/>
      <c r="V82" s="165"/>
      <c r="W82" s="159"/>
      <c r="X82" s="439">
        <f t="shared" si="2"/>
        <v>0</v>
      </c>
      <c r="Y82" s="271">
        <f t="shared" si="3"/>
        <v>0</v>
      </c>
    </row>
    <row r="83" spans="1:25" ht="24" hidden="1" customHeight="1" x14ac:dyDescent="0.2">
      <c r="A83" s="82"/>
      <c r="B83" s="501"/>
      <c r="C83" s="41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>
        <f t="shared" si="1"/>
        <v>0</v>
      </c>
      <c r="S83" s="159"/>
      <c r="T83" s="159"/>
      <c r="U83" s="159"/>
      <c r="V83" s="165"/>
      <c r="W83" s="159"/>
      <c r="X83" s="439">
        <f t="shared" si="2"/>
        <v>0</v>
      </c>
      <c r="Y83" s="271">
        <f t="shared" si="3"/>
        <v>0</v>
      </c>
    </row>
    <row r="84" spans="1:25" ht="24" hidden="1" customHeight="1" x14ac:dyDescent="0.2">
      <c r="A84" s="82"/>
      <c r="B84" s="501"/>
      <c r="C84" s="33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>
        <f t="shared" si="1"/>
        <v>0</v>
      </c>
      <c r="S84" s="159"/>
      <c r="T84" s="159"/>
      <c r="U84" s="159"/>
      <c r="V84" s="165"/>
      <c r="W84" s="159"/>
      <c r="X84" s="439">
        <f t="shared" si="2"/>
        <v>0</v>
      </c>
      <c r="Y84" s="271">
        <f t="shared" si="3"/>
        <v>0</v>
      </c>
    </row>
    <row r="85" spans="1:25" ht="24" hidden="1" customHeight="1" x14ac:dyDescent="0.2">
      <c r="A85" s="82"/>
      <c r="B85" s="501"/>
      <c r="C85" s="28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>
        <f t="shared" si="1"/>
        <v>0</v>
      </c>
      <c r="S85" s="159"/>
      <c r="T85" s="159"/>
      <c r="U85" s="159"/>
      <c r="V85" s="165"/>
      <c r="W85" s="159"/>
      <c r="X85" s="439">
        <f t="shared" si="2"/>
        <v>0</v>
      </c>
      <c r="Y85" s="271">
        <f t="shared" si="3"/>
        <v>0</v>
      </c>
    </row>
    <row r="86" spans="1:25" ht="24" hidden="1" customHeight="1" x14ac:dyDescent="0.2">
      <c r="A86" s="82"/>
      <c r="B86" s="501"/>
      <c r="C86" s="28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>
        <f t="shared" si="1"/>
        <v>0</v>
      </c>
      <c r="S86" s="159"/>
      <c r="T86" s="159"/>
      <c r="U86" s="159"/>
      <c r="V86" s="165"/>
      <c r="W86" s="159"/>
      <c r="X86" s="439">
        <f t="shared" si="2"/>
        <v>0</v>
      </c>
      <c r="Y86" s="271">
        <f t="shared" si="3"/>
        <v>0</v>
      </c>
    </row>
    <row r="87" spans="1:25" ht="24" hidden="1" customHeight="1" x14ac:dyDescent="0.2">
      <c r="A87" s="82"/>
      <c r="B87" s="501"/>
      <c r="C87" s="41"/>
      <c r="D87" s="159"/>
      <c r="E87" s="159"/>
      <c r="F87" s="159"/>
      <c r="G87" s="159"/>
      <c r="H87" s="159"/>
      <c r="I87" s="159"/>
      <c r="J87" s="159"/>
      <c r="K87" s="159"/>
      <c r="L87" s="159"/>
      <c r="M87" s="159"/>
      <c r="N87" s="159"/>
      <c r="O87" s="159"/>
      <c r="P87" s="159"/>
      <c r="Q87" s="159"/>
      <c r="R87" s="159">
        <f t="shared" si="1"/>
        <v>0</v>
      </c>
      <c r="S87" s="159"/>
      <c r="T87" s="159"/>
      <c r="U87" s="159"/>
      <c r="V87" s="165"/>
      <c r="W87" s="159"/>
      <c r="X87" s="439">
        <f t="shared" si="2"/>
        <v>0</v>
      </c>
      <c r="Y87" s="271">
        <f t="shared" si="3"/>
        <v>0</v>
      </c>
    </row>
    <row r="88" spans="1:25" ht="24" hidden="1" customHeight="1" x14ac:dyDescent="0.2">
      <c r="A88" s="82"/>
      <c r="B88" s="501"/>
      <c r="C88" s="28"/>
      <c r="D88" s="159"/>
      <c r="E88" s="159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>
        <f t="shared" si="1"/>
        <v>0</v>
      </c>
      <c r="S88" s="159"/>
      <c r="T88" s="159"/>
      <c r="U88" s="159"/>
      <c r="V88" s="165"/>
      <c r="W88" s="159"/>
      <c r="X88" s="439">
        <f t="shared" si="2"/>
        <v>0</v>
      </c>
      <c r="Y88" s="271">
        <f t="shared" si="3"/>
        <v>0</v>
      </c>
    </row>
    <row r="89" spans="1:25" ht="24" hidden="1" customHeight="1" x14ac:dyDescent="0.2">
      <c r="A89" s="82"/>
      <c r="B89" s="501"/>
      <c r="C89" s="28"/>
      <c r="D89" s="159"/>
      <c r="E89" s="159"/>
      <c r="F89" s="159"/>
      <c r="G89" s="159"/>
      <c r="H89" s="159"/>
      <c r="I89" s="15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65"/>
      <c r="W89" s="159"/>
      <c r="X89" s="439"/>
      <c r="Y89" s="271"/>
    </row>
    <row r="90" spans="1:25" ht="24" hidden="1" customHeight="1" x14ac:dyDescent="0.2">
      <c r="A90" s="82"/>
      <c r="B90" s="501"/>
      <c r="C90" s="28"/>
      <c r="D90" s="159"/>
      <c r="E90" s="159"/>
      <c r="F90" s="159"/>
      <c r="G90" s="159"/>
      <c r="H90" s="159"/>
      <c r="I90" s="159"/>
      <c r="J90" s="159"/>
      <c r="K90" s="159"/>
      <c r="L90" s="159"/>
      <c r="M90" s="159"/>
      <c r="N90" s="159"/>
      <c r="O90" s="159"/>
      <c r="P90" s="159"/>
      <c r="Q90" s="159"/>
      <c r="R90" s="159"/>
      <c r="S90" s="159"/>
      <c r="T90" s="159"/>
      <c r="U90" s="159"/>
      <c r="V90" s="165"/>
      <c r="W90" s="159"/>
      <c r="X90" s="439"/>
      <c r="Y90" s="271"/>
    </row>
    <row r="91" spans="1:25" ht="9.9499999999999993" hidden="1" customHeight="1" x14ac:dyDescent="0.2">
      <c r="A91" s="82"/>
      <c r="B91" s="30"/>
      <c r="C91" s="28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65"/>
      <c r="W91" s="159"/>
      <c r="X91" s="439"/>
      <c r="Y91" s="271"/>
    </row>
    <row r="92" spans="1:25" ht="30" hidden="1" customHeight="1" x14ac:dyDescent="0.2">
      <c r="A92" s="216" t="s">
        <v>88</v>
      </c>
      <c r="B92" s="212"/>
      <c r="C92" s="217" t="s">
        <v>86</v>
      </c>
      <c r="D92" s="159">
        <f t="shared" ref="D92:Q92" si="14">SUM(D73:D91)</f>
        <v>10800.830999999998</v>
      </c>
      <c r="E92" s="159">
        <f t="shared" si="14"/>
        <v>2776.5910000000003</v>
      </c>
      <c r="F92" s="159">
        <f t="shared" si="14"/>
        <v>2010.231</v>
      </c>
      <c r="G92" s="159">
        <f t="shared" si="14"/>
        <v>0</v>
      </c>
      <c r="H92" s="159">
        <f t="shared" si="14"/>
        <v>0</v>
      </c>
      <c r="I92" s="159">
        <f t="shared" si="14"/>
        <v>0</v>
      </c>
      <c r="J92" s="159">
        <f t="shared" si="14"/>
        <v>0</v>
      </c>
      <c r="K92" s="159">
        <f t="shared" si="14"/>
        <v>0</v>
      </c>
      <c r="L92" s="159">
        <f t="shared" si="14"/>
        <v>-5700</v>
      </c>
      <c r="M92" s="159">
        <f t="shared" si="14"/>
        <v>-4800</v>
      </c>
      <c r="N92" s="159">
        <f t="shared" si="14"/>
        <v>0</v>
      </c>
      <c r="O92" s="159">
        <f t="shared" si="14"/>
        <v>0</v>
      </c>
      <c r="P92" s="159">
        <f t="shared" si="14"/>
        <v>0</v>
      </c>
      <c r="Q92" s="159">
        <f t="shared" si="14"/>
        <v>0</v>
      </c>
      <c r="R92" s="159">
        <f t="shared" ref="R92:R159" si="15">SUM(D92:Q92)</f>
        <v>5087.6529999999984</v>
      </c>
      <c r="S92" s="159"/>
      <c r="T92" s="159">
        <f>SUM(T73:T91)</f>
        <v>0</v>
      </c>
      <c r="U92" s="159">
        <f>SUM(U73:U91)</f>
        <v>0</v>
      </c>
      <c r="V92" s="165">
        <f>SUM(V73:V91)</f>
        <v>0</v>
      </c>
      <c r="W92" s="159">
        <f>SUM(W73:W91)</f>
        <v>0</v>
      </c>
      <c r="X92" s="439">
        <f t="shared" ref="X92:X159" si="16">SUM(T92:W92)</f>
        <v>0</v>
      </c>
      <c r="Y92" s="329">
        <f t="shared" ref="Y92:Y160" si="17">R92+X92</f>
        <v>5087.6529999999984</v>
      </c>
    </row>
    <row r="93" spans="1:25" ht="9.9499999999999993" hidden="1" customHeight="1" x14ac:dyDescent="0.2">
      <c r="A93" s="82"/>
      <c r="B93" s="510"/>
      <c r="C93" s="28"/>
      <c r="D93" s="159"/>
      <c r="E93" s="159"/>
      <c r="F93" s="159"/>
      <c r="G93" s="159"/>
      <c r="H93" s="159"/>
      <c r="I93" s="159"/>
      <c r="J93" s="159"/>
      <c r="K93" s="159"/>
      <c r="L93" s="159"/>
      <c r="M93" s="159"/>
      <c r="N93" s="159"/>
      <c r="O93" s="159"/>
      <c r="P93" s="159"/>
      <c r="Q93" s="159"/>
      <c r="R93" s="159"/>
      <c r="S93" s="159"/>
      <c r="T93" s="159"/>
      <c r="U93" s="159"/>
      <c r="V93" s="165"/>
      <c r="W93" s="159"/>
      <c r="X93" s="439"/>
      <c r="Y93" s="271"/>
    </row>
    <row r="94" spans="1:25" ht="24" hidden="1" customHeight="1" x14ac:dyDescent="0.25">
      <c r="A94" s="18"/>
      <c r="B94" s="501"/>
      <c r="C94" s="325"/>
      <c r="D94" s="511"/>
      <c r="E94" s="511"/>
      <c r="F94" s="159"/>
      <c r="G94" s="511"/>
      <c r="H94" s="511"/>
      <c r="I94" s="511"/>
      <c r="J94" s="511"/>
      <c r="K94" s="511"/>
      <c r="L94" s="511"/>
      <c r="M94" s="511"/>
      <c r="N94" s="511"/>
      <c r="O94" s="511"/>
      <c r="P94" s="511"/>
      <c r="Q94" s="511"/>
      <c r="R94" s="511">
        <f t="shared" si="15"/>
        <v>0</v>
      </c>
      <c r="S94" s="511"/>
      <c r="T94" s="511"/>
      <c r="U94" s="511"/>
      <c r="V94" s="520"/>
      <c r="W94" s="511"/>
      <c r="X94" s="512">
        <f t="shared" si="16"/>
        <v>0</v>
      </c>
      <c r="Y94" s="271">
        <f t="shared" si="17"/>
        <v>0</v>
      </c>
    </row>
    <row r="95" spans="1:25" ht="24" hidden="1" customHeight="1" x14ac:dyDescent="0.2">
      <c r="A95" s="227">
        <v>5</v>
      </c>
      <c r="B95" s="230" t="s">
        <v>404</v>
      </c>
      <c r="C95" s="41" t="s">
        <v>373</v>
      </c>
      <c r="D95" s="159"/>
      <c r="E95" s="159"/>
      <c r="F95" s="159">
        <f>-300-277-156</f>
        <v>-733</v>
      </c>
      <c r="G95" s="159"/>
      <c r="H95" s="159"/>
      <c r="I95" s="159"/>
      <c r="J95" s="159"/>
      <c r="K95" s="159"/>
      <c r="L95" s="159">
        <f>577+156</f>
        <v>733</v>
      </c>
      <c r="M95" s="159"/>
      <c r="N95" s="159"/>
      <c r="O95" s="159"/>
      <c r="P95" s="159"/>
      <c r="Q95" s="159"/>
      <c r="R95" s="159">
        <f t="shared" si="15"/>
        <v>0</v>
      </c>
      <c r="S95" s="159"/>
      <c r="T95" s="159"/>
      <c r="U95" s="159"/>
      <c r="V95" s="165"/>
      <c r="W95" s="159"/>
      <c r="X95" s="439">
        <f t="shared" si="16"/>
        <v>0</v>
      </c>
      <c r="Y95" s="271">
        <f t="shared" si="17"/>
        <v>0</v>
      </c>
    </row>
    <row r="96" spans="1:25" ht="24" hidden="1" customHeight="1" x14ac:dyDescent="0.2">
      <c r="A96" s="82">
        <v>6</v>
      </c>
      <c r="B96" s="30" t="s">
        <v>425</v>
      </c>
      <c r="C96" s="41" t="s">
        <v>427</v>
      </c>
      <c r="D96" s="159"/>
      <c r="E96" s="159"/>
      <c r="F96" s="159">
        <f>290+78</f>
        <v>368</v>
      </c>
      <c r="G96" s="159"/>
      <c r="H96" s="159"/>
      <c r="I96" s="159"/>
      <c r="J96" s="159"/>
      <c r="K96" s="159"/>
      <c r="L96" s="159">
        <f>-378-102+88+24-2100+2100-2578+2578</f>
        <v>-368</v>
      </c>
      <c r="M96" s="159"/>
      <c r="N96" s="159"/>
      <c r="O96" s="159"/>
      <c r="P96" s="159"/>
      <c r="Q96" s="159"/>
      <c r="R96" s="159">
        <f t="shared" si="15"/>
        <v>0</v>
      </c>
      <c r="S96" s="159"/>
      <c r="T96" s="159"/>
      <c r="U96" s="159"/>
      <c r="V96" s="165"/>
      <c r="W96" s="159"/>
      <c r="X96" s="439">
        <f t="shared" si="16"/>
        <v>0</v>
      </c>
      <c r="Y96" s="271">
        <f t="shared" si="17"/>
        <v>0</v>
      </c>
    </row>
    <row r="97" spans="1:25" ht="24" hidden="1" customHeight="1" x14ac:dyDescent="0.2">
      <c r="A97" s="227">
        <v>7</v>
      </c>
      <c r="B97" s="186" t="s">
        <v>424</v>
      </c>
      <c r="C97" s="678" t="s">
        <v>426</v>
      </c>
      <c r="D97" s="159">
        <f>1010</f>
        <v>1010</v>
      </c>
      <c r="E97" s="159">
        <f>135.992</f>
        <v>135.99199999999999</v>
      </c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59">
        <f t="shared" si="15"/>
        <v>1145.992</v>
      </c>
      <c r="S97" s="159"/>
      <c r="T97" s="159"/>
      <c r="U97" s="159"/>
      <c r="V97" s="165"/>
      <c r="W97" s="159"/>
      <c r="X97" s="439">
        <f t="shared" si="16"/>
        <v>0</v>
      </c>
      <c r="Y97" s="271">
        <f t="shared" si="17"/>
        <v>1145.992</v>
      </c>
    </row>
    <row r="98" spans="1:25" ht="24" hidden="1" customHeight="1" x14ac:dyDescent="0.2">
      <c r="A98" s="82">
        <v>8</v>
      </c>
      <c r="B98" s="230" t="s">
        <v>471</v>
      </c>
      <c r="C98" s="28" t="s">
        <v>472</v>
      </c>
      <c r="D98" s="159"/>
      <c r="E98" s="159"/>
      <c r="F98" s="159">
        <f>-31-9</f>
        <v>-40</v>
      </c>
      <c r="G98" s="159"/>
      <c r="H98" s="159"/>
      <c r="I98" s="159"/>
      <c r="J98" s="159"/>
      <c r="K98" s="159"/>
      <c r="L98" s="159">
        <f>31+9</f>
        <v>40</v>
      </c>
      <c r="M98" s="159"/>
      <c r="N98" s="159"/>
      <c r="O98" s="159"/>
      <c r="P98" s="159"/>
      <c r="Q98" s="159"/>
      <c r="R98" s="159">
        <f t="shared" si="15"/>
        <v>0</v>
      </c>
      <c r="S98" s="159"/>
      <c r="T98" s="159"/>
      <c r="U98" s="159"/>
      <c r="V98" s="165"/>
      <c r="W98" s="159"/>
      <c r="X98" s="439">
        <f t="shared" si="16"/>
        <v>0</v>
      </c>
      <c r="Y98" s="271">
        <f t="shared" si="17"/>
        <v>0</v>
      </c>
    </row>
    <row r="99" spans="1:25" ht="24" hidden="1" customHeight="1" x14ac:dyDescent="0.2">
      <c r="A99" s="227">
        <v>9</v>
      </c>
      <c r="B99" s="230" t="s">
        <v>477</v>
      </c>
      <c r="C99" s="28" t="s">
        <v>472</v>
      </c>
      <c r="D99" s="159"/>
      <c r="E99" s="159"/>
      <c r="F99" s="159">
        <f>-95-26</f>
        <v>-121</v>
      </c>
      <c r="G99" s="159"/>
      <c r="H99" s="159"/>
      <c r="I99" s="159"/>
      <c r="J99" s="159"/>
      <c r="K99" s="159"/>
      <c r="L99" s="159">
        <f>95+26</f>
        <v>121</v>
      </c>
      <c r="M99" s="159"/>
      <c r="N99" s="159"/>
      <c r="O99" s="159"/>
      <c r="P99" s="159"/>
      <c r="Q99" s="159"/>
      <c r="R99" s="159">
        <f t="shared" si="15"/>
        <v>0</v>
      </c>
      <c r="S99" s="159"/>
      <c r="T99" s="159"/>
      <c r="U99" s="159"/>
      <c r="V99" s="165"/>
      <c r="W99" s="159"/>
      <c r="X99" s="439">
        <f t="shared" si="16"/>
        <v>0</v>
      </c>
      <c r="Y99" s="271">
        <f t="shared" si="17"/>
        <v>0</v>
      </c>
    </row>
    <row r="100" spans="1:25" ht="24" hidden="1" customHeight="1" x14ac:dyDescent="0.2">
      <c r="A100" s="82">
        <v>10</v>
      </c>
      <c r="B100" s="700" t="s">
        <v>500</v>
      </c>
      <c r="C100" s="41" t="s">
        <v>426</v>
      </c>
      <c r="D100" s="159">
        <f>2137+79.286</f>
        <v>2216.2860000000001</v>
      </c>
      <c r="E100" s="159">
        <f>288.865+21.407</f>
        <v>310.27199999999999</v>
      </c>
      <c r="F100" s="159"/>
      <c r="G100" s="159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59">
        <f t="shared" si="15"/>
        <v>2526.558</v>
      </c>
      <c r="S100" s="159"/>
      <c r="T100" s="159"/>
      <c r="U100" s="159"/>
      <c r="V100" s="165"/>
      <c r="W100" s="159"/>
      <c r="X100" s="439">
        <f t="shared" si="16"/>
        <v>0</v>
      </c>
      <c r="Y100" s="271">
        <f t="shared" si="17"/>
        <v>2526.558</v>
      </c>
    </row>
    <row r="101" spans="1:25" ht="24" hidden="1" customHeight="1" x14ac:dyDescent="0.2">
      <c r="A101" s="82"/>
      <c r="B101" s="32"/>
      <c r="C101" s="34"/>
      <c r="D101" s="159"/>
      <c r="E101" s="159"/>
      <c r="F101" s="159"/>
      <c r="G101" s="159"/>
      <c r="H101" s="159"/>
      <c r="I101" s="159"/>
      <c r="J101" s="159"/>
      <c r="K101" s="159"/>
      <c r="L101" s="159"/>
      <c r="M101" s="159"/>
      <c r="N101" s="159"/>
      <c r="O101" s="159"/>
      <c r="P101" s="159"/>
      <c r="Q101" s="159"/>
      <c r="R101" s="159">
        <f t="shared" si="15"/>
        <v>0</v>
      </c>
      <c r="S101" s="159"/>
      <c r="T101" s="159"/>
      <c r="U101" s="159"/>
      <c r="V101" s="165"/>
      <c r="W101" s="159"/>
      <c r="X101" s="439">
        <f t="shared" si="16"/>
        <v>0</v>
      </c>
      <c r="Y101" s="271">
        <f t="shared" si="17"/>
        <v>0</v>
      </c>
    </row>
    <row r="102" spans="1:25" ht="24" hidden="1" customHeight="1" x14ac:dyDescent="0.2">
      <c r="A102" s="82"/>
      <c r="B102" s="32"/>
      <c r="C102" s="34"/>
      <c r="D102" s="159"/>
      <c r="E102" s="159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  <c r="P102" s="159"/>
      <c r="Q102" s="159"/>
      <c r="R102" s="159">
        <f t="shared" si="15"/>
        <v>0</v>
      </c>
      <c r="S102" s="159"/>
      <c r="T102" s="159"/>
      <c r="U102" s="159"/>
      <c r="V102" s="165"/>
      <c r="W102" s="159"/>
      <c r="X102" s="439">
        <f t="shared" si="16"/>
        <v>0</v>
      </c>
      <c r="Y102" s="271">
        <f t="shared" si="17"/>
        <v>0</v>
      </c>
    </row>
    <row r="103" spans="1:25" ht="24" hidden="1" customHeight="1" x14ac:dyDescent="0.2">
      <c r="A103" s="82"/>
      <c r="B103" s="32"/>
      <c r="C103" s="34"/>
      <c r="D103" s="159"/>
      <c r="E103" s="159"/>
      <c r="F103" s="159"/>
      <c r="G103" s="159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>
        <f t="shared" si="15"/>
        <v>0</v>
      </c>
      <c r="S103" s="159"/>
      <c r="T103" s="159"/>
      <c r="U103" s="159"/>
      <c r="V103" s="165"/>
      <c r="W103" s="159"/>
      <c r="X103" s="439">
        <f t="shared" si="16"/>
        <v>0</v>
      </c>
      <c r="Y103" s="271">
        <f t="shared" si="17"/>
        <v>0</v>
      </c>
    </row>
    <row r="104" spans="1:25" ht="24" hidden="1" customHeight="1" x14ac:dyDescent="0.2">
      <c r="A104" s="82"/>
      <c r="B104" s="31"/>
      <c r="C104" s="41"/>
      <c r="D104" s="164"/>
      <c r="E104" s="164"/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>
        <f t="shared" si="15"/>
        <v>0</v>
      </c>
      <c r="S104" s="159"/>
      <c r="T104" s="159"/>
      <c r="U104" s="159"/>
      <c r="V104" s="165"/>
      <c r="W104" s="159"/>
      <c r="X104" s="439">
        <f t="shared" si="16"/>
        <v>0</v>
      </c>
      <c r="Y104" s="271">
        <f t="shared" si="17"/>
        <v>0</v>
      </c>
    </row>
    <row r="105" spans="1:25" ht="24" hidden="1" customHeight="1" x14ac:dyDescent="0.2">
      <c r="A105" s="82"/>
      <c r="B105" s="31"/>
      <c r="C105" s="41"/>
      <c r="D105" s="159"/>
      <c r="E105" s="159"/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>
        <f t="shared" si="15"/>
        <v>0</v>
      </c>
      <c r="S105" s="159"/>
      <c r="T105" s="159"/>
      <c r="U105" s="159"/>
      <c r="V105" s="165"/>
      <c r="W105" s="159"/>
      <c r="X105" s="439">
        <f t="shared" si="16"/>
        <v>0</v>
      </c>
      <c r="Y105" s="271">
        <f t="shared" si="17"/>
        <v>0</v>
      </c>
    </row>
    <row r="106" spans="1:25" ht="24" hidden="1" customHeight="1" x14ac:dyDescent="0.2">
      <c r="A106" s="82"/>
      <c r="B106" s="31"/>
      <c r="C106" s="41"/>
      <c r="D106" s="159"/>
      <c r="E106" s="159"/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  <c r="P106" s="159"/>
      <c r="Q106" s="159"/>
      <c r="R106" s="159">
        <f t="shared" si="15"/>
        <v>0</v>
      </c>
      <c r="S106" s="159"/>
      <c r="T106" s="159"/>
      <c r="U106" s="159"/>
      <c r="V106" s="165"/>
      <c r="W106" s="159"/>
      <c r="X106" s="439">
        <f t="shared" si="16"/>
        <v>0</v>
      </c>
      <c r="Y106" s="271">
        <f t="shared" si="17"/>
        <v>0</v>
      </c>
    </row>
    <row r="107" spans="1:25" ht="24" hidden="1" customHeight="1" x14ac:dyDescent="0.2">
      <c r="A107" s="82"/>
      <c r="B107" s="31"/>
      <c r="C107" s="41"/>
      <c r="D107" s="159"/>
      <c r="E107" s="159"/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65"/>
      <c r="W107" s="159"/>
      <c r="X107" s="439"/>
      <c r="Y107" s="271"/>
    </row>
    <row r="108" spans="1:25" ht="24" hidden="1" customHeight="1" x14ac:dyDescent="0.2">
      <c r="A108" s="82"/>
      <c r="B108" s="106"/>
      <c r="C108" s="28"/>
      <c r="D108" s="159"/>
      <c r="E108" s="159"/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65"/>
      <c r="W108" s="159"/>
      <c r="X108" s="439"/>
      <c r="Y108" s="271"/>
    </row>
    <row r="109" spans="1:25" ht="9.9499999999999993" hidden="1" customHeight="1" x14ac:dyDescent="0.2">
      <c r="A109" s="82"/>
      <c r="B109" s="126"/>
      <c r="C109" s="41"/>
      <c r="D109" s="159"/>
      <c r="E109" s="159"/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  <c r="P109" s="159"/>
      <c r="Q109" s="159"/>
      <c r="R109" s="159"/>
      <c r="S109" s="159"/>
      <c r="T109" s="159"/>
      <c r="U109" s="159"/>
      <c r="V109" s="165"/>
      <c r="W109" s="159"/>
      <c r="X109" s="439"/>
      <c r="Y109" s="271"/>
    </row>
    <row r="110" spans="1:25" ht="30" hidden="1" customHeight="1" x14ac:dyDescent="0.2">
      <c r="A110" s="216" t="s">
        <v>89</v>
      </c>
      <c r="B110" s="212"/>
      <c r="C110" s="217" t="s">
        <v>87</v>
      </c>
      <c r="D110" s="159">
        <f t="shared" ref="D110:Q110" si="18">SUM(D94:D109)</f>
        <v>3226.2860000000001</v>
      </c>
      <c r="E110" s="159">
        <f t="shared" si="18"/>
        <v>446.26400000000001</v>
      </c>
      <c r="F110" s="159">
        <f t="shared" si="18"/>
        <v>-526</v>
      </c>
      <c r="G110" s="159">
        <f t="shared" si="18"/>
        <v>0</v>
      </c>
      <c r="H110" s="159">
        <f t="shared" si="18"/>
        <v>0</v>
      </c>
      <c r="I110" s="159">
        <f t="shared" si="18"/>
        <v>0</v>
      </c>
      <c r="J110" s="159">
        <f t="shared" si="18"/>
        <v>0</v>
      </c>
      <c r="K110" s="159">
        <f t="shared" si="18"/>
        <v>0</v>
      </c>
      <c r="L110" s="159">
        <f t="shared" si="18"/>
        <v>526</v>
      </c>
      <c r="M110" s="159">
        <f t="shared" si="18"/>
        <v>0</v>
      </c>
      <c r="N110" s="159">
        <f t="shared" si="18"/>
        <v>0</v>
      </c>
      <c r="O110" s="159">
        <f t="shared" si="18"/>
        <v>0</v>
      </c>
      <c r="P110" s="159">
        <f t="shared" si="18"/>
        <v>0</v>
      </c>
      <c r="Q110" s="159">
        <f t="shared" si="18"/>
        <v>0</v>
      </c>
      <c r="R110" s="159">
        <f t="shared" si="15"/>
        <v>3672.55</v>
      </c>
      <c r="S110" s="159"/>
      <c r="T110" s="159">
        <f>SUM(T94:T109)</f>
        <v>0</v>
      </c>
      <c r="U110" s="159">
        <f>SUM(U94:U109)</f>
        <v>0</v>
      </c>
      <c r="V110" s="165">
        <f>SUM(V94:V109)</f>
        <v>0</v>
      </c>
      <c r="W110" s="159">
        <f>SUM(W94:W109)</f>
        <v>0</v>
      </c>
      <c r="X110" s="439">
        <f t="shared" si="16"/>
        <v>0</v>
      </c>
      <c r="Y110" s="329">
        <f t="shared" si="17"/>
        <v>3672.55</v>
      </c>
    </row>
    <row r="111" spans="1:25" ht="9.9499999999999993" hidden="1" customHeight="1" x14ac:dyDescent="0.2">
      <c r="A111" s="82"/>
      <c r="B111" s="126"/>
      <c r="C111" s="41"/>
      <c r="D111" s="72"/>
      <c r="E111" s="72"/>
      <c r="F111" s="72"/>
      <c r="G111" s="72"/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>
        <f t="shared" si="15"/>
        <v>0</v>
      </c>
      <c r="S111" s="72"/>
      <c r="T111" s="72"/>
      <c r="U111" s="72"/>
      <c r="V111" s="73"/>
      <c r="W111" s="72"/>
      <c r="X111" s="214">
        <f t="shared" si="16"/>
        <v>0</v>
      </c>
      <c r="Y111" s="268">
        <f t="shared" si="17"/>
        <v>0</v>
      </c>
    </row>
    <row r="112" spans="1:25" ht="24" hidden="1" customHeight="1" x14ac:dyDescent="0.2">
      <c r="A112" s="82"/>
      <c r="B112" s="31"/>
      <c r="C112" s="41" t="s">
        <v>68</v>
      </c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>
        <f t="shared" si="15"/>
        <v>0</v>
      </c>
      <c r="S112" s="72"/>
      <c r="T112" s="72"/>
      <c r="U112" s="72"/>
      <c r="V112" s="73"/>
      <c r="W112" s="72"/>
      <c r="X112" s="214">
        <f t="shared" si="16"/>
        <v>0</v>
      </c>
      <c r="Y112" s="268">
        <f t="shared" si="17"/>
        <v>0</v>
      </c>
    </row>
    <row r="113" spans="1:25" ht="17.25" hidden="1" thickBot="1" x14ac:dyDescent="0.25">
      <c r="A113" s="82"/>
      <c r="B113" s="106"/>
      <c r="C113" s="107"/>
      <c r="D113" s="108"/>
      <c r="E113" s="108"/>
      <c r="F113" s="72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>
        <f t="shared" si="15"/>
        <v>0</v>
      </c>
      <c r="S113" s="108"/>
      <c r="T113" s="108"/>
      <c r="U113" s="108"/>
      <c r="V113" s="109"/>
      <c r="W113" s="108"/>
      <c r="X113" s="513">
        <f t="shared" si="16"/>
        <v>0</v>
      </c>
      <c r="Y113" s="269">
        <f t="shared" si="17"/>
        <v>0</v>
      </c>
    </row>
    <row r="114" spans="1:25" ht="30" hidden="1" customHeight="1" thickTop="1" thickBot="1" x14ac:dyDescent="0.25">
      <c r="A114" s="42"/>
      <c r="B114" s="111" t="s">
        <v>185</v>
      </c>
      <c r="C114" s="44" t="s">
        <v>90</v>
      </c>
      <c r="D114" s="86">
        <f t="shared" ref="D114:Q114" si="19">D92+D110</f>
        <v>14027.116999999998</v>
      </c>
      <c r="E114" s="86">
        <f t="shared" si="19"/>
        <v>3222.8550000000005</v>
      </c>
      <c r="F114" s="86">
        <f t="shared" si="19"/>
        <v>1484.231</v>
      </c>
      <c r="G114" s="86">
        <f t="shared" si="19"/>
        <v>0</v>
      </c>
      <c r="H114" s="86">
        <f t="shared" si="19"/>
        <v>0</v>
      </c>
      <c r="I114" s="86">
        <f t="shared" si="19"/>
        <v>0</v>
      </c>
      <c r="J114" s="86">
        <f t="shared" si="19"/>
        <v>0</v>
      </c>
      <c r="K114" s="86">
        <f t="shared" si="19"/>
        <v>0</v>
      </c>
      <c r="L114" s="86">
        <f t="shared" si="19"/>
        <v>-5174</v>
      </c>
      <c r="M114" s="86">
        <f t="shared" si="19"/>
        <v>-4800</v>
      </c>
      <c r="N114" s="86">
        <f t="shared" si="19"/>
        <v>0</v>
      </c>
      <c r="O114" s="86">
        <f t="shared" si="19"/>
        <v>0</v>
      </c>
      <c r="P114" s="86">
        <f t="shared" si="19"/>
        <v>0</v>
      </c>
      <c r="Q114" s="86">
        <f t="shared" si="19"/>
        <v>0</v>
      </c>
      <c r="R114" s="86">
        <f t="shared" si="15"/>
        <v>8760.2029999999977</v>
      </c>
      <c r="S114" s="86"/>
      <c r="T114" s="86">
        <f>T92+T110</f>
        <v>0</v>
      </c>
      <c r="U114" s="86">
        <f>U92+U110</f>
        <v>0</v>
      </c>
      <c r="V114" s="87">
        <f>V92+V110</f>
        <v>0</v>
      </c>
      <c r="W114" s="514">
        <f>W92+W110</f>
        <v>0</v>
      </c>
      <c r="X114" s="515">
        <f t="shared" si="16"/>
        <v>0</v>
      </c>
      <c r="Y114" s="270">
        <f t="shared" si="17"/>
        <v>8760.2029999999977</v>
      </c>
    </row>
    <row r="115" spans="1:25" ht="30" hidden="1" customHeight="1" thickTop="1" thickBot="1" x14ac:dyDescent="0.25">
      <c r="A115" s="42"/>
      <c r="B115" s="701" t="s">
        <v>501</v>
      </c>
      <c r="C115" s="44" t="s">
        <v>157</v>
      </c>
      <c r="D115" s="259">
        <f t="shared" ref="D115:Q115" si="20">D72+D114</f>
        <v>1498604.2220000001</v>
      </c>
      <c r="E115" s="259">
        <f t="shared" si="20"/>
        <v>461137.424</v>
      </c>
      <c r="F115" s="259">
        <f t="shared" si="20"/>
        <v>511611.23100000003</v>
      </c>
      <c r="G115" s="259">
        <f t="shared" si="20"/>
        <v>698</v>
      </c>
      <c r="H115" s="259">
        <f t="shared" si="20"/>
        <v>0</v>
      </c>
      <c r="I115" s="259">
        <f t="shared" si="20"/>
        <v>0</v>
      </c>
      <c r="J115" s="259">
        <f t="shared" si="20"/>
        <v>0</v>
      </c>
      <c r="K115" s="259">
        <f t="shared" si="20"/>
        <v>0</v>
      </c>
      <c r="L115" s="259">
        <f t="shared" si="20"/>
        <v>201513</v>
      </c>
      <c r="M115" s="259">
        <f t="shared" si="20"/>
        <v>17981</v>
      </c>
      <c r="N115" s="259">
        <f t="shared" si="20"/>
        <v>0</v>
      </c>
      <c r="O115" s="259">
        <f t="shared" si="20"/>
        <v>5000</v>
      </c>
      <c r="P115" s="259">
        <f t="shared" si="20"/>
        <v>0</v>
      </c>
      <c r="Q115" s="259">
        <f t="shared" si="20"/>
        <v>0</v>
      </c>
      <c r="R115" s="259">
        <f>SUM(D115:Q115)</f>
        <v>2696544.8770000003</v>
      </c>
      <c r="S115" s="259"/>
      <c r="T115" s="259">
        <f>T72+T114</f>
        <v>0</v>
      </c>
      <c r="U115" s="259">
        <f>U72+U114</f>
        <v>0</v>
      </c>
      <c r="V115" s="259">
        <f>V72+V114</f>
        <v>0</v>
      </c>
      <c r="W115" s="320">
        <f>W72+W114</f>
        <v>0</v>
      </c>
      <c r="X115" s="433">
        <f t="shared" si="16"/>
        <v>0</v>
      </c>
      <c r="Y115" s="235">
        <f>R115+X115</f>
        <v>2696544.8770000003</v>
      </c>
    </row>
    <row r="116" spans="1:25" ht="29.25" hidden="1" customHeight="1" thickTop="1" x14ac:dyDescent="0.25">
      <c r="A116" s="135"/>
      <c r="B116" s="188" t="s">
        <v>188</v>
      </c>
      <c r="C116" s="136" t="s">
        <v>18</v>
      </c>
      <c r="D116" s="223">
        <f t="shared" ref="D116:W116" si="21">D115</f>
        <v>1498604.2220000001</v>
      </c>
      <c r="E116" s="223">
        <f t="shared" si="21"/>
        <v>461137.424</v>
      </c>
      <c r="F116" s="223">
        <f t="shared" si="21"/>
        <v>511611.23100000003</v>
      </c>
      <c r="G116" s="223">
        <f t="shared" si="21"/>
        <v>698</v>
      </c>
      <c r="H116" s="223">
        <f t="shared" si="21"/>
        <v>0</v>
      </c>
      <c r="I116" s="223">
        <f t="shared" si="21"/>
        <v>0</v>
      </c>
      <c r="J116" s="223">
        <f t="shared" si="21"/>
        <v>0</v>
      </c>
      <c r="K116" s="223">
        <f t="shared" si="21"/>
        <v>0</v>
      </c>
      <c r="L116" s="223">
        <f t="shared" si="21"/>
        <v>201513</v>
      </c>
      <c r="M116" s="223">
        <f t="shared" si="21"/>
        <v>17981</v>
      </c>
      <c r="N116" s="223">
        <f t="shared" si="21"/>
        <v>0</v>
      </c>
      <c r="O116" s="223">
        <f t="shared" si="21"/>
        <v>5000</v>
      </c>
      <c r="P116" s="223">
        <f t="shared" si="21"/>
        <v>0</v>
      </c>
      <c r="Q116" s="223">
        <f t="shared" si="21"/>
        <v>0</v>
      </c>
      <c r="R116" s="223">
        <f t="shared" si="15"/>
        <v>2696544.8770000003</v>
      </c>
      <c r="S116" s="223"/>
      <c r="T116" s="223">
        <f>T115</f>
        <v>0</v>
      </c>
      <c r="U116" s="223">
        <f>U115</f>
        <v>0</v>
      </c>
      <c r="V116" s="266">
        <f t="shared" si="21"/>
        <v>0</v>
      </c>
      <c r="W116" s="223">
        <f t="shared" si="21"/>
        <v>0</v>
      </c>
      <c r="X116" s="266">
        <f t="shared" si="16"/>
        <v>0</v>
      </c>
      <c r="Y116" s="267">
        <f t="shared" si="17"/>
        <v>2696544.8770000003</v>
      </c>
    </row>
    <row r="117" spans="1:25" ht="29.25" hidden="1" customHeight="1" x14ac:dyDescent="0.25">
      <c r="A117" s="18"/>
      <c r="B117" s="518"/>
      <c r="C117" s="598"/>
      <c r="D117" s="593"/>
      <c r="E117" s="593"/>
      <c r="F117" s="593"/>
      <c r="G117" s="593"/>
      <c r="H117" s="593"/>
      <c r="I117" s="593"/>
      <c r="J117" s="593"/>
      <c r="K117" s="593"/>
      <c r="L117" s="593"/>
      <c r="M117" s="593"/>
      <c r="N117" s="593"/>
      <c r="O117" s="593"/>
      <c r="P117" s="593"/>
      <c r="Q117" s="593"/>
      <c r="R117" s="593"/>
      <c r="S117" s="593"/>
      <c r="T117" s="593"/>
      <c r="U117" s="593"/>
      <c r="V117" s="595"/>
      <c r="W117" s="593"/>
      <c r="X117" s="595"/>
      <c r="Y117" s="334"/>
    </row>
    <row r="118" spans="1:25" ht="33.75" hidden="1" customHeight="1" x14ac:dyDescent="0.2">
      <c r="A118" s="82">
        <v>1</v>
      </c>
      <c r="B118" s="532" t="s">
        <v>517</v>
      </c>
      <c r="C118" s="41" t="s">
        <v>516</v>
      </c>
      <c r="D118" s="159">
        <f>3937</f>
        <v>3937</v>
      </c>
      <c r="E118" s="159">
        <f>1063</f>
        <v>1063</v>
      </c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  <c r="P118" s="159"/>
      <c r="Q118" s="159"/>
      <c r="R118" s="159">
        <f t="shared" si="15"/>
        <v>5000</v>
      </c>
      <c r="S118" s="159"/>
      <c r="T118" s="159"/>
      <c r="U118" s="159"/>
      <c r="V118" s="165"/>
      <c r="W118" s="159"/>
      <c r="X118" s="165">
        <f t="shared" si="16"/>
        <v>0</v>
      </c>
      <c r="Y118" s="271">
        <f t="shared" si="17"/>
        <v>5000</v>
      </c>
    </row>
    <row r="119" spans="1:25" ht="33.75" hidden="1" customHeight="1" x14ac:dyDescent="0.2">
      <c r="A119" s="227">
        <v>2</v>
      </c>
      <c r="B119" s="532" t="s">
        <v>520</v>
      </c>
      <c r="C119" s="41" t="s">
        <v>519</v>
      </c>
      <c r="D119" s="159"/>
      <c r="E119" s="159"/>
      <c r="F119" s="159"/>
      <c r="G119" s="159"/>
      <c r="H119" s="159"/>
      <c r="I119" s="159"/>
      <c r="J119" s="159"/>
      <c r="K119" s="159"/>
      <c r="L119" s="159">
        <f>-3150-850</f>
        <v>-4000</v>
      </c>
      <c r="M119" s="159"/>
      <c r="N119" s="159"/>
      <c r="O119" s="159"/>
      <c r="P119" s="159"/>
      <c r="Q119" s="159"/>
      <c r="R119" s="159">
        <f t="shared" si="15"/>
        <v>-4000</v>
      </c>
      <c r="S119" s="159"/>
      <c r="T119" s="159"/>
      <c r="U119" s="159"/>
      <c r="V119" s="165"/>
      <c r="W119" s="159"/>
      <c r="X119" s="165">
        <f t="shared" si="16"/>
        <v>0</v>
      </c>
      <c r="Y119" s="271">
        <f t="shared" si="17"/>
        <v>-4000</v>
      </c>
    </row>
    <row r="120" spans="1:25" ht="33.75" hidden="1" customHeight="1" x14ac:dyDescent="0.2">
      <c r="A120" s="82">
        <v>3</v>
      </c>
      <c r="B120" s="532" t="s">
        <v>532</v>
      </c>
      <c r="C120" s="41" t="s">
        <v>529</v>
      </c>
      <c r="D120" s="159">
        <f>1583.58</f>
        <v>1583.58</v>
      </c>
      <c r="E120" s="159">
        <v>427.56700000000001</v>
      </c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>
        <f t="shared" si="15"/>
        <v>2011.1469999999999</v>
      </c>
      <c r="S120" s="159"/>
      <c r="T120" s="159"/>
      <c r="U120" s="159"/>
      <c r="V120" s="165"/>
      <c r="W120" s="159"/>
      <c r="X120" s="165">
        <f t="shared" si="16"/>
        <v>0</v>
      </c>
      <c r="Y120" s="271">
        <f t="shared" si="17"/>
        <v>2011.1469999999999</v>
      </c>
    </row>
    <row r="121" spans="1:25" ht="33.75" hidden="1" customHeight="1" x14ac:dyDescent="0.2">
      <c r="A121" s="227">
        <v>4</v>
      </c>
      <c r="B121" s="726" t="s">
        <v>532</v>
      </c>
      <c r="C121" s="727" t="s">
        <v>547</v>
      </c>
      <c r="D121" s="159">
        <f>5432+155+205</f>
        <v>5792</v>
      </c>
      <c r="E121" s="159">
        <f>787+16</f>
        <v>803</v>
      </c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  <c r="P121" s="159"/>
      <c r="Q121" s="159"/>
      <c r="R121" s="159">
        <f t="shared" si="15"/>
        <v>6595</v>
      </c>
      <c r="S121" s="159"/>
      <c r="T121" s="159"/>
      <c r="U121" s="159"/>
      <c r="V121" s="165"/>
      <c r="W121" s="159"/>
      <c r="X121" s="165">
        <f t="shared" si="16"/>
        <v>0</v>
      </c>
      <c r="Y121" s="271">
        <f t="shared" si="17"/>
        <v>6595</v>
      </c>
    </row>
    <row r="122" spans="1:25" ht="33.75" hidden="1" customHeight="1" x14ac:dyDescent="0.2">
      <c r="A122" s="82">
        <v>5</v>
      </c>
      <c r="B122" s="532"/>
      <c r="C122" s="41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R122" s="159">
        <f t="shared" si="15"/>
        <v>0</v>
      </c>
      <c r="S122" s="159"/>
      <c r="T122" s="159"/>
      <c r="U122" s="159"/>
      <c r="V122" s="165"/>
      <c r="W122" s="159"/>
      <c r="X122" s="165">
        <f t="shared" si="16"/>
        <v>0</v>
      </c>
      <c r="Y122" s="271">
        <f t="shared" si="17"/>
        <v>0</v>
      </c>
    </row>
    <row r="123" spans="1:25" ht="30.75" hidden="1" customHeight="1" x14ac:dyDescent="0.2">
      <c r="A123" s="82"/>
      <c r="B123" s="532"/>
      <c r="C123" s="41"/>
      <c r="D123" s="159"/>
      <c r="E123" s="159"/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65"/>
      <c r="W123" s="159"/>
      <c r="X123" s="165"/>
      <c r="Y123" s="271"/>
    </row>
    <row r="124" spans="1:25" ht="30.75" hidden="1" customHeight="1" x14ac:dyDescent="0.2">
      <c r="A124" s="82"/>
      <c r="B124" s="532"/>
      <c r="C124" s="41"/>
      <c r="D124" s="159"/>
      <c r="E124" s="159"/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65"/>
      <c r="W124" s="159"/>
      <c r="X124" s="165"/>
      <c r="Y124" s="271"/>
    </row>
    <row r="125" spans="1:25" ht="30.75" hidden="1" customHeight="1" x14ac:dyDescent="0.2">
      <c r="A125" s="82"/>
      <c r="B125" s="532"/>
      <c r="C125" s="41"/>
      <c r="D125" s="159"/>
      <c r="E125" s="159"/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  <c r="P125" s="159"/>
      <c r="Q125" s="159"/>
      <c r="R125" s="159"/>
      <c r="S125" s="159"/>
      <c r="T125" s="159"/>
      <c r="U125" s="159"/>
      <c r="V125" s="165"/>
      <c r="W125" s="159"/>
      <c r="X125" s="165"/>
      <c r="Y125" s="271"/>
    </row>
    <row r="126" spans="1:25" ht="24" hidden="1" customHeight="1" x14ac:dyDescent="0.2">
      <c r="A126" s="82"/>
      <c r="B126" s="31"/>
      <c r="C126" s="41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59"/>
      <c r="S126" s="159"/>
      <c r="T126" s="159"/>
      <c r="U126" s="159"/>
      <c r="V126" s="165"/>
      <c r="W126" s="159"/>
      <c r="X126" s="165"/>
      <c r="Y126" s="271"/>
    </row>
    <row r="127" spans="1:25" ht="24" hidden="1" customHeight="1" x14ac:dyDescent="0.2">
      <c r="A127" s="216" t="s">
        <v>88</v>
      </c>
      <c r="B127" s="212"/>
      <c r="C127" s="217" t="s">
        <v>86</v>
      </c>
      <c r="D127" s="331">
        <f t="shared" ref="D127:W127" si="22">SUM(D118:D126)</f>
        <v>11312.58</v>
      </c>
      <c r="E127" s="331">
        <f t="shared" si="22"/>
        <v>2293.567</v>
      </c>
      <c r="F127" s="331">
        <f t="shared" si="22"/>
        <v>0</v>
      </c>
      <c r="G127" s="331">
        <f t="shared" si="22"/>
        <v>0</v>
      </c>
      <c r="H127" s="331">
        <f t="shared" si="22"/>
        <v>0</v>
      </c>
      <c r="I127" s="331">
        <f t="shared" si="22"/>
        <v>0</v>
      </c>
      <c r="J127" s="331">
        <f t="shared" si="22"/>
        <v>0</v>
      </c>
      <c r="K127" s="331">
        <f t="shared" si="22"/>
        <v>0</v>
      </c>
      <c r="L127" s="331">
        <f t="shared" si="22"/>
        <v>-4000</v>
      </c>
      <c r="M127" s="331">
        <f t="shared" si="22"/>
        <v>0</v>
      </c>
      <c r="N127" s="331">
        <f t="shared" si="22"/>
        <v>0</v>
      </c>
      <c r="O127" s="331">
        <f t="shared" si="22"/>
        <v>0</v>
      </c>
      <c r="P127" s="331">
        <f t="shared" si="22"/>
        <v>0</v>
      </c>
      <c r="Q127" s="331">
        <f t="shared" si="22"/>
        <v>0</v>
      </c>
      <c r="R127" s="331">
        <f t="shared" si="15"/>
        <v>9606.1470000000008</v>
      </c>
      <c r="S127" s="331"/>
      <c r="T127" s="331">
        <f t="shared" si="22"/>
        <v>0</v>
      </c>
      <c r="U127" s="331">
        <f t="shared" si="22"/>
        <v>0</v>
      </c>
      <c r="V127" s="521">
        <f t="shared" si="22"/>
        <v>0</v>
      </c>
      <c r="W127" s="331">
        <f t="shared" si="22"/>
        <v>0</v>
      </c>
      <c r="X127" s="331">
        <f t="shared" si="16"/>
        <v>0</v>
      </c>
      <c r="Y127" s="331">
        <f t="shared" si="17"/>
        <v>9606.1470000000008</v>
      </c>
    </row>
    <row r="128" spans="1:25" ht="30.75" hidden="1" customHeight="1" x14ac:dyDescent="0.2">
      <c r="A128" s="82"/>
      <c r="B128" s="32"/>
      <c r="C128" s="41"/>
      <c r="D128" s="159"/>
      <c r="E128" s="159"/>
      <c r="F128" s="159"/>
      <c r="G128" s="159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65"/>
      <c r="W128" s="159"/>
      <c r="X128" s="165"/>
      <c r="Y128" s="271"/>
    </row>
    <row r="129" spans="1:25" ht="33.75" hidden="1" customHeight="1" x14ac:dyDescent="0.2">
      <c r="A129" s="82" t="s">
        <v>117</v>
      </c>
      <c r="B129" s="231" t="s">
        <v>509</v>
      </c>
      <c r="C129" s="41" t="s">
        <v>510</v>
      </c>
      <c r="D129" s="159"/>
      <c r="E129" s="159"/>
      <c r="F129" s="159">
        <f>1200+143.197+429.666</f>
        <v>1772.8630000000001</v>
      </c>
      <c r="G129" s="159"/>
      <c r="H129" s="159"/>
      <c r="I129" s="159"/>
      <c r="J129" s="159"/>
      <c r="K129" s="159"/>
      <c r="L129" s="159"/>
      <c r="M129" s="159"/>
      <c r="N129" s="159"/>
      <c r="O129" s="159"/>
      <c r="P129" s="159"/>
      <c r="Q129" s="159"/>
      <c r="R129" s="159">
        <f t="shared" si="15"/>
        <v>1772.8630000000001</v>
      </c>
      <c r="S129" s="159"/>
      <c r="T129" s="159"/>
      <c r="U129" s="159"/>
      <c r="V129" s="165"/>
      <c r="W129" s="159"/>
      <c r="X129" s="165">
        <f t="shared" si="16"/>
        <v>0</v>
      </c>
      <c r="Y129" s="271">
        <f t="shared" si="17"/>
        <v>1772.8630000000001</v>
      </c>
    </row>
    <row r="130" spans="1:25" ht="33.75" hidden="1" customHeight="1" x14ac:dyDescent="0.2">
      <c r="A130" s="82" t="s">
        <v>117</v>
      </c>
      <c r="B130" s="231" t="s">
        <v>521</v>
      </c>
      <c r="C130" s="41" t="s">
        <v>522</v>
      </c>
      <c r="D130" s="159">
        <f>6886.2</f>
        <v>6886.2</v>
      </c>
      <c r="E130" s="159">
        <f>1733.4+190.21+105.672</f>
        <v>2029.2820000000002</v>
      </c>
      <c r="F130" s="159"/>
      <c r="G130" s="159"/>
      <c r="H130" s="159"/>
      <c r="I130" s="159"/>
      <c r="J130" s="159"/>
      <c r="K130" s="159"/>
      <c r="L130" s="159"/>
      <c r="M130" s="159"/>
      <c r="N130" s="159"/>
      <c r="O130" s="159"/>
      <c r="P130" s="159"/>
      <c r="Q130" s="159"/>
      <c r="R130" s="159">
        <f t="shared" si="15"/>
        <v>8915.482</v>
      </c>
      <c r="S130" s="159"/>
      <c r="T130" s="159"/>
      <c r="U130" s="159"/>
      <c r="V130" s="165"/>
      <c r="W130" s="159"/>
      <c r="X130" s="165">
        <f t="shared" si="16"/>
        <v>0</v>
      </c>
      <c r="Y130" s="271">
        <f t="shared" si="17"/>
        <v>8915.482</v>
      </c>
    </row>
    <row r="131" spans="1:25" ht="33.75" hidden="1" customHeight="1" x14ac:dyDescent="0.2">
      <c r="A131" s="82" t="s">
        <v>117</v>
      </c>
      <c r="B131" s="728" t="s">
        <v>542</v>
      </c>
      <c r="C131" s="727" t="s">
        <v>276</v>
      </c>
      <c r="D131" s="159">
        <f>1064+413.251</f>
        <v>1477.251</v>
      </c>
      <c r="E131" s="159">
        <f>143.306+111.578</f>
        <v>254.88400000000001</v>
      </c>
      <c r="F131" s="159"/>
      <c r="G131" s="159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>
        <f t="shared" si="15"/>
        <v>1732.135</v>
      </c>
      <c r="S131" s="159"/>
      <c r="T131" s="159"/>
      <c r="U131" s="159"/>
      <c r="V131" s="165"/>
      <c r="W131" s="159"/>
      <c r="X131" s="165">
        <f t="shared" ref="X131:X137" si="23">SUM(T131:W131)</f>
        <v>0</v>
      </c>
      <c r="Y131" s="271">
        <f t="shared" ref="Y131:Y137" si="24">R131+X131</f>
        <v>1732.135</v>
      </c>
    </row>
    <row r="132" spans="1:25" ht="33.75" hidden="1" customHeight="1" x14ac:dyDescent="0.2">
      <c r="A132" s="82" t="s">
        <v>117</v>
      </c>
      <c r="B132" s="231" t="s">
        <v>575</v>
      </c>
      <c r="C132" s="41" t="s">
        <v>574</v>
      </c>
      <c r="D132" s="159"/>
      <c r="E132" s="159"/>
      <c r="F132" s="159">
        <f>-93.881</f>
        <v>-93.881</v>
      </c>
      <c r="G132" s="159"/>
      <c r="H132" s="159"/>
      <c r="I132" s="159">
        <f>50.356</f>
        <v>50.356000000000002</v>
      </c>
      <c r="J132" s="159">
        <f>40.858+2.667</f>
        <v>43.524999999999999</v>
      </c>
      <c r="K132" s="159"/>
      <c r="L132" s="159"/>
      <c r="M132" s="159"/>
      <c r="N132" s="159"/>
      <c r="O132" s="159"/>
      <c r="P132" s="159"/>
      <c r="Q132" s="159"/>
      <c r="R132" s="159">
        <f t="shared" si="15"/>
        <v>0</v>
      </c>
      <c r="S132" s="159"/>
      <c r="T132" s="159"/>
      <c r="U132" s="159"/>
      <c r="V132" s="165"/>
      <c r="W132" s="159"/>
      <c r="X132" s="165">
        <f t="shared" si="23"/>
        <v>0</v>
      </c>
      <c r="Y132" s="271">
        <f t="shared" si="24"/>
        <v>0</v>
      </c>
    </row>
    <row r="133" spans="1:25" ht="33.75" hidden="1" customHeight="1" x14ac:dyDescent="0.2">
      <c r="A133" s="82" t="s">
        <v>117</v>
      </c>
      <c r="B133" s="231" t="s">
        <v>610</v>
      </c>
      <c r="C133" s="41" t="s">
        <v>609</v>
      </c>
      <c r="D133" s="159"/>
      <c r="E133" s="159"/>
      <c r="F133" s="159">
        <f>539+2105</f>
        <v>2644</v>
      </c>
      <c r="G133" s="159"/>
      <c r="H133" s="159"/>
      <c r="I133" s="159"/>
      <c r="J133" s="159"/>
      <c r="K133" s="159"/>
      <c r="L133" s="159"/>
      <c r="M133" s="159"/>
      <c r="N133" s="159"/>
      <c r="O133" s="159"/>
      <c r="P133" s="159"/>
      <c r="Q133" s="159"/>
      <c r="R133" s="159">
        <f t="shared" si="15"/>
        <v>2644</v>
      </c>
      <c r="S133" s="159"/>
      <c r="T133" s="159"/>
      <c r="U133" s="159"/>
      <c r="V133" s="165"/>
      <c r="W133" s="159"/>
      <c r="X133" s="165">
        <f t="shared" si="23"/>
        <v>0</v>
      </c>
      <c r="Y133" s="271">
        <f t="shared" si="24"/>
        <v>2644</v>
      </c>
    </row>
    <row r="134" spans="1:25" ht="33.75" hidden="1" customHeight="1" x14ac:dyDescent="0.2">
      <c r="A134" s="82" t="s">
        <v>117</v>
      </c>
      <c r="B134" s="231" t="s">
        <v>614</v>
      </c>
      <c r="C134" s="41" t="s">
        <v>276</v>
      </c>
      <c r="D134" s="159">
        <f>1981+83.25</f>
        <v>2064.25</v>
      </c>
      <c r="E134" s="159">
        <f>267.43+22.478</f>
        <v>289.90800000000002</v>
      </c>
      <c r="F134" s="159"/>
      <c r="G134" s="159"/>
      <c r="H134" s="159"/>
      <c r="I134" s="159"/>
      <c r="J134" s="159"/>
      <c r="K134" s="159"/>
      <c r="L134" s="159"/>
      <c r="M134" s="159"/>
      <c r="N134" s="159"/>
      <c r="O134" s="159"/>
      <c r="P134" s="159"/>
      <c r="Q134" s="159"/>
      <c r="R134" s="159">
        <f t="shared" si="15"/>
        <v>2354.1579999999999</v>
      </c>
      <c r="S134" s="159"/>
      <c r="T134" s="159"/>
      <c r="U134" s="159"/>
      <c r="V134" s="165"/>
      <c r="W134" s="159"/>
      <c r="X134" s="165">
        <f t="shared" si="23"/>
        <v>0</v>
      </c>
      <c r="Y134" s="271">
        <f t="shared" si="24"/>
        <v>2354.1579999999999</v>
      </c>
    </row>
    <row r="135" spans="1:25" ht="33.75" hidden="1" customHeight="1" x14ac:dyDescent="0.2">
      <c r="A135" s="82" t="s">
        <v>117</v>
      </c>
      <c r="B135" s="231" t="s">
        <v>616</v>
      </c>
      <c r="C135" s="41" t="s">
        <v>615</v>
      </c>
      <c r="D135" s="159">
        <f>47.6</f>
        <v>47.6</v>
      </c>
      <c r="E135" s="159">
        <f>0.024+0.013</f>
        <v>3.6999999999999998E-2</v>
      </c>
      <c r="F135" s="159">
        <f>17.276+424.877</f>
        <v>442.15300000000002</v>
      </c>
      <c r="G135" s="159"/>
      <c r="H135" s="159"/>
      <c r="I135" s="159">
        <f>33.488</f>
        <v>33.488</v>
      </c>
      <c r="J135" s="159">
        <f>40.858+2.667</f>
        <v>43.524999999999999</v>
      </c>
      <c r="K135" s="159"/>
      <c r="L135" s="159"/>
      <c r="M135" s="159"/>
      <c r="N135" s="159"/>
      <c r="O135" s="159"/>
      <c r="P135" s="159"/>
      <c r="Q135" s="159"/>
      <c r="R135" s="159">
        <f t="shared" si="15"/>
        <v>566.803</v>
      </c>
      <c r="S135" s="159"/>
      <c r="T135" s="159"/>
      <c r="U135" s="159"/>
      <c r="V135" s="165"/>
      <c r="W135" s="159"/>
      <c r="X135" s="165">
        <f t="shared" si="23"/>
        <v>0</v>
      </c>
      <c r="Y135" s="271">
        <f t="shared" si="24"/>
        <v>566.803</v>
      </c>
    </row>
    <row r="136" spans="1:25" ht="33.75" hidden="1" customHeight="1" x14ac:dyDescent="0.2">
      <c r="A136" s="82" t="s">
        <v>117</v>
      </c>
      <c r="B136" s="735" t="s">
        <v>617</v>
      </c>
      <c r="C136" s="41" t="s">
        <v>618</v>
      </c>
      <c r="D136" s="159">
        <f>-2440+2472.4</f>
        <v>32.400000000000091</v>
      </c>
      <c r="E136" s="159">
        <f>-32.4</f>
        <v>-32.4</v>
      </c>
      <c r="F136" s="159"/>
      <c r="G136" s="159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>
        <f t="shared" si="15"/>
        <v>9.2370555648813024E-14</v>
      </c>
      <c r="S136" s="159"/>
      <c r="T136" s="159"/>
      <c r="U136" s="159"/>
      <c r="V136" s="165"/>
      <c r="W136" s="159"/>
      <c r="X136" s="165">
        <f t="shared" si="23"/>
        <v>0</v>
      </c>
      <c r="Y136" s="271">
        <f t="shared" si="24"/>
        <v>9.2370555648813024E-14</v>
      </c>
    </row>
    <row r="137" spans="1:25" ht="33.75" hidden="1" customHeight="1" x14ac:dyDescent="0.2">
      <c r="A137" s="82" t="s">
        <v>117</v>
      </c>
      <c r="B137" s="231"/>
      <c r="C137" s="41"/>
      <c r="D137" s="159"/>
      <c r="E137" s="159"/>
      <c r="F137" s="159"/>
      <c r="G137" s="159"/>
      <c r="H137" s="159"/>
      <c r="I137" s="159"/>
      <c r="J137" s="159"/>
      <c r="K137" s="159"/>
      <c r="L137" s="159"/>
      <c r="M137" s="159"/>
      <c r="N137" s="159"/>
      <c r="O137" s="159"/>
      <c r="P137" s="159"/>
      <c r="Q137" s="159"/>
      <c r="R137" s="159">
        <f t="shared" si="15"/>
        <v>0</v>
      </c>
      <c r="S137" s="159"/>
      <c r="T137" s="159"/>
      <c r="U137" s="159"/>
      <c r="V137" s="165"/>
      <c r="W137" s="159"/>
      <c r="X137" s="165">
        <f t="shared" si="23"/>
        <v>0</v>
      </c>
      <c r="Y137" s="271">
        <f t="shared" si="24"/>
        <v>0</v>
      </c>
    </row>
    <row r="138" spans="1:25" ht="33.75" hidden="1" customHeight="1" x14ac:dyDescent="0.2">
      <c r="A138" s="82"/>
      <c r="B138" s="231"/>
      <c r="C138" s="41"/>
      <c r="D138" s="159"/>
      <c r="E138" s="159"/>
      <c r="F138" s="159"/>
      <c r="G138" s="159"/>
      <c r="H138" s="159"/>
      <c r="I138" s="159"/>
      <c r="J138" s="159"/>
      <c r="K138" s="159"/>
      <c r="L138" s="159"/>
      <c r="M138" s="159"/>
      <c r="N138" s="159"/>
      <c r="O138" s="159"/>
      <c r="P138" s="159"/>
      <c r="Q138" s="159"/>
      <c r="R138" s="159"/>
      <c r="S138" s="159"/>
      <c r="T138" s="159"/>
      <c r="U138" s="159"/>
      <c r="V138" s="165"/>
      <c r="W138" s="159"/>
      <c r="X138" s="165"/>
      <c r="Y138" s="271"/>
    </row>
    <row r="139" spans="1:25" ht="24" hidden="1" customHeight="1" x14ac:dyDescent="0.2">
      <c r="A139" s="82"/>
      <c r="B139" s="31"/>
      <c r="C139" s="41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65"/>
      <c r="W139" s="159"/>
      <c r="X139" s="165"/>
      <c r="Y139" s="328"/>
    </row>
    <row r="140" spans="1:25" ht="24" hidden="1" customHeight="1" x14ac:dyDescent="0.2">
      <c r="A140" s="216" t="s">
        <v>89</v>
      </c>
      <c r="B140" s="212"/>
      <c r="C140" s="217" t="s">
        <v>87</v>
      </c>
      <c r="D140" s="159">
        <f t="shared" ref="D140:Q140" si="25">SUM(D128:D139)</f>
        <v>10507.700999999999</v>
      </c>
      <c r="E140" s="159">
        <f t="shared" si="25"/>
        <v>2541.7109999999998</v>
      </c>
      <c r="F140" s="159">
        <f t="shared" si="25"/>
        <v>4765.1350000000002</v>
      </c>
      <c r="G140" s="159">
        <f t="shared" si="25"/>
        <v>0</v>
      </c>
      <c r="H140" s="159">
        <f t="shared" si="25"/>
        <v>0</v>
      </c>
      <c r="I140" s="159">
        <f t="shared" si="25"/>
        <v>83.843999999999994</v>
      </c>
      <c r="J140" s="159">
        <f t="shared" si="25"/>
        <v>87.05</v>
      </c>
      <c r="K140" s="159">
        <f t="shared" si="25"/>
        <v>0</v>
      </c>
      <c r="L140" s="159">
        <f t="shared" si="25"/>
        <v>0</v>
      </c>
      <c r="M140" s="159">
        <f t="shared" si="25"/>
        <v>0</v>
      </c>
      <c r="N140" s="159">
        <f t="shared" si="25"/>
        <v>0</v>
      </c>
      <c r="O140" s="159">
        <f t="shared" si="25"/>
        <v>0</v>
      </c>
      <c r="P140" s="159">
        <f t="shared" si="25"/>
        <v>0</v>
      </c>
      <c r="Q140" s="159">
        <f t="shared" si="25"/>
        <v>0</v>
      </c>
      <c r="R140" s="159">
        <f t="shared" si="15"/>
        <v>17985.440999999999</v>
      </c>
      <c r="S140" s="159"/>
      <c r="T140" s="159">
        <f>SUM(T128:T139)</f>
        <v>0</v>
      </c>
      <c r="U140" s="159">
        <f>SUM(U128:U139)</f>
        <v>0</v>
      </c>
      <c r="V140" s="165">
        <f>SUM(V128:V139)</f>
        <v>0</v>
      </c>
      <c r="W140" s="159">
        <f>SUM(W128:W139)</f>
        <v>0</v>
      </c>
      <c r="X140" s="165">
        <f t="shared" si="16"/>
        <v>0</v>
      </c>
      <c r="Y140" s="329">
        <f t="shared" si="17"/>
        <v>17985.440999999999</v>
      </c>
    </row>
    <row r="141" spans="1:25" ht="24" hidden="1" customHeight="1" thickBot="1" x14ac:dyDescent="0.25">
      <c r="A141" s="82"/>
      <c r="B141" s="31"/>
      <c r="C141" s="41"/>
      <c r="D141" s="159"/>
      <c r="E141" s="159"/>
      <c r="F141" s="159"/>
      <c r="G141" s="159"/>
      <c r="H141" s="159"/>
      <c r="I141" s="159"/>
      <c r="J141" s="159"/>
      <c r="K141" s="159"/>
      <c r="L141" s="159"/>
      <c r="M141" s="159"/>
      <c r="N141" s="159"/>
      <c r="O141" s="159"/>
      <c r="P141" s="159"/>
      <c r="Q141" s="159"/>
      <c r="R141" s="159"/>
      <c r="S141" s="159"/>
      <c r="T141" s="159"/>
      <c r="U141" s="159"/>
      <c r="V141" s="165"/>
      <c r="W141" s="159"/>
      <c r="X141" s="165"/>
      <c r="Y141" s="328"/>
    </row>
    <row r="142" spans="1:25" ht="30" hidden="1" customHeight="1" thickTop="1" thickBot="1" x14ac:dyDescent="0.25">
      <c r="A142" s="42"/>
      <c r="B142" s="326" t="s">
        <v>188</v>
      </c>
      <c r="C142" s="44" t="s">
        <v>90</v>
      </c>
      <c r="D142" s="524">
        <f t="shared" ref="D142:Q142" si="26">D127+D140</f>
        <v>21820.280999999999</v>
      </c>
      <c r="E142" s="524">
        <f t="shared" si="26"/>
        <v>4835.2780000000002</v>
      </c>
      <c r="F142" s="524">
        <f t="shared" si="26"/>
        <v>4765.1350000000002</v>
      </c>
      <c r="G142" s="524">
        <f t="shared" si="26"/>
        <v>0</v>
      </c>
      <c r="H142" s="524">
        <f t="shared" si="26"/>
        <v>0</v>
      </c>
      <c r="I142" s="524">
        <f t="shared" si="26"/>
        <v>83.843999999999994</v>
      </c>
      <c r="J142" s="524">
        <f t="shared" si="26"/>
        <v>87.05</v>
      </c>
      <c r="K142" s="524">
        <f t="shared" si="26"/>
        <v>0</v>
      </c>
      <c r="L142" s="524">
        <f t="shared" si="26"/>
        <v>-4000</v>
      </c>
      <c r="M142" s="524">
        <f t="shared" si="26"/>
        <v>0</v>
      </c>
      <c r="N142" s="524">
        <f t="shared" si="26"/>
        <v>0</v>
      </c>
      <c r="O142" s="524">
        <f t="shared" si="26"/>
        <v>0</v>
      </c>
      <c r="P142" s="524">
        <f t="shared" si="26"/>
        <v>0</v>
      </c>
      <c r="Q142" s="524">
        <f t="shared" si="26"/>
        <v>0</v>
      </c>
      <c r="R142" s="524">
        <f t="shared" si="15"/>
        <v>27591.588000000003</v>
      </c>
      <c r="S142" s="524"/>
      <c r="T142" s="524">
        <f>T127+T140</f>
        <v>0</v>
      </c>
      <c r="U142" s="524">
        <f>U127+U140</f>
        <v>0</v>
      </c>
      <c r="V142" s="525">
        <f>V127+V140</f>
        <v>0</v>
      </c>
      <c r="W142" s="524">
        <f>W127+W140</f>
        <v>0</v>
      </c>
      <c r="X142" s="525">
        <f t="shared" si="16"/>
        <v>0</v>
      </c>
      <c r="Y142" s="526">
        <f t="shared" si="17"/>
        <v>27591.588000000003</v>
      </c>
    </row>
    <row r="143" spans="1:25" ht="30" hidden="1" customHeight="1" thickTop="1" thickBot="1" x14ac:dyDescent="0.25">
      <c r="A143" s="42"/>
      <c r="B143" s="516" t="s">
        <v>626</v>
      </c>
      <c r="C143" s="44" t="s">
        <v>157</v>
      </c>
      <c r="D143" s="527">
        <f t="shared" ref="D143:Q143" si="27">D116+D142</f>
        <v>1520424.503</v>
      </c>
      <c r="E143" s="533">
        <f t="shared" si="27"/>
        <v>465972.70199999999</v>
      </c>
      <c r="F143" s="527">
        <f t="shared" si="27"/>
        <v>516376.36600000004</v>
      </c>
      <c r="G143" s="527">
        <f t="shared" si="27"/>
        <v>698</v>
      </c>
      <c r="H143" s="527">
        <f t="shared" si="27"/>
        <v>0</v>
      </c>
      <c r="I143" s="527">
        <f t="shared" si="27"/>
        <v>83.843999999999994</v>
      </c>
      <c r="J143" s="527">
        <f t="shared" si="27"/>
        <v>87.05</v>
      </c>
      <c r="K143" s="527">
        <f t="shared" si="27"/>
        <v>0</v>
      </c>
      <c r="L143" s="527">
        <f t="shared" si="27"/>
        <v>197513</v>
      </c>
      <c r="M143" s="527">
        <f t="shared" si="27"/>
        <v>17981</v>
      </c>
      <c r="N143" s="527">
        <f t="shared" si="27"/>
        <v>0</v>
      </c>
      <c r="O143" s="527">
        <f t="shared" si="27"/>
        <v>5000</v>
      </c>
      <c r="P143" s="527">
        <f t="shared" si="27"/>
        <v>0</v>
      </c>
      <c r="Q143" s="527">
        <f t="shared" si="27"/>
        <v>0</v>
      </c>
      <c r="R143" s="533">
        <f t="shared" si="15"/>
        <v>2724136.4649999999</v>
      </c>
      <c r="S143" s="527"/>
      <c r="T143" s="527">
        <f>T116+T142</f>
        <v>0</v>
      </c>
      <c r="U143" s="527">
        <f>U116+U142</f>
        <v>0</v>
      </c>
      <c r="V143" s="527">
        <f>V116+V142</f>
        <v>0</v>
      </c>
      <c r="W143" s="528">
        <f>W116+W142</f>
        <v>0</v>
      </c>
      <c r="X143" s="527">
        <f t="shared" si="16"/>
        <v>0</v>
      </c>
      <c r="Y143" s="543">
        <f t="shared" si="17"/>
        <v>2724136.4649999999</v>
      </c>
    </row>
    <row r="144" spans="1:25" ht="29.25" customHeight="1" thickTop="1" x14ac:dyDescent="0.25">
      <c r="A144" s="135"/>
      <c r="B144" s="559" t="s">
        <v>192</v>
      </c>
      <c r="C144" s="136" t="s">
        <v>18</v>
      </c>
      <c r="D144" s="223">
        <f t="shared" ref="D144:W144" si="28">D143</f>
        <v>1520424.503</v>
      </c>
      <c r="E144" s="534">
        <f t="shared" si="28"/>
        <v>465972.70199999999</v>
      </c>
      <c r="F144" s="223">
        <f t="shared" si="28"/>
        <v>516376.36600000004</v>
      </c>
      <c r="G144" s="223">
        <f t="shared" si="28"/>
        <v>698</v>
      </c>
      <c r="H144" s="223">
        <f t="shared" si="28"/>
        <v>0</v>
      </c>
      <c r="I144" s="223">
        <f t="shared" si="28"/>
        <v>83.843999999999994</v>
      </c>
      <c r="J144" s="223">
        <f t="shared" si="28"/>
        <v>87.05</v>
      </c>
      <c r="K144" s="223">
        <f t="shared" si="28"/>
        <v>0</v>
      </c>
      <c r="L144" s="223">
        <f t="shared" si="28"/>
        <v>197513</v>
      </c>
      <c r="M144" s="223">
        <f t="shared" si="28"/>
        <v>17981</v>
      </c>
      <c r="N144" s="223">
        <f t="shared" si="28"/>
        <v>0</v>
      </c>
      <c r="O144" s="223">
        <f t="shared" si="28"/>
        <v>5000</v>
      </c>
      <c r="P144" s="223">
        <f t="shared" si="28"/>
        <v>0</v>
      </c>
      <c r="Q144" s="223">
        <f t="shared" si="28"/>
        <v>0</v>
      </c>
      <c r="R144" s="534">
        <f t="shared" si="15"/>
        <v>2724136.4649999999</v>
      </c>
      <c r="S144" s="223"/>
      <c r="T144" s="223">
        <f>T143</f>
        <v>0</v>
      </c>
      <c r="U144" s="223">
        <f>U143</f>
        <v>0</v>
      </c>
      <c r="V144" s="266">
        <f t="shared" si="28"/>
        <v>0</v>
      </c>
      <c r="W144" s="223">
        <f t="shared" si="28"/>
        <v>0</v>
      </c>
      <c r="X144" s="266">
        <f t="shared" si="16"/>
        <v>0</v>
      </c>
      <c r="Y144" s="544">
        <f t="shared" si="17"/>
        <v>2724136.4649999999</v>
      </c>
    </row>
    <row r="145" spans="1:25" ht="33.75" customHeight="1" x14ac:dyDescent="0.2">
      <c r="A145" s="227"/>
      <c r="B145" s="333"/>
      <c r="C145" s="28"/>
      <c r="D145" s="164"/>
      <c r="E145" s="164"/>
      <c r="F145" s="159"/>
      <c r="G145" s="159"/>
      <c r="H145" s="159"/>
      <c r="I145" s="159"/>
      <c r="J145" s="159"/>
      <c r="K145" s="159"/>
      <c r="L145" s="159"/>
      <c r="M145" s="159"/>
      <c r="N145" s="159"/>
      <c r="O145" s="159"/>
      <c r="P145" s="159"/>
      <c r="Q145" s="159"/>
      <c r="R145" s="164"/>
      <c r="S145" s="159"/>
      <c r="T145" s="159"/>
      <c r="U145" s="159"/>
      <c r="V145" s="165"/>
      <c r="W145" s="159"/>
      <c r="X145" s="165"/>
      <c r="Y145" s="545"/>
    </row>
    <row r="146" spans="1:25" ht="33.75" customHeight="1" x14ac:dyDescent="0.2">
      <c r="A146" s="227">
        <v>1</v>
      </c>
      <c r="B146" s="333" t="s">
        <v>630</v>
      </c>
      <c r="C146" s="28" t="s">
        <v>718</v>
      </c>
      <c r="D146" s="164">
        <f>1653.374</f>
        <v>1653.374</v>
      </c>
      <c r="E146" s="164">
        <f>599.988</f>
        <v>599.98800000000006</v>
      </c>
      <c r="F146" s="159"/>
      <c r="G146" s="159"/>
      <c r="H146" s="159"/>
      <c r="I146" s="159"/>
      <c r="J146" s="159"/>
      <c r="K146" s="159"/>
      <c r="L146" s="159"/>
      <c r="M146" s="159"/>
      <c r="N146" s="159"/>
      <c r="O146" s="159"/>
      <c r="P146" s="159"/>
      <c r="Q146" s="159"/>
      <c r="R146" s="164">
        <f t="shared" si="15"/>
        <v>2253.3620000000001</v>
      </c>
      <c r="S146" s="159"/>
      <c r="T146" s="159"/>
      <c r="U146" s="159"/>
      <c r="V146" s="165"/>
      <c r="W146" s="159"/>
      <c r="X146" s="165">
        <f t="shared" si="16"/>
        <v>0</v>
      </c>
      <c r="Y146" s="545">
        <f t="shared" si="17"/>
        <v>2253.3620000000001</v>
      </c>
    </row>
    <row r="147" spans="1:25" ht="33.75" customHeight="1" x14ac:dyDescent="0.2">
      <c r="A147" s="82">
        <v>2</v>
      </c>
      <c r="B147" s="120" t="s">
        <v>661</v>
      </c>
      <c r="C147" s="28" t="s">
        <v>660</v>
      </c>
      <c r="D147" s="164"/>
      <c r="E147" s="164"/>
      <c r="F147" s="159">
        <f>-10</f>
        <v>-10</v>
      </c>
      <c r="G147" s="159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64">
        <f t="shared" si="15"/>
        <v>-10</v>
      </c>
      <c r="S147" s="159"/>
      <c r="T147" s="159"/>
      <c r="U147" s="159"/>
      <c r="V147" s="165"/>
      <c r="W147" s="159"/>
      <c r="X147" s="165">
        <f t="shared" si="16"/>
        <v>0</v>
      </c>
      <c r="Y147" s="545">
        <f t="shared" si="17"/>
        <v>-10</v>
      </c>
    </row>
    <row r="148" spans="1:25" ht="33.75" customHeight="1" x14ac:dyDescent="0.2">
      <c r="A148" s="227">
        <v>3</v>
      </c>
      <c r="B148" s="333" t="s">
        <v>666</v>
      </c>
      <c r="C148" s="33" t="s">
        <v>665</v>
      </c>
      <c r="D148" s="159">
        <f>-2034-1270.978+637+486</f>
        <v>-2181.9780000000001</v>
      </c>
      <c r="E148" s="164">
        <f>-780.791+251+140</f>
        <v>-389.79100000000005</v>
      </c>
      <c r="F148" s="159">
        <f>-1461.119+30+135+16+61+323+95+928+23+83+202.618+65+114.151</f>
        <v>614.65000000000009</v>
      </c>
      <c r="G148" s="159"/>
      <c r="H148" s="159"/>
      <c r="I148" s="159">
        <f>-33.356</f>
        <v>-33.356000000000002</v>
      </c>
      <c r="J148" s="159">
        <f>-40.858-2.667</f>
        <v>-43.524999999999999</v>
      </c>
      <c r="K148" s="159"/>
      <c r="L148" s="159"/>
      <c r="M148" s="159"/>
      <c r="N148" s="159"/>
      <c r="O148" s="159"/>
      <c r="P148" s="159"/>
      <c r="Q148" s="159"/>
      <c r="R148" s="164">
        <f t="shared" si="15"/>
        <v>-2034.0000000000002</v>
      </c>
      <c r="S148" s="159"/>
      <c r="T148" s="159"/>
      <c r="U148" s="159"/>
      <c r="V148" s="165"/>
      <c r="W148" s="159"/>
      <c r="X148" s="165">
        <f t="shared" si="16"/>
        <v>0</v>
      </c>
      <c r="Y148" s="545">
        <f t="shared" si="17"/>
        <v>-2034.0000000000002</v>
      </c>
    </row>
    <row r="149" spans="1:25" ht="33.75" customHeight="1" x14ac:dyDescent="0.2">
      <c r="A149" s="82">
        <v>4</v>
      </c>
      <c r="B149" s="733" t="s">
        <v>694</v>
      </c>
      <c r="C149" s="33" t="s">
        <v>687</v>
      </c>
      <c r="D149" s="159"/>
      <c r="E149" s="164"/>
      <c r="F149" s="159"/>
      <c r="G149" s="159">
        <f>-143.12-500</f>
        <v>-643.12</v>
      </c>
      <c r="H149" s="159"/>
      <c r="I149" s="159"/>
      <c r="J149" s="159"/>
      <c r="K149" s="159"/>
      <c r="L149" s="159"/>
      <c r="M149" s="159"/>
      <c r="N149" s="159"/>
      <c r="O149" s="159"/>
      <c r="P149" s="159"/>
      <c r="Q149" s="159"/>
      <c r="R149" s="164">
        <f t="shared" si="15"/>
        <v>-643.12</v>
      </c>
      <c r="S149" s="159"/>
      <c r="T149" s="159"/>
      <c r="U149" s="159"/>
      <c r="V149" s="165"/>
      <c r="W149" s="159"/>
      <c r="X149" s="165">
        <f>SUM(T149:W149)</f>
        <v>0</v>
      </c>
      <c r="Y149" s="545">
        <f>R149+X149</f>
        <v>-643.12</v>
      </c>
    </row>
    <row r="150" spans="1:25" ht="33.75" hidden="1" customHeight="1" x14ac:dyDescent="0.2">
      <c r="A150" s="82"/>
      <c r="B150" s="232"/>
      <c r="C150" s="33"/>
      <c r="D150" s="159"/>
      <c r="E150" s="164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64">
        <f t="shared" si="15"/>
        <v>0</v>
      </c>
      <c r="S150" s="159"/>
      <c r="T150" s="159"/>
      <c r="U150" s="159"/>
      <c r="V150" s="165"/>
      <c r="W150" s="159"/>
      <c r="X150" s="165">
        <f>SUM(T150:W150)</f>
        <v>0</v>
      </c>
      <c r="Y150" s="545">
        <f>R150+X150</f>
        <v>0</v>
      </c>
    </row>
    <row r="151" spans="1:25" ht="33.75" hidden="1" customHeight="1" x14ac:dyDescent="0.2">
      <c r="A151" s="82"/>
      <c r="B151" s="232"/>
      <c r="C151" s="33"/>
      <c r="D151" s="159"/>
      <c r="E151" s="164"/>
      <c r="F151" s="159"/>
      <c r="G151" s="159"/>
      <c r="H151" s="159"/>
      <c r="I151" s="159"/>
      <c r="J151" s="159"/>
      <c r="K151" s="159"/>
      <c r="L151" s="159"/>
      <c r="M151" s="159"/>
      <c r="N151" s="159"/>
      <c r="O151" s="159"/>
      <c r="P151" s="159"/>
      <c r="Q151" s="159"/>
      <c r="R151" s="164">
        <f t="shared" si="15"/>
        <v>0</v>
      </c>
      <c r="S151" s="159"/>
      <c r="T151" s="159"/>
      <c r="U151" s="159"/>
      <c r="V151" s="165"/>
      <c r="W151" s="159"/>
      <c r="X151" s="165">
        <f>SUM(T151:W151)</f>
        <v>0</v>
      </c>
      <c r="Y151" s="545">
        <f>R151+X151</f>
        <v>0</v>
      </c>
    </row>
    <row r="152" spans="1:25" ht="33.75" customHeight="1" x14ac:dyDescent="0.2">
      <c r="A152" s="82"/>
      <c r="B152" s="30"/>
      <c r="C152" s="28"/>
      <c r="D152" s="159"/>
      <c r="E152" s="164"/>
      <c r="F152" s="159"/>
      <c r="G152" s="159"/>
      <c r="H152" s="159"/>
      <c r="I152" s="159"/>
      <c r="J152" s="159"/>
      <c r="K152" s="159"/>
      <c r="L152" s="159"/>
      <c r="M152" s="159"/>
      <c r="N152" s="159"/>
      <c r="O152" s="159"/>
      <c r="P152" s="159"/>
      <c r="Q152" s="159"/>
      <c r="R152" s="164"/>
      <c r="S152" s="159"/>
      <c r="T152" s="159"/>
      <c r="U152" s="159"/>
      <c r="V152" s="165"/>
      <c r="W152" s="159"/>
      <c r="X152" s="165"/>
      <c r="Y152" s="545"/>
    </row>
    <row r="153" spans="1:25" ht="9.9499999999999993" customHeight="1" x14ac:dyDescent="0.2">
      <c r="A153" s="82"/>
      <c r="B153" s="30"/>
      <c r="C153" s="28"/>
      <c r="D153" s="159"/>
      <c r="E153" s="164"/>
      <c r="F153" s="159"/>
      <c r="G153" s="159"/>
      <c r="H153" s="159"/>
      <c r="I153" s="159"/>
      <c r="J153" s="159"/>
      <c r="K153" s="159"/>
      <c r="L153" s="159"/>
      <c r="M153" s="159"/>
      <c r="N153" s="159"/>
      <c r="O153" s="159"/>
      <c r="P153" s="159"/>
      <c r="Q153" s="159"/>
      <c r="R153" s="164"/>
      <c r="S153" s="159"/>
      <c r="T153" s="159"/>
      <c r="U153" s="159"/>
      <c r="V153" s="165"/>
      <c r="W153" s="159"/>
      <c r="X153" s="165"/>
      <c r="Y153" s="545"/>
    </row>
    <row r="154" spans="1:25" ht="20.100000000000001" customHeight="1" x14ac:dyDescent="0.2">
      <c r="A154" s="216" t="s">
        <v>88</v>
      </c>
      <c r="B154" s="212"/>
      <c r="C154" s="217" t="s">
        <v>86</v>
      </c>
      <c r="D154" s="159">
        <f t="shared" ref="D154:W154" si="29">SUM(D145:D153)</f>
        <v>-528.60400000000004</v>
      </c>
      <c r="E154" s="164">
        <f t="shared" si="29"/>
        <v>210.197</v>
      </c>
      <c r="F154" s="159">
        <f t="shared" si="29"/>
        <v>604.65000000000009</v>
      </c>
      <c r="G154" s="159">
        <f t="shared" si="29"/>
        <v>-643.12</v>
      </c>
      <c r="H154" s="159">
        <f t="shared" si="29"/>
        <v>0</v>
      </c>
      <c r="I154" s="159">
        <f t="shared" si="29"/>
        <v>-33.356000000000002</v>
      </c>
      <c r="J154" s="159">
        <f t="shared" si="29"/>
        <v>-43.524999999999999</v>
      </c>
      <c r="K154" s="159">
        <f t="shared" si="29"/>
        <v>0</v>
      </c>
      <c r="L154" s="159">
        <f t="shared" si="29"/>
        <v>0</v>
      </c>
      <c r="M154" s="159">
        <f t="shared" si="29"/>
        <v>0</v>
      </c>
      <c r="N154" s="159">
        <f t="shared" si="29"/>
        <v>0</v>
      </c>
      <c r="O154" s="159">
        <f t="shared" si="29"/>
        <v>0</v>
      </c>
      <c r="P154" s="159">
        <f t="shared" si="29"/>
        <v>0</v>
      </c>
      <c r="Q154" s="159">
        <f t="shared" si="29"/>
        <v>0</v>
      </c>
      <c r="R154" s="164">
        <f t="shared" si="15"/>
        <v>-433.75799999999992</v>
      </c>
      <c r="S154" s="159"/>
      <c r="T154" s="159">
        <f t="shared" si="29"/>
        <v>0</v>
      </c>
      <c r="U154" s="159">
        <f t="shared" si="29"/>
        <v>0</v>
      </c>
      <c r="V154" s="165">
        <f t="shared" si="29"/>
        <v>0</v>
      </c>
      <c r="W154" s="159">
        <f t="shared" si="29"/>
        <v>0</v>
      </c>
      <c r="X154" s="165">
        <f t="shared" si="16"/>
        <v>0</v>
      </c>
      <c r="Y154" s="545">
        <f t="shared" si="17"/>
        <v>-433.75799999999992</v>
      </c>
    </row>
    <row r="155" spans="1:25" ht="33.75" customHeight="1" x14ac:dyDescent="0.2">
      <c r="A155" s="227"/>
      <c r="B155" s="229"/>
      <c r="C155" s="41"/>
      <c r="D155" s="159"/>
      <c r="E155" s="164"/>
      <c r="F155" s="159"/>
      <c r="G155" s="159"/>
      <c r="H155" s="159"/>
      <c r="I155" s="159"/>
      <c r="J155" s="159"/>
      <c r="K155" s="159"/>
      <c r="L155" s="159"/>
      <c r="M155" s="159"/>
      <c r="N155" s="159"/>
      <c r="O155" s="159"/>
      <c r="P155" s="159"/>
      <c r="Q155" s="159"/>
      <c r="R155" s="164"/>
      <c r="S155" s="159"/>
      <c r="T155" s="159"/>
      <c r="U155" s="159"/>
      <c r="V155" s="165"/>
      <c r="W155" s="159"/>
      <c r="X155" s="165"/>
      <c r="Y155" s="545"/>
    </row>
    <row r="156" spans="1:25" ht="33.75" customHeight="1" x14ac:dyDescent="0.2">
      <c r="A156" s="227">
        <v>5</v>
      </c>
      <c r="B156" s="229" t="s">
        <v>668</v>
      </c>
      <c r="C156" s="41" t="s">
        <v>669</v>
      </c>
      <c r="D156" s="159"/>
      <c r="E156" s="164"/>
      <c r="F156" s="159"/>
      <c r="G156" s="159"/>
      <c r="H156" s="159"/>
      <c r="I156" s="159"/>
      <c r="J156" s="159"/>
      <c r="K156" s="159"/>
      <c r="L156" s="159">
        <f>414+112-432-117+432+117-1869-505+1869+505-999-270+999+270</f>
        <v>526</v>
      </c>
      <c r="M156" s="159"/>
      <c r="N156" s="159"/>
      <c r="O156" s="159"/>
      <c r="P156" s="159"/>
      <c r="Q156" s="159"/>
      <c r="R156" s="164">
        <f t="shared" si="15"/>
        <v>526</v>
      </c>
      <c r="S156" s="159"/>
      <c r="T156" s="159"/>
      <c r="U156" s="159"/>
      <c r="V156" s="165"/>
      <c r="W156" s="159"/>
      <c r="X156" s="165">
        <f t="shared" si="16"/>
        <v>0</v>
      </c>
      <c r="Y156" s="545">
        <f t="shared" si="17"/>
        <v>526</v>
      </c>
    </row>
    <row r="157" spans="1:25" ht="33.75" customHeight="1" x14ac:dyDescent="0.2">
      <c r="A157" s="227">
        <v>6</v>
      </c>
      <c r="B157" s="229" t="s">
        <v>684</v>
      </c>
      <c r="C157" s="41" t="s">
        <v>426</v>
      </c>
      <c r="D157" s="159">
        <f>914+166.5</f>
        <v>1080.5</v>
      </c>
      <c r="E157" s="164">
        <f>123.372+44.956</f>
        <v>168.328</v>
      </c>
      <c r="F157" s="159"/>
      <c r="G157" s="159"/>
      <c r="H157" s="159"/>
      <c r="I157" s="159"/>
      <c r="J157" s="159"/>
      <c r="K157" s="159"/>
      <c r="L157" s="159"/>
      <c r="M157" s="159"/>
      <c r="N157" s="159"/>
      <c r="O157" s="159"/>
      <c r="P157" s="159"/>
      <c r="Q157" s="159"/>
      <c r="R157" s="164">
        <f t="shared" si="15"/>
        <v>1248.828</v>
      </c>
      <c r="S157" s="159"/>
      <c r="T157" s="159"/>
      <c r="U157" s="159"/>
      <c r="V157" s="165"/>
      <c r="W157" s="159"/>
      <c r="X157" s="165">
        <f t="shared" si="16"/>
        <v>0</v>
      </c>
      <c r="Y157" s="545">
        <f t="shared" si="17"/>
        <v>1248.828</v>
      </c>
    </row>
    <row r="158" spans="1:25" ht="33.75" customHeight="1" x14ac:dyDescent="0.2">
      <c r="A158" s="227">
        <v>7</v>
      </c>
      <c r="B158" s="695" t="s">
        <v>713</v>
      </c>
      <c r="C158" s="41" t="s">
        <v>714</v>
      </c>
      <c r="D158" s="159"/>
      <c r="E158" s="164"/>
      <c r="F158" s="159">
        <f>-2102-1000-200-35-788-213-165</f>
        <v>-4503</v>
      </c>
      <c r="G158" s="159"/>
      <c r="H158" s="159"/>
      <c r="I158" s="159"/>
      <c r="J158" s="159"/>
      <c r="K158" s="159"/>
      <c r="L158" s="159"/>
      <c r="M158" s="159"/>
      <c r="N158" s="159"/>
      <c r="O158" s="159"/>
      <c r="P158" s="159"/>
      <c r="Q158" s="159"/>
      <c r="R158" s="164">
        <f t="shared" si="15"/>
        <v>-4503</v>
      </c>
      <c r="S158" s="159"/>
      <c r="T158" s="159"/>
      <c r="U158" s="159"/>
      <c r="V158" s="165"/>
      <c r="W158" s="159"/>
      <c r="X158" s="165">
        <f t="shared" si="16"/>
        <v>0</v>
      </c>
      <c r="Y158" s="545">
        <f t="shared" si="17"/>
        <v>-4503</v>
      </c>
    </row>
    <row r="159" spans="1:25" ht="33.75" hidden="1" customHeight="1" x14ac:dyDescent="0.2">
      <c r="A159" s="227" t="s">
        <v>117</v>
      </c>
      <c r="B159" s="229"/>
      <c r="C159" s="41"/>
      <c r="D159" s="159"/>
      <c r="E159" s="164"/>
      <c r="F159" s="159"/>
      <c r="G159" s="159"/>
      <c r="H159" s="159"/>
      <c r="I159" s="159"/>
      <c r="J159" s="159"/>
      <c r="K159" s="159"/>
      <c r="L159" s="159"/>
      <c r="M159" s="159"/>
      <c r="N159" s="159"/>
      <c r="O159" s="159"/>
      <c r="P159" s="159"/>
      <c r="Q159" s="159"/>
      <c r="R159" s="164">
        <f t="shared" si="15"/>
        <v>0</v>
      </c>
      <c r="S159" s="159"/>
      <c r="T159" s="159"/>
      <c r="U159" s="159"/>
      <c r="V159" s="165"/>
      <c r="W159" s="159"/>
      <c r="X159" s="165">
        <f t="shared" si="16"/>
        <v>0</v>
      </c>
      <c r="Y159" s="545">
        <f t="shared" si="17"/>
        <v>0</v>
      </c>
    </row>
    <row r="160" spans="1:25" ht="33.75" hidden="1" customHeight="1" x14ac:dyDescent="0.2">
      <c r="A160" s="227"/>
      <c r="B160" s="229"/>
      <c r="C160" s="41"/>
      <c r="D160" s="159"/>
      <c r="E160" s="164"/>
      <c r="F160" s="159"/>
      <c r="G160" s="159"/>
      <c r="H160" s="159"/>
      <c r="I160" s="159"/>
      <c r="J160" s="159"/>
      <c r="K160" s="159"/>
      <c r="L160" s="159"/>
      <c r="M160" s="159"/>
      <c r="N160" s="159"/>
      <c r="O160" s="159"/>
      <c r="P160" s="159"/>
      <c r="Q160" s="159"/>
      <c r="R160" s="164"/>
      <c r="S160" s="159"/>
      <c r="T160" s="159"/>
      <c r="U160" s="159"/>
      <c r="V160" s="165"/>
      <c r="W160" s="159"/>
      <c r="X160" s="165"/>
      <c r="Y160" s="545">
        <f t="shared" si="17"/>
        <v>0</v>
      </c>
    </row>
    <row r="161" spans="1:26" ht="33.75" customHeight="1" x14ac:dyDescent="0.2">
      <c r="A161" s="82"/>
      <c r="B161" s="32"/>
      <c r="C161" s="34"/>
      <c r="D161" s="159"/>
      <c r="E161" s="164"/>
      <c r="F161" s="159"/>
      <c r="G161" s="159"/>
      <c r="H161" s="159"/>
      <c r="I161" s="159"/>
      <c r="J161" s="159"/>
      <c r="K161" s="159"/>
      <c r="L161" s="159"/>
      <c r="M161" s="159"/>
      <c r="N161" s="159"/>
      <c r="O161" s="159"/>
      <c r="P161" s="159"/>
      <c r="Q161" s="159"/>
      <c r="R161" s="164"/>
      <c r="S161" s="159"/>
      <c r="T161" s="159"/>
      <c r="U161" s="159"/>
      <c r="V161" s="165"/>
      <c r="W161" s="159"/>
      <c r="X161" s="165"/>
      <c r="Y161" s="545"/>
    </row>
    <row r="162" spans="1:26" ht="9.9499999999999993" customHeight="1" x14ac:dyDescent="0.2">
      <c r="A162" s="82"/>
      <c r="B162" s="126"/>
      <c r="C162" s="41"/>
      <c r="D162" s="159"/>
      <c r="E162" s="164"/>
      <c r="F162" s="159"/>
      <c r="G162" s="159"/>
      <c r="H162" s="159"/>
      <c r="I162" s="159"/>
      <c r="J162" s="159"/>
      <c r="K162" s="159"/>
      <c r="L162" s="159"/>
      <c r="M162" s="159"/>
      <c r="N162" s="159"/>
      <c r="O162" s="159"/>
      <c r="P162" s="159"/>
      <c r="Q162" s="159"/>
      <c r="R162" s="164"/>
      <c r="S162" s="159"/>
      <c r="T162" s="159"/>
      <c r="U162" s="159"/>
      <c r="V162" s="165"/>
      <c r="W162" s="159"/>
      <c r="X162" s="165"/>
      <c r="Y162" s="545"/>
    </row>
    <row r="163" spans="1:26" ht="20.100000000000001" customHeight="1" x14ac:dyDescent="0.2">
      <c r="A163" s="216" t="s">
        <v>89</v>
      </c>
      <c r="B163" s="212"/>
      <c r="C163" s="217" t="s">
        <v>87</v>
      </c>
      <c r="D163" s="159">
        <f t="shared" ref="D163:W163" si="30">SUM(D155:D162)</f>
        <v>1080.5</v>
      </c>
      <c r="E163" s="164">
        <f t="shared" si="30"/>
        <v>168.328</v>
      </c>
      <c r="F163" s="159">
        <f t="shared" si="30"/>
        <v>-4503</v>
      </c>
      <c r="G163" s="159">
        <f t="shared" si="30"/>
        <v>0</v>
      </c>
      <c r="H163" s="159">
        <f t="shared" si="30"/>
        <v>0</v>
      </c>
      <c r="I163" s="159">
        <f t="shared" si="30"/>
        <v>0</v>
      </c>
      <c r="J163" s="159">
        <f t="shared" si="30"/>
        <v>0</v>
      </c>
      <c r="K163" s="159">
        <f t="shared" si="30"/>
        <v>0</v>
      </c>
      <c r="L163" s="159">
        <f t="shared" si="30"/>
        <v>526</v>
      </c>
      <c r="M163" s="159">
        <f t="shared" si="30"/>
        <v>0</v>
      </c>
      <c r="N163" s="159">
        <f t="shared" si="30"/>
        <v>0</v>
      </c>
      <c r="O163" s="159">
        <f t="shared" si="30"/>
        <v>0</v>
      </c>
      <c r="P163" s="159">
        <f t="shared" si="30"/>
        <v>0</v>
      </c>
      <c r="Q163" s="159">
        <f t="shared" si="30"/>
        <v>0</v>
      </c>
      <c r="R163" s="164">
        <f t="shared" ref="R163:R230" si="31">SUM(D163:Q163)</f>
        <v>-2728.172</v>
      </c>
      <c r="S163" s="159"/>
      <c r="T163" s="159">
        <f t="shared" si="30"/>
        <v>0</v>
      </c>
      <c r="U163" s="159">
        <f t="shared" si="30"/>
        <v>0</v>
      </c>
      <c r="V163" s="165">
        <f t="shared" si="30"/>
        <v>0</v>
      </c>
      <c r="W163" s="159">
        <f t="shared" si="30"/>
        <v>0</v>
      </c>
      <c r="X163" s="165">
        <f t="shared" ref="X163:X230" si="32">SUM(T163:W163)</f>
        <v>0</v>
      </c>
      <c r="Y163" s="545">
        <f t="shared" ref="Y163:Y230" si="33">R163+X163</f>
        <v>-2728.172</v>
      </c>
    </row>
    <row r="164" spans="1:26" ht="9.9499999999999993" customHeight="1" x14ac:dyDescent="0.2">
      <c r="A164" s="82"/>
      <c r="B164" s="126"/>
      <c r="C164" s="41"/>
      <c r="D164" s="159"/>
      <c r="E164" s="164"/>
      <c r="F164" s="159"/>
      <c r="G164" s="159"/>
      <c r="H164" s="159"/>
      <c r="I164" s="159"/>
      <c r="J164" s="159"/>
      <c r="K164" s="159"/>
      <c r="L164" s="159"/>
      <c r="M164" s="159"/>
      <c r="N164" s="159"/>
      <c r="O164" s="159"/>
      <c r="P164" s="159"/>
      <c r="Q164" s="159"/>
      <c r="R164" s="164"/>
      <c r="S164" s="159"/>
      <c r="T164" s="159"/>
      <c r="U164" s="159"/>
      <c r="V164" s="165"/>
      <c r="W164" s="159"/>
      <c r="X164" s="165"/>
      <c r="Y164" s="545"/>
    </row>
    <row r="165" spans="1:26" ht="24" customHeight="1" thickBot="1" x14ac:dyDescent="0.25">
      <c r="A165" s="82"/>
      <c r="B165" s="89"/>
      <c r="C165" s="41"/>
      <c r="D165" s="159"/>
      <c r="E165" s="164"/>
      <c r="F165" s="159"/>
      <c r="G165" s="159"/>
      <c r="H165" s="159"/>
      <c r="I165" s="159"/>
      <c r="J165" s="159"/>
      <c r="K165" s="159"/>
      <c r="L165" s="159"/>
      <c r="M165" s="159"/>
      <c r="N165" s="159"/>
      <c r="O165" s="159"/>
      <c r="P165" s="159"/>
      <c r="Q165" s="159"/>
      <c r="R165" s="164"/>
      <c r="S165" s="159"/>
      <c r="T165" s="159"/>
      <c r="U165" s="159"/>
      <c r="V165" s="165"/>
      <c r="W165" s="159"/>
      <c r="X165" s="165"/>
      <c r="Y165" s="545"/>
    </row>
    <row r="166" spans="1:26" ht="30" customHeight="1" thickTop="1" thickBot="1" x14ac:dyDescent="0.25">
      <c r="A166" s="42"/>
      <c r="B166" s="264" t="s">
        <v>193</v>
      </c>
      <c r="C166" s="44" t="s">
        <v>90</v>
      </c>
      <c r="D166" s="166">
        <f t="shared" ref="D166:Q166" si="34">D154+D163</f>
        <v>551.89599999999996</v>
      </c>
      <c r="E166" s="522">
        <f t="shared" si="34"/>
        <v>378.52499999999998</v>
      </c>
      <c r="F166" s="166">
        <f t="shared" si="34"/>
        <v>-3898.35</v>
      </c>
      <c r="G166" s="166">
        <f t="shared" si="34"/>
        <v>-643.12</v>
      </c>
      <c r="H166" s="166">
        <f t="shared" si="34"/>
        <v>0</v>
      </c>
      <c r="I166" s="166">
        <f t="shared" si="34"/>
        <v>-33.356000000000002</v>
      </c>
      <c r="J166" s="166">
        <f t="shared" si="34"/>
        <v>-43.524999999999999</v>
      </c>
      <c r="K166" s="166">
        <f t="shared" si="34"/>
        <v>0</v>
      </c>
      <c r="L166" s="166">
        <f t="shared" si="34"/>
        <v>526</v>
      </c>
      <c r="M166" s="166">
        <f t="shared" si="34"/>
        <v>0</v>
      </c>
      <c r="N166" s="166">
        <f t="shared" si="34"/>
        <v>0</v>
      </c>
      <c r="O166" s="166">
        <f t="shared" si="34"/>
        <v>0</v>
      </c>
      <c r="P166" s="166">
        <f t="shared" si="34"/>
        <v>0</v>
      </c>
      <c r="Q166" s="166">
        <f t="shared" si="34"/>
        <v>0</v>
      </c>
      <c r="R166" s="522">
        <f t="shared" si="31"/>
        <v>-3161.9300000000003</v>
      </c>
      <c r="S166" s="166"/>
      <c r="T166" s="166">
        <f>T154+T163</f>
        <v>0</v>
      </c>
      <c r="U166" s="166">
        <f>U154+U163</f>
        <v>0</v>
      </c>
      <c r="V166" s="169">
        <f>V154+V163</f>
        <v>0</v>
      </c>
      <c r="W166" s="166">
        <f>W154+W163</f>
        <v>0</v>
      </c>
      <c r="X166" s="169">
        <f t="shared" si="32"/>
        <v>0</v>
      </c>
      <c r="Y166" s="546">
        <f t="shared" si="33"/>
        <v>-3161.9300000000003</v>
      </c>
    </row>
    <row r="167" spans="1:26" ht="30" customHeight="1" thickTop="1" thickBot="1" x14ac:dyDescent="0.25">
      <c r="A167" s="42"/>
      <c r="B167" s="43" t="s">
        <v>192</v>
      </c>
      <c r="C167" s="44" t="s">
        <v>157</v>
      </c>
      <c r="D167" s="555">
        <f t="shared" ref="D167:Q167" si="35">D144+D166</f>
        <v>1520976.399</v>
      </c>
      <c r="E167" s="583">
        <f t="shared" si="35"/>
        <v>466351.22700000001</v>
      </c>
      <c r="F167" s="555">
        <f t="shared" si="35"/>
        <v>512478.01600000006</v>
      </c>
      <c r="G167" s="555">
        <f t="shared" si="35"/>
        <v>54.879999999999995</v>
      </c>
      <c r="H167" s="555">
        <f t="shared" si="35"/>
        <v>0</v>
      </c>
      <c r="I167" s="555">
        <f t="shared" si="35"/>
        <v>50.487999999999992</v>
      </c>
      <c r="J167" s="555">
        <f t="shared" si="35"/>
        <v>43.524999999999999</v>
      </c>
      <c r="K167" s="555">
        <f t="shared" si="35"/>
        <v>0</v>
      </c>
      <c r="L167" s="555">
        <f t="shared" si="35"/>
        <v>198039</v>
      </c>
      <c r="M167" s="555">
        <f t="shared" si="35"/>
        <v>17981</v>
      </c>
      <c r="N167" s="555">
        <f t="shared" si="35"/>
        <v>0</v>
      </c>
      <c r="O167" s="555">
        <f t="shared" si="35"/>
        <v>5000</v>
      </c>
      <c r="P167" s="555">
        <f t="shared" si="35"/>
        <v>0</v>
      </c>
      <c r="Q167" s="555">
        <f t="shared" si="35"/>
        <v>0</v>
      </c>
      <c r="R167" s="583">
        <f t="shared" si="31"/>
        <v>2720974.5349999997</v>
      </c>
      <c r="S167" s="555"/>
      <c r="T167" s="555">
        <f>T144+T166</f>
        <v>0</v>
      </c>
      <c r="U167" s="555">
        <f>U144+U166</f>
        <v>0</v>
      </c>
      <c r="V167" s="555">
        <f>V144+V166</f>
        <v>0</v>
      </c>
      <c r="W167" s="584">
        <f>W144+W166</f>
        <v>0</v>
      </c>
      <c r="X167" s="555">
        <f t="shared" si="32"/>
        <v>0</v>
      </c>
      <c r="Y167" s="582">
        <f t="shared" si="33"/>
        <v>2720974.5349999997</v>
      </c>
      <c r="Z167" s="134">
        <f>Y167-W167</f>
        <v>2720974.5349999997</v>
      </c>
    </row>
    <row r="168" spans="1:26" ht="24.95" hidden="1" customHeight="1" thickTop="1" x14ac:dyDescent="0.25">
      <c r="A168" s="585"/>
      <c r="B168" s="188" t="s">
        <v>194</v>
      </c>
      <c r="C168" s="136" t="s">
        <v>18</v>
      </c>
      <c r="D168" s="223">
        <f t="shared" ref="D168:W168" si="36">D167</f>
        <v>1520976.399</v>
      </c>
      <c r="E168" s="534">
        <f t="shared" si="36"/>
        <v>466351.22700000001</v>
      </c>
      <c r="F168" s="223">
        <f t="shared" si="36"/>
        <v>512478.01600000006</v>
      </c>
      <c r="G168" s="223">
        <f t="shared" si="36"/>
        <v>54.879999999999995</v>
      </c>
      <c r="H168" s="223">
        <f t="shared" si="36"/>
        <v>0</v>
      </c>
      <c r="I168" s="223">
        <f t="shared" si="36"/>
        <v>50.487999999999992</v>
      </c>
      <c r="J168" s="223">
        <f t="shared" si="36"/>
        <v>43.524999999999999</v>
      </c>
      <c r="K168" s="223">
        <f t="shared" si="36"/>
        <v>0</v>
      </c>
      <c r="L168" s="223">
        <f t="shared" si="36"/>
        <v>198039</v>
      </c>
      <c r="M168" s="223">
        <f t="shared" si="36"/>
        <v>17981</v>
      </c>
      <c r="N168" s="223">
        <f t="shared" si="36"/>
        <v>0</v>
      </c>
      <c r="O168" s="223">
        <f t="shared" si="36"/>
        <v>5000</v>
      </c>
      <c r="P168" s="223">
        <f t="shared" si="36"/>
        <v>0</v>
      </c>
      <c r="Q168" s="223">
        <f t="shared" si="36"/>
        <v>0</v>
      </c>
      <c r="R168" s="534">
        <f t="shared" si="31"/>
        <v>2720974.5349999997</v>
      </c>
      <c r="S168" s="223"/>
      <c r="T168" s="223">
        <f>T167</f>
        <v>0</v>
      </c>
      <c r="U168" s="223">
        <f>U167</f>
        <v>0</v>
      </c>
      <c r="V168" s="266">
        <f t="shared" si="36"/>
        <v>0</v>
      </c>
      <c r="W168" s="223">
        <f t="shared" si="36"/>
        <v>0</v>
      </c>
      <c r="X168" s="266">
        <f t="shared" si="32"/>
        <v>0</v>
      </c>
      <c r="Y168" s="544">
        <f t="shared" si="33"/>
        <v>2720974.5349999997</v>
      </c>
      <c r="Z168" s="134"/>
    </row>
    <row r="169" spans="1:26" ht="33.75" hidden="1" customHeight="1" x14ac:dyDescent="0.25">
      <c r="A169" s="591"/>
      <c r="B169" s="188"/>
      <c r="C169" s="592"/>
      <c r="D169" s="593"/>
      <c r="E169" s="594"/>
      <c r="F169" s="593"/>
      <c r="G169" s="593"/>
      <c r="H169" s="593"/>
      <c r="I169" s="593"/>
      <c r="J169" s="593"/>
      <c r="K169" s="593"/>
      <c r="L169" s="593"/>
      <c r="M169" s="593"/>
      <c r="N169" s="593"/>
      <c r="O169" s="593"/>
      <c r="P169" s="593"/>
      <c r="Q169" s="593"/>
      <c r="R169" s="594"/>
      <c r="S169" s="593"/>
      <c r="T169" s="593"/>
      <c r="U169" s="593"/>
      <c r="V169" s="595"/>
      <c r="W169" s="593"/>
      <c r="X169" s="595"/>
      <c r="Y169" s="596"/>
      <c r="Z169" s="134"/>
    </row>
    <row r="170" spans="1:26" ht="33.75" hidden="1" customHeight="1" x14ac:dyDescent="0.2">
      <c r="A170" s="227">
        <v>1</v>
      </c>
      <c r="B170" s="588"/>
      <c r="C170" s="28"/>
      <c r="D170" s="164"/>
      <c r="E170" s="164"/>
      <c r="F170" s="159"/>
      <c r="G170" s="159"/>
      <c r="H170" s="159"/>
      <c r="I170" s="159"/>
      <c r="J170" s="159"/>
      <c r="K170" s="159"/>
      <c r="L170" s="159"/>
      <c r="M170" s="159"/>
      <c r="N170" s="159"/>
      <c r="O170" s="159"/>
      <c r="P170" s="159"/>
      <c r="Q170" s="159"/>
      <c r="R170" s="164">
        <f t="shared" si="31"/>
        <v>0</v>
      </c>
      <c r="S170" s="159"/>
      <c r="T170" s="159"/>
      <c r="U170" s="159"/>
      <c r="V170" s="165"/>
      <c r="W170" s="159"/>
      <c r="X170" s="165">
        <f t="shared" si="32"/>
        <v>0</v>
      </c>
      <c r="Y170" s="545">
        <f t="shared" si="33"/>
        <v>0</v>
      </c>
      <c r="Z170" s="134"/>
    </row>
    <row r="171" spans="1:26" ht="33.75" hidden="1" customHeight="1" x14ac:dyDescent="0.2">
      <c r="A171" s="227">
        <v>2</v>
      </c>
      <c r="B171" s="587"/>
      <c r="C171" s="28"/>
      <c r="D171" s="164"/>
      <c r="E171" s="164"/>
      <c r="F171" s="159"/>
      <c r="G171" s="159"/>
      <c r="H171" s="159"/>
      <c r="I171" s="159"/>
      <c r="J171" s="159"/>
      <c r="K171" s="159"/>
      <c r="L171" s="159"/>
      <c r="M171" s="159"/>
      <c r="N171" s="159"/>
      <c r="O171" s="159"/>
      <c r="P171" s="159"/>
      <c r="Q171" s="159"/>
      <c r="R171" s="164">
        <f t="shared" si="31"/>
        <v>0</v>
      </c>
      <c r="S171" s="159"/>
      <c r="T171" s="159"/>
      <c r="U171" s="159"/>
      <c r="V171" s="165"/>
      <c r="W171" s="159"/>
      <c r="X171" s="165">
        <f t="shared" si="32"/>
        <v>0</v>
      </c>
      <c r="Y171" s="545">
        <f t="shared" si="33"/>
        <v>0</v>
      </c>
      <c r="Z171" s="134"/>
    </row>
    <row r="172" spans="1:26" ht="33.75" hidden="1" customHeight="1" x14ac:dyDescent="0.2">
      <c r="A172" s="227">
        <v>3</v>
      </c>
      <c r="B172" s="587"/>
      <c r="C172" s="28"/>
      <c r="D172" s="164"/>
      <c r="E172" s="164"/>
      <c r="F172" s="159"/>
      <c r="G172" s="159"/>
      <c r="H172" s="159"/>
      <c r="I172" s="159"/>
      <c r="J172" s="159"/>
      <c r="K172" s="159"/>
      <c r="L172" s="159"/>
      <c r="M172" s="159"/>
      <c r="N172" s="159"/>
      <c r="O172" s="159"/>
      <c r="P172" s="159"/>
      <c r="Q172" s="159"/>
      <c r="R172" s="164">
        <f t="shared" si="31"/>
        <v>0</v>
      </c>
      <c r="S172" s="159"/>
      <c r="T172" s="159"/>
      <c r="U172" s="159"/>
      <c r="V172" s="165"/>
      <c r="W172" s="159"/>
      <c r="X172" s="165">
        <f t="shared" si="32"/>
        <v>0</v>
      </c>
      <c r="Y172" s="545">
        <f t="shared" si="33"/>
        <v>0</v>
      </c>
      <c r="Z172" s="134"/>
    </row>
    <row r="173" spans="1:26" ht="33.75" hidden="1" customHeight="1" x14ac:dyDescent="0.2">
      <c r="A173" s="227"/>
      <c r="B173" s="232"/>
      <c r="C173" s="33"/>
      <c r="D173" s="159"/>
      <c r="E173" s="164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64">
        <f t="shared" si="31"/>
        <v>0</v>
      </c>
      <c r="S173" s="159"/>
      <c r="T173" s="159"/>
      <c r="U173" s="159"/>
      <c r="V173" s="165"/>
      <c r="W173" s="159"/>
      <c r="X173" s="165">
        <f t="shared" si="32"/>
        <v>0</v>
      </c>
      <c r="Y173" s="545">
        <f t="shared" si="33"/>
        <v>0</v>
      </c>
      <c r="Z173" s="134"/>
    </row>
    <row r="174" spans="1:26" ht="33.75" hidden="1" customHeight="1" x14ac:dyDescent="0.2">
      <c r="A174" s="82"/>
      <c r="B174" s="30"/>
      <c r="C174" s="28"/>
      <c r="D174" s="159"/>
      <c r="E174" s="164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64">
        <f t="shared" si="31"/>
        <v>0</v>
      </c>
      <c r="S174" s="159"/>
      <c r="T174" s="159"/>
      <c r="U174" s="159"/>
      <c r="V174" s="165"/>
      <c r="W174" s="159"/>
      <c r="X174" s="165">
        <f t="shared" si="32"/>
        <v>0</v>
      </c>
      <c r="Y174" s="545">
        <f t="shared" si="33"/>
        <v>0</v>
      </c>
      <c r="Z174" s="134"/>
    </row>
    <row r="175" spans="1:26" ht="33.75" hidden="1" customHeight="1" x14ac:dyDescent="0.2">
      <c r="A175" s="82"/>
      <c r="B175" s="30"/>
      <c r="C175" s="28"/>
      <c r="D175" s="159"/>
      <c r="E175" s="164"/>
      <c r="F175" s="159"/>
      <c r="G175" s="159"/>
      <c r="H175" s="159"/>
      <c r="I175" s="159"/>
      <c r="J175" s="159"/>
      <c r="K175" s="159"/>
      <c r="L175" s="159"/>
      <c r="M175" s="159"/>
      <c r="N175" s="159"/>
      <c r="O175" s="159"/>
      <c r="P175" s="159"/>
      <c r="Q175" s="159"/>
      <c r="R175" s="164"/>
      <c r="S175" s="159"/>
      <c r="T175" s="159"/>
      <c r="U175" s="159"/>
      <c r="V175" s="165"/>
      <c r="W175" s="159"/>
      <c r="X175" s="165"/>
      <c r="Y175" s="545"/>
      <c r="Z175" s="134"/>
    </row>
    <row r="176" spans="1:26" ht="24" hidden="1" customHeight="1" x14ac:dyDescent="0.2">
      <c r="A176" s="216" t="s">
        <v>88</v>
      </c>
      <c r="B176" s="212"/>
      <c r="C176" s="217" t="s">
        <v>86</v>
      </c>
      <c r="D176" s="159">
        <f t="shared" ref="D176:W176" si="37">SUM(D170:D175)</f>
        <v>0</v>
      </c>
      <c r="E176" s="164">
        <f t="shared" si="37"/>
        <v>0</v>
      </c>
      <c r="F176" s="159">
        <f t="shared" si="37"/>
        <v>0</v>
      </c>
      <c r="G176" s="159">
        <f t="shared" si="37"/>
        <v>0</v>
      </c>
      <c r="H176" s="159">
        <f t="shared" si="37"/>
        <v>0</v>
      </c>
      <c r="I176" s="159">
        <f t="shared" si="37"/>
        <v>0</v>
      </c>
      <c r="J176" s="159">
        <f t="shared" si="37"/>
        <v>0</v>
      </c>
      <c r="K176" s="159">
        <f t="shared" si="37"/>
        <v>0</v>
      </c>
      <c r="L176" s="159">
        <f t="shared" si="37"/>
        <v>0</v>
      </c>
      <c r="M176" s="159">
        <f t="shared" si="37"/>
        <v>0</v>
      </c>
      <c r="N176" s="159">
        <f t="shared" si="37"/>
        <v>0</v>
      </c>
      <c r="O176" s="159">
        <f t="shared" si="37"/>
        <v>0</v>
      </c>
      <c r="P176" s="159">
        <f t="shared" si="37"/>
        <v>0</v>
      </c>
      <c r="Q176" s="159">
        <f t="shared" si="37"/>
        <v>0</v>
      </c>
      <c r="R176" s="164">
        <f t="shared" si="31"/>
        <v>0</v>
      </c>
      <c r="S176" s="159"/>
      <c r="T176" s="159">
        <f t="shared" si="37"/>
        <v>0</v>
      </c>
      <c r="U176" s="159">
        <f t="shared" si="37"/>
        <v>0</v>
      </c>
      <c r="V176" s="165">
        <f t="shared" si="37"/>
        <v>0</v>
      </c>
      <c r="W176" s="159">
        <f t="shared" si="37"/>
        <v>0</v>
      </c>
      <c r="X176" s="165">
        <f t="shared" si="32"/>
        <v>0</v>
      </c>
      <c r="Y176" s="545">
        <f t="shared" si="33"/>
        <v>0</v>
      </c>
      <c r="Z176" s="134"/>
    </row>
    <row r="177" spans="1:26" ht="33.75" hidden="1" customHeight="1" x14ac:dyDescent="0.2">
      <c r="A177" s="82"/>
      <c r="B177" s="45"/>
      <c r="C177" s="28"/>
      <c r="D177" s="159"/>
      <c r="E177" s="164"/>
      <c r="F177" s="159"/>
      <c r="G177" s="159"/>
      <c r="H177" s="159"/>
      <c r="I177" s="159"/>
      <c r="J177" s="159"/>
      <c r="K177" s="159"/>
      <c r="L177" s="159"/>
      <c r="M177" s="159"/>
      <c r="N177" s="159"/>
      <c r="O177" s="159"/>
      <c r="P177" s="159"/>
      <c r="Q177" s="159"/>
      <c r="R177" s="164"/>
      <c r="S177" s="159"/>
      <c r="T177" s="159"/>
      <c r="U177" s="159"/>
      <c r="V177" s="165"/>
      <c r="W177" s="159"/>
      <c r="X177" s="165"/>
      <c r="Y177" s="545"/>
      <c r="Z177" s="134"/>
    </row>
    <row r="178" spans="1:26" ht="33.75" hidden="1" customHeight="1" x14ac:dyDescent="0.2">
      <c r="A178" s="227" t="s">
        <v>117</v>
      </c>
      <c r="B178" s="229"/>
      <c r="C178" s="41"/>
      <c r="D178" s="159"/>
      <c r="E178" s="164"/>
      <c r="F178" s="159"/>
      <c r="G178" s="159"/>
      <c r="H178" s="159"/>
      <c r="I178" s="159"/>
      <c r="J178" s="159"/>
      <c r="K178" s="159"/>
      <c r="L178" s="159"/>
      <c r="M178" s="159"/>
      <c r="N178" s="159"/>
      <c r="O178" s="159"/>
      <c r="P178" s="159"/>
      <c r="Q178" s="159"/>
      <c r="R178" s="164">
        <f t="shared" si="31"/>
        <v>0</v>
      </c>
      <c r="S178" s="159"/>
      <c r="T178" s="159"/>
      <c r="U178" s="159"/>
      <c r="V178" s="165"/>
      <c r="W178" s="159"/>
      <c r="X178" s="165">
        <f t="shared" si="32"/>
        <v>0</v>
      </c>
      <c r="Y178" s="545">
        <f t="shared" si="33"/>
        <v>0</v>
      </c>
      <c r="Z178" s="134"/>
    </row>
    <row r="179" spans="1:26" ht="33.75" hidden="1" customHeight="1" x14ac:dyDescent="0.2">
      <c r="A179" s="227" t="s">
        <v>117</v>
      </c>
      <c r="B179" s="229"/>
      <c r="C179" s="41"/>
      <c r="D179" s="159"/>
      <c r="E179" s="164"/>
      <c r="F179" s="159"/>
      <c r="G179" s="159"/>
      <c r="H179" s="159"/>
      <c r="I179" s="159"/>
      <c r="J179" s="159"/>
      <c r="K179" s="159"/>
      <c r="L179" s="159"/>
      <c r="M179" s="159"/>
      <c r="N179" s="159"/>
      <c r="O179" s="159"/>
      <c r="P179" s="159"/>
      <c r="Q179" s="159"/>
      <c r="R179" s="164">
        <f t="shared" si="31"/>
        <v>0</v>
      </c>
      <c r="S179" s="159"/>
      <c r="T179" s="159"/>
      <c r="U179" s="159"/>
      <c r="V179" s="165"/>
      <c r="W179" s="159"/>
      <c r="X179" s="165">
        <f t="shared" si="32"/>
        <v>0</v>
      </c>
      <c r="Y179" s="545">
        <f t="shared" si="33"/>
        <v>0</v>
      </c>
      <c r="Z179" s="134"/>
    </row>
    <row r="180" spans="1:26" ht="33.75" hidden="1" customHeight="1" x14ac:dyDescent="0.2">
      <c r="A180" s="82" t="s">
        <v>117</v>
      </c>
      <c r="B180" s="32"/>
      <c r="C180" s="34"/>
      <c r="D180" s="159"/>
      <c r="E180" s="164"/>
      <c r="F180" s="159"/>
      <c r="G180" s="159"/>
      <c r="H180" s="159"/>
      <c r="I180" s="159"/>
      <c r="J180" s="159"/>
      <c r="K180" s="159"/>
      <c r="L180" s="159"/>
      <c r="M180" s="159"/>
      <c r="N180" s="159"/>
      <c r="O180" s="159"/>
      <c r="P180" s="159"/>
      <c r="Q180" s="159"/>
      <c r="R180" s="164">
        <f t="shared" si="31"/>
        <v>0</v>
      </c>
      <c r="S180" s="159"/>
      <c r="T180" s="159"/>
      <c r="U180" s="159"/>
      <c r="V180" s="165"/>
      <c r="W180" s="159"/>
      <c r="X180" s="165">
        <f t="shared" si="32"/>
        <v>0</v>
      </c>
      <c r="Y180" s="545">
        <f t="shared" si="33"/>
        <v>0</v>
      </c>
      <c r="Z180" s="134"/>
    </row>
    <row r="181" spans="1:26" ht="33.75" hidden="1" customHeight="1" x14ac:dyDescent="0.2">
      <c r="A181" s="82" t="s">
        <v>117</v>
      </c>
      <c r="B181" s="299"/>
      <c r="C181" s="34"/>
      <c r="D181" s="159"/>
      <c r="E181" s="164"/>
      <c r="F181" s="159"/>
      <c r="G181" s="159"/>
      <c r="H181" s="159"/>
      <c r="I181" s="159"/>
      <c r="J181" s="159"/>
      <c r="K181" s="159"/>
      <c r="L181" s="159"/>
      <c r="M181" s="159"/>
      <c r="N181" s="159"/>
      <c r="O181" s="159"/>
      <c r="P181" s="159"/>
      <c r="Q181" s="159"/>
      <c r="R181" s="164">
        <f t="shared" si="31"/>
        <v>0</v>
      </c>
      <c r="S181" s="159"/>
      <c r="T181" s="159"/>
      <c r="U181" s="159"/>
      <c r="V181" s="165"/>
      <c r="W181" s="159"/>
      <c r="X181" s="165">
        <f t="shared" si="32"/>
        <v>0</v>
      </c>
      <c r="Y181" s="545">
        <f t="shared" si="33"/>
        <v>0</v>
      </c>
      <c r="Z181" s="134"/>
    </row>
    <row r="182" spans="1:26" ht="33.75" hidden="1" customHeight="1" x14ac:dyDescent="0.2">
      <c r="A182" s="82" t="s">
        <v>198</v>
      </c>
      <c r="B182" s="294"/>
      <c r="C182" s="34"/>
      <c r="D182" s="159"/>
      <c r="E182" s="164"/>
      <c r="F182" s="159"/>
      <c r="G182" s="159"/>
      <c r="H182" s="159"/>
      <c r="I182" s="159"/>
      <c r="J182" s="159"/>
      <c r="K182" s="159"/>
      <c r="L182" s="159"/>
      <c r="M182" s="159"/>
      <c r="N182" s="159"/>
      <c r="O182" s="159"/>
      <c r="P182" s="159"/>
      <c r="Q182" s="159"/>
      <c r="R182" s="164">
        <f t="shared" si="31"/>
        <v>0</v>
      </c>
      <c r="S182" s="159"/>
      <c r="T182" s="159"/>
      <c r="U182" s="159"/>
      <c r="V182" s="165"/>
      <c r="W182" s="159"/>
      <c r="X182" s="165">
        <f t="shared" si="32"/>
        <v>0</v>
      </c>
      <c r="Y182" s="545">
        <f t="shared" si="33"/>
        <v>0</v>
      </c>
      <c r="Z182" s="134"/>
    </row>
    <row r="183" spans="1:26" ht="33.75" hidden="1" customHeight="1" x14ac:dyDescent="0.2">
      <c r="A183" s="82" t="s">
        <v>198</v>
      </c>
      <c r="B183" s="299"/>
      <c r="C183" s="34"/>
      <c r="D183" s="159"/>
      <c r="E183" s="164"/>
      <c r="F183" s="159"/>
      <c r="G183" s="159"/>
      <c r="H183" s="159"/>
      <c r="I183" s="159"/>
      <c r="J183" s="159"/>
      <c r="K183" s="159"/>
      <c r="L183" s="159"/>
      <c r="M183" s="159"/>
      <c r="N183" s="159"/>
      <c r="O183" s="159"/>
      <c r="P183" s="159"/>
      <c r="Q183" s="159"/>
      <c r="R183" s="164">
        <f t="shared" si="31"/>
        <v>0</v>
      </c>
      <c r="S183" s="159"/>
      <c r="T183" s="159"/>
      <c r="U183" s="159"/>
      <c r="V183" s="165"/>
      <c r="W183" s="159"/>
      <c r="X183" s="165">
        <f t="shared" si="32"/>
        <v>0</v>
      </c>
      <c r="Y183" s="545">
        <f t="shared" si="33"/>
        <v>0</v>
      </c>
      <c r="Z183" s="134"/>
    </row>
    <row r="184" spans="1:26" ht="33.75" hidden="1" customHeight="1" x14ac:dyDescent="0.2">
      <c r="A184" s="82" t="s">
        <v>198</v>
      </c>
      <c r="B184" s="299"/>
      <c r="C184" s="34"/>
      <c r="D184" s="159"/>
      <c r="E184" s="164"/>
      <c r="F184" s="159"/>
      <c r="G184" s="159"/>
      <c r="H184" s="159"/>
      <c r="I184" s="159"/>
      <c r="J184" s="159"/>
      <c r="K184" s="159"/>
      <c r="L184" s="159"/>
      <c r="M184" s="159"/>
      <c r="N184" s="159"/>
      <c r="O184" s="159"/>
      <c r="P184" s="159"/>
      <c r="Q184" s="159"/>
      <c r="R184" s="164">
        <f t="shared" si="31"/>
        <v>0</v>
      </c>
      <c r="S184" s="159"/>
      <c r="T184" s="159"/>
      <c r="U184" s="159"/>
      <c r="V184" s="165"/>
      <c r="W184" s="159"/>
      <c r="X184" s="165">
        <f t="shared" si="32"/>
        <v>0</v>
      </c>
      <c r="Y184" s="545">
        <f t="shared" si="33"/>
        <v>0</v>
      </c>
      <c r="Z184" s="134"/>
    </row>
    <row r="185" spans="1:26" ht="33.75" hidden="1" customHeight="1" x14ac:dyDescent="0.2">
      <c r="A185" s="82"/>
      <c r="B185" s="126"/>
      <c r="C185" s="41"/>
      <c r="D185" s="159"/>
      <c r="E185" s="164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64"/>
      <c r="S185" s="159"/>
      <c r="T185" s="159"/>
      <c r="U185" s="159"/>
      <c r="V185" s="165"/>
      <c r="W185" s="159"/>
      <c r="X185" s="165"/>
      <c r="Y185" s="545"/>
      <c r="Z185" s="134"/>
    </row>
    <row r="186" spans="1:26" ht="24" hidden="1" customHeight="1" x14ac:dyDescent="0.2">
      <c r="A186" s="216" t="s">
        <v>89</v>
      </c>
      <c r="B186" s="212"/>
      <c r="C186" s="217" t="s">
        <v>87</v>
      </c>
      <c r="D186" s="159">
        <f t="shared" ref="D186:W186" si="38">SUM(D178:D185)</f>
        <v>0</v>
      </c>
      <c r="E186" s="164">
        <f t="shared" si="38"/>
        <v>0</v>
      </c>
      <c r="F186" s="159">
        <f t="shared" si="38"/>
        <v>0</v>
      </c>
      <c r="G186" s="159">
        <f t="shared" si="38"/>
        <v>0</v>
      </c>
      <c r="H186" s="159">
        <f t="shared" si="38"/>
        <v>0</v>
      </c>
      <c r="I186" s="159">
        <f t="shared" si="38"/>
        <v>0</v>
      </c>
      <c r="J186" s="159">
        <f t="shared" si="38"/>
        <v>0</v>
      </c>
      <c r="K186" s="159">
        <f t="shared" si="38"/>
        <v>0</v>
      </c>
      <c r="L186" s="159">
        <f t="shared" si="38"/>
        <v>0</v>
      </c>
      <c r="M186" s="159">
        <f t="shared" si="38"/>
        <v>0</v>
      </c>
      <c r="N186" s="159">
        <f t="shared" si="38"/>
        <v>0</v>
      </c>
      <c r="O186" s="159">
        <f t="shared" si="38"/>
        <v>0</v>
      </c>
      <c r="P186" s="159">
        <f t="shared" si="38"/>
        <v>0</v>
      </c>
      <c r="Q186" s="159">
        <f t="shared" si="38"/>
        <v>0</v>
      </c>
      <c r="R186" s="164">
        <f t="shared" si="31"/>
        <v>0</v>
      </c>
      <c r="S186" s="159"/>
      <c r="T186" s="159">
        <f t="shared" si="38"/>
        <v>0</v>
      </c>
      <c r="U186" s="159">
        <f t="shared" si="38"/>
        <v>0</v>
      </c>
      <c r="V186" s="165">
        <f t="shared" si="38"/>
        <v>0</v>
      </c>
      <c r="W186" s="159">
        <f t="shared" si="38"/>
        <v>0</v>
      </c>
      <c r="X186" s="165">
        <f t="shared" si="32"/>
        <v>0</v>
      </c>
      <c r="Y186" s="545">
        <f t="shared" si="33"/>
        <v>0</v>
      </c>
      <c r="Z186" s="134"/>
    </row>
    <row r="187" spans="1:26" ht="24" hidden="1" customHeight="1" x14ac:dyDescent="0.2">
      <c r="A187" s="82"/>
      <c r="B187" s="126"/>
      <c r="C187" s="41"/>
      <c r="D187" s="159"/>
      <c r="E187" s="164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64"/>
      <c r="S187" s="159"/>
      <c r="T187" s="159"/>
      <c r="U187" s="159"/>
      <c r="V187" s="165"/>
      <c r="W187" s="159"/>
      <c r="X187" s="165"/>
      <c r="Y187" s="545"/>
      <c r="Z187" s="134"/>
    </row>
    <row r="188" spans="1:26" ht="24" hidden="1" customHeight="1" thickBot="1" x14ac:dyDescent="0.25">
      <c r="A188" s="82"/>
      <c r="B188" s="89"/>
      <c r="C188" s="41"/>
      <c r="D188" s="159"/>
      <c r="E188" s="164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64"/>
      <c r="S188" s="159"/>
      <c r="T188" s="159"/>
      <c r="U188" s="159"/>
      <c r="V188" s="165"/>
      <c r="W188" s="159"/>
      <c r="X188" s="165"/>
      <c r="Y188" s="545"/>
      <c r="Z188" s="134"/>
    </row>
    <row r="189" spans="1:26" ht="33.75" hidden="1" customHeight="1" thickTop="1" thickBot="1" x14ac:dyDescent="0.25">
      <c r="A189" s="42"/>
      <c r="B189" s="264" t="s">
        <v>193</v>
      </c>
      <c r="C189" s="44" t="s">
        <v>90</v>
      </c>
      <c r="D189" s="166">
        <f t="shared" ref="D189:W189" si="39">D176+D186</f>
        <v>0</v>
      </c>
      <c r="E189" s="522">
        <f t="shared" si="39"/>
        <v>0</v>
      </c>
      <c r="F189" s="166">
        <f t="shared" si="39"/>
        <v>0</v>
      </c>
      <c r="G189" s="166">
        <f t="shared" si="39"/>
        <v>0</v>
      </c>
      <c r="H189" s="166">
        <f t="shared" si="39"/>
        <v>0</v>
      </c>
      <c r="I189" s="166">
        <f t="shared" si="39"/>
        <v>0</v>
      </c>
      <c r="J189" s="166">
        <f t="shared" si="39"/>
        <v>0</v>
      </c>
      <c r="K189" s="166">
        <f t="shared" si="39"/>
        <v>0</v>
      </c>
      <c r="L189" s="166">
        <f t="shared" si="39"/>
        <v>0</v>
      </c>
      <c r="M189" s="166">
        <f t="shared" si="39"/>
        <v>0</v>
      </c>
      <c r="N189" s="166">
        <f t="shared" si="39"/>
        <v>0</v>
      </c>
      <c r="O189" s="166">
        <f t="shared" si="39"/>
        <v>0</v>
      </c>
      <c r="P189" s="166">
        <f t="shared" si="39"/>
        <v>0</v>
      </c>
      <c r="Q189" s="166">
        <f t="shared" si="39"/>
        <v>0</v>
      </c>
      <c r="R189" s="522">
        <f t="shared" si="31"/>
        <v>0</v>
      </c>
      <c r="S189" s="166"/>
      <c r="T189" s="166">
        <f>T176+T186</f>
        <v>0</v>
      </c>
      <c r="U189" s="166">
        <f>U176+U186</f>
        <v>0</v>
      </c>
      <c r="V189" s="169">
        <f t="shared" si="39"/>
        <v>0</v>
      </c>
      <c r="W189" s="166">
        <f t="shared" si="39"/>
        <v>0</v>
      </c>
      <c r="X189" s="169">
        <f t="shared" si="32"/>
        <v>0</v>
      </c>
      <c r="Y189" s="546">
        <f t="shared" si="33"/>
        <v>0</v>
      </c>
      <c r="Z189" s="134"/>
    </row>
    <row r="190" spans="1:26" ht="33.75" hidden="1" customHeight="1" thickTop="1" thickBot="1" x14ac:dyDescent="0.25">
      <c r="A190" s="42"/>
      <c r="B190" s="43" t="s">
        <v>194</v>
      </c>
      <c r="C190" s="44" t="s">
        <v>157</v>
      </c>
      <c r="D190" s="210">
        <f t="shared" ref="D190:W190" si="40">D168+D189</f>
        <v>1520976.399</v>
      </c>
      <c r="E190" s="210">
        <f t="shared" si="40"/>
        <v>466351.22700000001</v>
      </c>
      <c r="F190" s="210">
        <f t="shared" si="40"/>
        <v>512478.01600000006</v>
      </c>
      <c r="G190" s="210">
        <f t="shared" si="40"/>
        <v>54.879999999999995</v>
      </c>
      <c r="H190" s="210">
        <f t="shared" si="40"/>
        <v>0</v>
      </c>
      <c r="I190" s="210">
        <f t="shared" si="40"/>
        <v>50.487999999999992</v>
      </c>
      <c r="J190" s="210">
        <f t="shared" si="40"/>
        <v>43.524999999999999</v>
      </c>
      <c r="K190" s="210">
        <f t="shared" si="40"/>
        <v>0</v>
      </c>
      <c r="L190" s="210">
        <f t="shared" si="40"/>
        <v>198039</v>
      </c>
      <c r="M190" s="210">
        <f t="shared" si="40"/>
        <v>17981</v>
      </c>
      <c r="N190" s="210">
        <f t="shared" si="40"/>
        <v>0</v>
      </c>
      <c r="O190" s="210">
        <f t="shared" si="40"/>
        <v>5000</v>
      </c>
      <c r="P190" s="210">
        <f t="shared" si="40"/>
        <v>0</v>
      </c>
      <c r="Q190" s="210">
        <f t="shared" si="40"/>
        <v>0</v>
      </c>
      <c r="R190" s="210">
        <f t="shared" si="31"/>
        <v>2720974.5349999997</v>
      </c>
      <c r="S190" s="166"/>
      <c r="T190" s="166">
        <f>T168+T189</f>
        <v>0</v>
      </c>
      <c r="U190" s="166">
        <f>U168+U189</f>
        <v>0</v>
      </c>
      <c r="V190" s="169">
        <f t="shared" si="40"/>
        <v>0</v>
      </c>
      <c r="W190" s="166">
        <f t="shared" si="40"/>
        <v>0</v>
      </c>
      <c r="X190" s="169">
        <f t="shared" si="32"/>
        <v>0</v>
      </c>
      <c r="Y190" s="582">
        <f t="shared" si="33"/>
        <v>2720974.5349999997</v>
      </c>
      <c r="Z190" s="134"/>
    </row>
    <row r="191" spans="1:26" ht="24" hidden="1" customHeight="1" thickTop="1" x14ac:dyDescent="0.2">
      <c r="A191" s="213"/>
      <c r="B191" s="224"/>
      <c r="C191" s="225"/>
      <c r="D191" s="338"/>
      <c r="E191" s="535"/>
      <c r="F191" s="338"/>
      <c r="G191" s="338"/>
      <c r="H191" s="338"/>
      <c r="I191" s="338"/>
      <c r="J191" s="338"/>
      <c r="K191" s="338"/>
      <c r="L191" s="338"/>
      <c r="M191" s="338"/>
      <c r="N191" s="338"/>
      <c r="O191" s="338"/>
      <c r="P191" s="338"/>
      <c r="Q191" s="338"/>
      <c r="R191" s="535">
        <f t="shared" si="31"/>
        <v>0</v>
      </c>
      <c r="S191" s="338"/>
      <c r="T191" s="338"/>
      <c r="U191" s="338"/>
      <c r="V191" s="339"/>
      <c r="W191" s="338"/>
      <c r="X191" s="339">
        <f t="shared" si="32"/>
        <v>0</v>
      </c>
      <c r="Y191" s="547">
        <f t="shared" si="33"/>
        <v>0</v>
      </c>
      <c r="Z191" s="134"/>
    </row>
    <row r="192" spans="1:26" ht="24" hidden="1" customHeight="1" x14ac:dyDescent="0.2">
      <c r="A192" s="213"/>
      <c r="B192" s="224"/>
      <c r="C192" s="225"/>
      <c r="D192" s="338"/>
      <c r="E192" s="535"/>
      <c r="F192" s="338"/>
      <c r="G192" s="338"/>
      <c r="H192" s="338"/>
      <c r="I192" s="338"/>
      <c r="J192" s="338"/>
      <c r="K192" s="338"/>
      <c r="L192" s="338"/>
      <c r="M192" s="338"/>
      <c r="N192" s="338"/>
      <c r="O192" s="338"/>
      <c r="P192" s="338"/>
      <c r="Q192" s="338"/>
      <c r="R192" s="535">
        <f t="shared" si="31"/>
        <v>0</v>
      </c>
      <c r="S192" s="338"/>
      <c r="T192" s="338"/>
      <c r="U192" s="338"/>
      <c r="V192" s="339"/>
      <c r="W192" s="338"/>
      <c r="X192" s="339">
        <f t="shared" si="32"/>
        <v>0</v>
      </c>
      <c r="Y192" s="547">
        <f t="shared" si="33"/>
        <v>0</v>
      </c>
      <c r="Z192" s="134"/>
    </row>
    <row r="193" spans="1:26" ht="24" hidden="1" customHeight="1" x14ac:dyDescent="0.2">
      <c r="A193" s="26"/>
      <c r="B193" s="74" t="s">
        <v>84</v>
      </c>
      <c r="C193" s="39" t="s">
        <v>22</v>
      </c>
      <c r="D193" s="170"/>
      <c r="E193" s="536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536">
        <f t="shared" si="31"/>
        <v>0</v>
      </c>
      <c r="S193" s="170"/>
      <c r="T193" s="170"/>
      <c r="U193" s="170"/>
      <c r="V193" s="171"/>
      <c r="W193" s="170"/>
      <c r="X193" s="171">
        <f t="shared" si="32"/>
        <v>0</v>
      </c>
      <c r="Y193" s="545">
        <f t="shared" si="33"/>
        <v>0</v>
      </c>
    </row>
    <row r="194" spans="1:26" ht="24" hidden="1" customHeight="1" x14ac:dyDescent="0.25">
      <c r="A194" s="26"/>
      <c r="B194" s="91" t="s">
        <v>70</v>
      </c>
      <c r="C194" s="39" t="s">
        <v>22</v>
      </c>
      <c r="D194" s="170"/>
      <c r="E194" s="536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536">
        <f t="shared" si="31"/>
        <v>0</v>
      </c>
      <c r="S194" s="170"/>
      <c r="T194" s="170"/>
      <c r="U194" s="170"/>
      <c r="V194" s="171"/>
      <c r="W194" s="170"/>
      <c r="X194" s="171">
        <f t="shared" si="32"/>
        <v>0</v>
      </c>
      <c r="Y194" s="545">
        <f t="shared" si="33"/>
        <v>0</v>
      </c>
    </row>
    <row r="195" spans="1:26" ht="24" hidden="1" customHeight="1" x14ac:dyDescent="0.25">
      <c r="A195" s="26"/>
      <c r="B195" s="91" t="s">
        <v>52</v>
      </c>
      <c r="C195" s="39" t="s">
        <v>22</v>
      </c>
      <c r="D195" s="170"/>
      <c r="E195" s="536"/>
      <c r="F195" s="170"/>
      <c r="G195" s="170"/>
      <c r="H195" s="170"/>
      <c r="I195" s="170"/>
      <c r="J195" s="170"/>
      <c r="K195" s="170"/>
      <c r="L195" s="170"/>
      <c r="M195" s="170"/>
      <c r="N195" s="170"/>
      <c r="O195" s="170"/>
      <c r="P195" s="170"/>
      <c r="Q195" s="170"/>
      <c r="R195" s="536">
        <f t="shared" si="31"/>
        <v>0</v>
      </c>
      <c r="S195" s="170"/>
      <c r="T195" s="170"/>
      <c r="U195" s="170"/>
      <c r="V195" s="171"/>
      <c r="W195" s="170"/>
      <c r="X195" s="171">
        <f t="shared" si="32"/>
        <v>0</v>
      </c>
      <c r="Y195" s="545">
        <f t="shared" si="33"/>
        <v>0</v>
      </c>
    </row>
    <row r="196" spans="1:26" ht="24" hidden="1" customHeight="1" x14ac:dyDescent="0.25">
      <c r="A196" s="26"/>
      <c r="B196" s="91" t="s">
        <v>72</v>
      </c>
      <c r="C196" s="39" t="s">
        <v>22</v>
      </c>
      <c r="D196" s="170"/>
      <c r="E196" s="536"/>
      <c r="F196" s="170"/>
      <c r="G196" s="170"/>
      <c r="H196" s="170"/>
      <c r="I196" s="170"/>
      <c r="J196" s="170"/>
      <c r="K196" s="170"/>
      <c r="L196" s="170"/>
      <c r="M196" s="170"/>
      <c r="N196" s="170"/>
      <c r="O196" s="170"/>
      <c r="P196" s="170"/>
      <c r="Q196" s="170"/>
      <c r="R196" s="536">
        <f t="shared" si="31"/>
        <v>0</v>
      </c>
      <c r="S196" s="170"/>
      <c r="T196" s="170"/>
      <c r="U196" s="170"/>
      <c r="V196" s="171"/>
      <c r="W196" s="170"/>
      <c r="X196" s="171">
        <f t="shared" si="32"/>
        <v>0</v>
      </c>
      <c r="Y196" s="545">
        <f t="shared" si="33"/>
        <v>0</v>
      </c>
    </row>
    <row r="197" spans="1:26" ht="24" hidden="1" customHeight="1" x14ac:dyDescent="0.25">
      <c r="A197" s="26"/>
      <c r="B197" s="91" t="s">
        <v>91</v>
      </c>
      <c r="C197" s="39" t="s">
        <v>22</v>
      </c>
      <c r="D197" s="170"/>
      <c r="E197" s="536"/>
      <c r="F197" s="170"/>
      <c r="G197" s="170"/>
      <c r="H197" s="170"/>
      <c r="I197" s="170"/>
      <c r="J197" s="170"/>
      <c r="K197" s="170"/>
      <c r="L197" s="170"/>
      <c r="M197" s="170"/>
      <c r="N197" s="170"/>
      <c r="O197" s="170"/>
      <c r="P197" s="170"/>
      <c r="Q197" s="170"/>
      <c r="R197" s="536">
        <f t="shared" si="31"/>
        <v>0</v>
      </c>
      <c r="S197" s="170"/>
      <c r="T197" s="170"/>
      <c r="U197" s="170"/>
      <c r="V197" s="171"/>
      <c r="W197" s="170"/>
      <c r="X197" s="171">
        <f t="shared" si="32"/>
        <v>0</v>
      </c>
      <c r="Y197" s="545">
        <f t="shared" si="33"/>
        <v>0</v>
      </c>
    </row>
    <row r="198" spans="1:26" ht="24" hidden="1" customHeight="1" thickBot="1" x14ac:dyDescent="0.25">
      <c r="A198" s="82"/>
      <c r="B198" s="84"/>
      <c r="C198" s="41"/>
      <c r="D198" s="159"/>
      <c r="E198" s="164"/>
      <c r="F198" s="159"/>
      <c r="G198" s="159"/>
      <c r="H198" s="159"/>
      <c r="I198" s="159"/>
      <c r="J198" s="159"/>
      <c r="K198" s="159"/>
      <c r="L198" s="159"/>
      <c r="M198" s="159"/>
      <c r="N198" s="159"/>
      <c r="O198" s="159"/>
      <c r="P198" s="159"/>
      <c r="Q198" s="159"/>
      <c r="R198" s="164">
        <f t="shared" si="31"/>
        <v>0</v>
      </c>
      <c r="S198" s="159"/>
      <c r="T198" s="159"/>
      <c r="U198" s="159"/>
      <c r="V198" s="165"/>
      <c r="W198" s="159"/>
      <c r="X198" s="165">
        <f t="shared" si="32"/>
        <v>0</v>
      </c>
      <c r="Y198" s="545">
        <f t="shared" si="33"/>
        <v>0</v>
      </c>
    </row>
    <row r="199" spans="1:26" ht="24" hidden="1" customHeight="1" thickTop="1" thickBot="1" x14ac:dyDescent="0.25">
      <c r="A199" s="47"/>
      <c r="B199" s="90"/>
      <c r="C199" s="44" t="s">
        <v>30</v>
      </c>
      <c r="D199" s="166">
        <f t="shared" ref="D199:P199" si="41">SUM(D193:D198)</f>
        <v>0</v>
      </c>
      <c r="E199" s="522">
        <f t="shared" si="41"/>
        <v>0</v>
      </c>
      <c r="F199" s="166">
        <f t="shared" si="41"/>
        <v>0</v>
      </c>
      <c r="G199" s="166">
        <f t="shared" si="41"/>
        <v>0</v>
      </c>
      <c r="H199" s="166">
        <f t="shared" si="41"/>
        <v>0</v>
      </c>
      <c r="I199" s="166">
        <f t="shared" si="41"/>
        <v>0</v>
      </c>
      <c r="J199" s="166">
        <f t="shared" si="41"/>
        <v>0</v>
      </c>
      <c r="K199" s="166">
        <f t="shared" si="41"/>
        <v>0</v>
      </c>
      <c r="L199" s="166">
        <f t="shared" si="41"/>
        <v>0</v>
      </c>
      <c r="M199" s="166">
        <f t="shared" si="41"/>
        <v>0</v>
      </c>
      <c r="N199" s="166">
        <f t="shared" si="41"/>
        <v>0</v>
      </c>
      <c r="O199" s="166">
        <f t="shared" si="41"/>
        <v>0</v>
      </c>
      <c r="P199" s="166">
        <f t="shared" si="41"/>
        <v>0</v>
      </c>
      <c r="Q199" s="166">
        <f t="shared" ref="Q199:W199" si="42">SUM(Q193:Q198)</f>
        <v>0</v>
      </c>
      <c r="R199" s="522">
        <f t="shared" si="31"/>
        <v>0</v>
      </c>
      <c r="S199" s="166"/>
      <c r="T199" s="166">
        <f t="shared" si="42"/>
        <v>0</v>
      </c>
      <c r="U199" s="166">
        <f t="shared" si="42"/>
        <v>0</v>
      </c>
      <c r="V199" s="169">
        <f t="shared" si="42"/>
        <v>0</v>
      </c>
      <c r="W199" s="166">
        <f t="shared" si="42"/>
        <v>0</v>
      </c>
      <c r="X199" s="169">
        <f t="shared" si="32"/>
        <v>0</v>
      </c>
      <c r="Y199" s="546">
        <f t="shared" si="33"/>
        <v>0</v>
      </c>
    </row>
    <row r="200" spans="1:26" ht="9.9499999999999993" hidden="1" customHeight="1" thickTop="1" x14ac:dyDescent="0.2">
      <c r="A200" s="192"/>
      <c r="B200" s="193"/>
      <c r="C200" s="194"/>
      <c r="D200" s="195"/>
      <c r="E200" s="537"/>
      <c r="F200" s="195"/>
      <c r="G200" s="195"/>
      <c r="H200" s="195"/>
      <c r="I200" s="195"/>
      <c r="J200" s="195"/>
      <c r="K200" s="195"/>
      <c r="L200" s="195"/>
      <c r="M200" s="195"/>
      <c r="N200" s="195"/>
      <c r="O200" s="195"/>
      <c r="P200" s="195"/>
      <c r="Q200" s="195"/>
      <c r="R200" s="537">
        <f t="shared" si="31"/>
        <v>0</v>
      </c>
      <c r="S200" s="195"/>
      <c r="T200" s="195"/>
      <c r="U200" s="195"/>
      <c r="V200" s="195"/>
      <c r="W200" s="440"/>
      <c r="X200" s="195">
        <f t="shared" si="32"/>
        <v>0</v>
      </c>
      <c r="Y200" s="548">
        <f t="shared" si="33"/>
        <v>0</v>
      </c>
    </row>
    <row r="201" spans="1:26" ht="24" hidden="1" customHeight="1" x14ac:dyDescent="0.2">
      <c r="A201" s="197"/>
      <c r="B201" s="198"/>
      <c r="C201" s="206" t="s">
        <v>68</v>
      </c>
      <c r="D201" s="199"/>
      <c r="E201" s="538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538">
        <f t="shared" si="31"/>
        <v>0</v>
      </c>
      <c r="S201" s="199"/>
      <c r="T201" s="199"/>
      <c r="U201" s="199"/>
      <c r="V201" s="199"/>
      <c r="W201" s="441"/>
      <c r="X201" s="199">
        <f t="shared" si="32"/>
        <v>0</v>
      </c>
      <c r="Y201" s="549">
        <f t="shared" si="33"/>
        <v>0</v>
      </c>
    </row>
    <row r="202" spans="1:26" ht="9.9499999999999993" hidden="1" customHeight="1" thickBot="1" x14ac:dyDescent="0.25">
      <c r="A202" s="201"/>
      <c r="B202" s="202"/>
      <c r="C202" s="203"/>
      <c r="D202" s="204"/>
      <c r="E202" s="539"/>
      <c r="F202" s="204"/>
      <c r="G202" s="204"/>
      <c r="H202" s="204"/>
      <c r="I202" s="204"/>
      <c r="J202" s="204"/>
      <c r="K202" s="204"/>
      <c r="L202" s="204"/>
      <c r="M202" s="204"/>
      <c r="N202" s="204"/>
      <c r="O202" s="204"/>
      <c r="P202" s="204"/>
      <c r="Q202" s="204"/>
      <c r="R202" s="539">
        <f t="shared" si="31"/>
        <v>0</v>
      </c>
      <c r="S202" s="204"/>
      <c r="T202" s="204"/>
      <c r="U202" s="204"/>
      <c r="V202" s="204"/>
      <c r="W202" s="443"/>
      <c r="X202" s="204">
        <f t="shared" si="32"/>
        <v>0</v>
      </c>
      <c r="Y202" s="550">
        <f t="shared" si="33"/>
        <v>0</v>
      </c>
    </row>
    <row r="203" spans="1:26" ht="24" hidden="1" customHeight="1" thickTop="1" thickBot="1" x14ac:dyDescent="0.25">
      <c r="A203" s="92"/>
      <c r="B203" s="43" t="s">
        <v>98</v>
      </c>
      <c r="C203" s="44" t="s">
        <v>157</v>
      </c>
      <c r="D203" s="172">
        <f>D190+D199</f>
        <v>1520976.399</v>
      </c>
      <c r="E203" s="540">
        <f t="shared" ref="E203:W203" si="43">E190+E199</f>
        <v>466351.22700000001</v>
      </c>
      <c r="F203" s="172">
        <f t="shared" si="43"/>
        <v>512478.01600000006</v>
      </c>
      <c r="G203" s="172">
        <f t="shared" si="43"/>
        <v>54.879999999999995</v>
      </c>
      <c r="H203" s="172">
        <f t="shared" si="43"/>
        <v>0</v>
      </c>
      <c r="I203" s="172">
        <f t="shared" si="43"/>
        <v>50.487999999999992</v>
      </c>
      <c r="J203" s="172">
        <f t="shared" si="43"/>
        <v>43.524999999999999</v>
      </c>
      <c r="K203" s="172">
        <f t="shared" si="43"/>
        <v>0</v>
      </c>
      <c r="L203" s="172">
        <f t="shared" si="43"/>
        <v>198039</v>
      </c>
      <c r="M203" s="172">
        <f t="shared" si="43"/>
        <v>17981</v>
      </c>
      <c r="N203" s="172">
        <f t="shared" si="43"/>
        <v>0</v>
      </c>
      <c r="O203" s="172">
        <f t="shared" si="43"/>
        <v>5000</v>
      </c>
      <c r="P203" s="172">
        <f t="shared" si="43"/>
        <v>0</v>
      </c>
      <c r="Q203" s="172">
        <f t="shared" si="43"/>
        <v>0</v>
      </c>
      <c r="R203" s="540">
        <f t="shared" si="31"/>
        <v>2720974.5349999997</v>
      </c>
      <c r="S203" s="172"/>
      <c r="T203" s="172">
        <f>T190+T199</f>
        <v>0</v>
      </c>
      <c r="U203" s="172">
        <f>U190+U199</f>
        <v>0</v>
      </c>
      <c r="V203" s="372">
        <f t="shared" si="43"/>
        <v>0</v>
      </c>
      <c r="W203" s="183">
        <f t="shared" si="43"/>
        <v>0</v>
      </c>
      <c r="X203" s="172">
        <f t="shared" si="32"/>
        <v>0</v>
      </c>
      <c r="Y203" s="387">
        <f t="shared" si="33"/>
        <v>2720974.5349999997</v>
      </c>
      <c r="Z203" s="134"/>
    </row>
    <row r="204" spans="1:26" ht="24" hidden="1" customHeight="1" thickTop="1" thickBot="1" x14ac:dyDescent="0.25">
      <c r="A204" s="42"/>
      <c r="B204" s="111"/>
      <c r="C204" s="393" t="s">
        <v>18</v>
      </c>
      <c r="D204" s="394">
        <f t="shared" ref="D204:P204" si="44">D203</f>
        <v>1520976.399</v>
      </c>
      <c r="E204" s="541">
        <f t="shared" si="44"/>
        <v>466351.22700000001</v>
      </c>
      <c r="F204" s="394">
        <f t="shared" si="44"/>
        <v>512478.01600000006</v>
      </c>
      <c r="G204" s="394">
        <f t="shared" si="44"/>
        <v>54.879999999999995</v>
      </c>
      <c r="H204" s="394">
        <f t="shared" si="44"/>
        <v>0</v>
      </c>
      <c r="I204" s="394">
        <f t="shared" si="44"/>
        <v>50.487999999999992</v>
      </c>
      <c r="J204" s="394">
        <f t="shared" si="44"/>
        <v>43.524999999999999</v>
      </c>
      <c r="K204" s="394">
        <f t="shared" si="44"/>
        <v>0</v>
      </c>
      <c r="L204" s="394">
        <f t="shared" si="44"/>
        <v>198039</v>
      </c>
      <c r="M204" s="394">
        <f t="shared" si="44"/>
        <v>17981</v>
      </c>
      <c r="N204" s="394">
        <f t="shared" si="44"/>
        <v>0</v>
      </c>
      <c r="O204" s="394">
        <f t="shared" si="44"/>
        <v>5000</v>
      </c>
      <c r="P204" s="394">
        <f t="shared" si="44"/>
        <v>0</v>
      </c>
      <c r="Q204" s="394">
        <f>Q203</f>
        <v>0</v>
      </c>
      <c r="R204" s="541">
        <f t="shared" si="31"/>
        <v>2720974.5349999997</v>
      </c>
      <c r="S204" s="394"/>
      <c r="T204" s="394">
        <f>T203</f>
        <v>0</v>
      </c>
      <c r="U204" s="394">
        <f>U203</f>
        <v>0</v>
      </c>
      <c r="V204" s="485">
        <f>V203</f>
        <v>0</v>
      </c>
      <c r="W204" s="394">
        <f>W203</f>
        <v>0</v>
      </c>
      <c r="X204" s="485">
        <f t="shared" si="32"/>
        <v>0</v>
      </c>
      <c r="Y204" s="551">
        <f t="shared" si="33"/>
        <v>2720974.5349999997</v>
      </c>
    </row>
    <row r="205" spans="1:26" ht="20.100000000000001" hidden="1" customHeight="1" thickTop="1" x14ac:dyDescent="0.2">
      <c r="A205" s="82">
        <v>1</v>
      </c>
      <c r="B205" s="120"/>
      <c r="C205" s="28"/>
      <c r="D205" s="164"/>
      <c r="E205" s="164"/>
      <c r="F205" s="159"/>
      <c r="G205" s="159"/>
      <c r="H205" s="159"/>
      <c r="I205" s="159"/>
      <c r="J205" s="159"/>
      <c r="K205" s="159"/>
      <c r="L205" s="159"/>
      <c r="M205" s="159"/>
      <c r="N205" s="159"/>
      <c r="O205" s="159"/>
      <c r="P205" s="159"/>
      <c r="Q205" s="159"/>
      <c r="R205" s="164">
        <f t="shared" si="31"/>
        <v>0</v>
      </c>
      <c r="S205" s="159"/>
      <c r="T205" s="159"/>
      <c r="U205" s="159"/>
      <c r="V205" s="165"/>
      <c r="W205" s="159"/>
      <c r="X205" s="165">
        <f t="shared" si="32"/>
        <v>0</v>
      </c>
      <c r="Y205" s="545">
        <f t="shared" si="33"/>
        <v>0</v>
      </c>
    </row>
    <row r="206" spans="1:26" ht="20.100000000000001" hidden="1" customHeight="1" x14ac:dyDescent="0.2">
      <c r="A206" s="227">
        <v>2</v>
      </c>
      <c r="B206" s="120"/>
      <c r="C206" s="28"/>
      <c r="D206" s="164"/>
      <c r="E206" s="164"/>
      <c r="F206" s="159"/>
      <c r="G206" s="159"/>
      <c r="H206" s="159"/>
      <c r="I206" s="159"/>
      <c r="J206" s="159"/>
      <c r="K206" s="159"/>
      <c r="L206" s="159"/>
      <c r="M206" s="159"/>
      <c r="N206" s="159"/>
      <c r="O206" s="159"/>
      <c r="P206" s="159"/>
      <c r="Q206" s="159"/>
      <c r="R206" s="164">
        <f t="shared" si="31"/>
        <v>0</v>
      </c>
      <c r="S206" s="159"/>
      <c r="T206" s="159"/>
      <c r="U206" s="159"/>
      <c r="V206" s="165"/>
      <c r="W206" s="159"/>
      <c r="X206" s="165">
        <f t="shared" si="32"/>
        <v>0</v>
      </c>
      <c r="Y206" s="545">
        <f t="shared" si="33"/>
        <v>0</v>
      </c>
    </row>
    <row r="207" spans="1:26" ht="20.100000000000001" hidden="1" customHeight="1" x14ac:dyDescent="0.2">
      <c r="A207" s="82">
        <v>3</v>
      </c>
      <c r="B207" s="120"/>
      <c r="C207" s="28"/>
      <c r="D207" s="164"/>
      <c r="E207" s="164"/>
      <c r="F207" s="159"/>
      <c r="G207" s="159"/>
      <c r="H207" s="159"/>
      <c r="I207" s="159"/>
      <c r="J207" s="159"/>
      <c r="K207" s="159"/>
      <c r="L207" s="159"/>
      <c r="M207" s="159"/>
      <c r="N207" s="159"/>
      <c r="O207" s="159"/>
      <c r="P207" s="159"/>
      <c r="Q207" s="159"/>
      <c r="R207" s="164">
        <f t="shared" si="31"/>
        <v>0</v>
      </c>
      <c r="S207" s="159"/>
      <c r="T207" s="159"/>
      <c r="U207" s="159"/>
      <c r="V207" s="165"/>
      <c r="W207" s="159"/>
      <c r="X207" s="165">
        <f t="shared" si="32"/>
        <v>0</v>
      </c>
      <c r="Y207" s="545">
        <f t="shared" si="33"/>
        <v>0</v>
      </c>
    </row>
    <row r="208" spans="1:26" ht="20.100000000000001" hidden="1" customHeight="1" x14ac:dyDescent="0.2">
      <c r="A208" s="227">
        <v>4</v>
      </c>
      <c r="B208" s="120"/>
      <c r="C208" s="28"/>
      <c r="D208" s="164"/>
      <c r="E208" s="164"/>
      <c r="F208" s="159"/>
      <c r="G208" s="159"/>
      <c r="H208" s="159"/>
      <c r="I208" s="159"/>
      <c r="J208" s="159"/>
      <c r="K208" s="159"/>
      <c r="L208" s="159"/>
      <c r="M208" s="159"/>
      <c r="N208" s="159"/>
      <c r="O208" s="159"/>
      <c r="P208" s="159"/>
      <c r="Q208" s="159"/>
      <c r="R208" s="164">
        <f t="shared" si="31"/>
        <v>0</v>
      </c>
      <c r="S208" s="159"/>
      <c r="T208" s="159"/>
      <c r="U208" s="159"/>
      <c r="V208" s="165"/>
      <c r="W208" s="159"/>
      <c r="X208" s="165">
        <f t="shared" si="32"/>
        <v>0</v>
      </c>
      <c r="Y208" s="545">
        <f t="shared" si="33"/>
        <v>0</v>
      </c>
    </row>
    <row r="209" spans="1:25" ht="20.100000000000001" hidden="1" customHeight="1" x14ac:dyDescent="0.2">
      <c r="A209" s="82">
        <v>5</v>
      </c>
      <c r="B209" s="120"/>
      <c r="C209" s="28"/>
      <c r="D209" s="159"/>
      <c r="E209" s="164"/>
      <c r="F209" s="159"/>
      <c r="G209" s="159"/>
      <c r="H209" s="159"/>
      <c r="I209" s="159"/>
      <c r="J209" s="159"/>
      <c r="K209" s="159"/>
      <c r="L209" s="159"/>
      <c r="M209" s="159"/>
      <c r="N209" s="159"/>
      <c r="O209" s="159"/>
      <c r="P209" s="159"/>
      <c r="Q209" s="159"/>
      <c r="R209" s="164">
        <f t="shared" si="31"/>
        <v>0</v>
      </c>
      <c r="S209" s="159"/>
      <c r="T209" s="159"/>
      <c r="U209" s="159"/>
      <c r="V209" s="165"/>
      <c r="W209" s="159"/>
      <c r="X209" s="165">
        <f t="shared" si="32"/>
        <v>0</v>
      </c>
      <c r="Y209" s="545">
        <f t="shared" si="33"/>
        <v>0</v>
      </c>
    </row>
    <row r="210" spans="1:25" ht="20.100000000000001" hidden="1" customHeight="1" x14ac:dyDescent="0.2">
      <c r="A210" s="227">
        <v>6</v>
      </c>
      <c r="B210" s="333"/>
      <c r="C210" s="88"/>
      <c r="D210" s="159"/>
      <c r="E210" s="164"/>
      <c r="F210" s="159"/>
      <c r="G210" s="159"/>
      <c r="H210" s="159"/>
      <c r="I210" s="159"/>
      <c r="J210" s="159"/>
      <c r="K210" s="159"/>
      <c r="L210" s="159"/>
      <c r="M210" s="159"/>
      <c r="N210" s="159"/>
      <c r="O210" s="159"/>
      <c r="P210" s="159"/>
      <c r="Q210" s="159"/>
      <c r="R210" s="164">
        <f t="shared" si="31"/>
        <v>0</v>
      </c>
      <c r="S210" s="159"/>
      <c r="T210" s="159"/>
      <c r="U210" s="159"/>
      <c r="V210" s="165"/>
      <c r="W210" s="159"/>
      <c r="X210" s="165">
        <f t="shared" si="32"/>
        <v>0</v>
      </c>
      <c r="Y210" s="545">
        <f t="shared" si="33"/>
        <v>0</v>
      </c>
    </row>
    <row r="211" spans="1:25" ht="20.100000000000001" hidden="1" customHeight="1" x14ac:dyDescent="0.2">
      <c r="A211" s="82">
        <v>7</v>
      </c>
      <c r="B211" s="395"/>
      <c r="C211" s="88"/>
      <c r="D211" s="159"/>
      <c r="E211" s="164"/>
      <c r="F211" s="159"/>
      <c r="G211" s="159"/>
      <c r="H211" s="159"/>
      <c r="I211" s="159"/>
      <c r="J211" s="159"/>
      <c r="K211" s="159"/>
      <c r="L211" s="159"/>
      <c r="M211" s="159"/>
      <c r="N211" s="159"/>
      <c r="O211" s="159"/>
      <c r="P211" s="159"/>
      <c r="Q211" s="159"/>
      <c r="R211" s="164">
        <f t="shared" si="31"/>
        <v>0</v>
      </c>
      <c r="S211" s="159"/>
      <c r="T211" s="159"/>
      <c r="U211" s="159"/>
      <c r="V211" s="165"/>
      <c r="W211" s="159"/>
      <c r="X211" s="165">
        <f t="shared" si="32"/>
        <v>0</v>
      </c>
      <c r="Y211" s="545">
        <f t="shared" si="33"/>
        <v>0</v>
      </c>
    </row>
    <row r="212" spans="1:25" ht="20.100000000000001" hidden="1" customHeight="1" x14ac:dyDescent="0.2">
      <c r="A212" s="227">
        <v>8</v>
      </c>
      <c r="B212" s="395"/>
      <c r="C212" s="28"/>
      <c r="D212" s="159"/>
      <c r="E212" s="164"/>
      <c r="F212" s="159"/>
      <c r="G212" s="159"/>
      <c r="H212" s="159"/>
      <c r="I212" s="159"/>
      <c r="J212" s="159"/>
      <c r="K212" s="159"/>
      <c r="L212" s="159"/>
      <c r="M212" s="159"/>
      <c r="N212" s="159"/>
      <c r="O212" s="159"/>
      <c r="P212" s="159"/>
      <c r="Q212" s="159"/>
      <c r="R212" s="164">
        <f t="shared" si="31"/>
        <v>0</v>
      </c>
      <c r="S212" s="159"/>
      <c r="T212" s="159"/>
      <c r="U212" s="159"/>
      <c r="V212" s="165"/>
      <c r="W212" s="159"/>
      <c r="X212" s="165">
        <f t="shared" si="32"/>
        <v>0</v>
      </c>
      <c r="Y212" s="545">
        <f t="shared" si="33"/>
        <v>0</v>
      </c>
    </row>
    <row r="213" spans="1:25" ht="20.100000000000001" hidden="1" customHeight="1" x14ac:dyDescent="0.2">
      <c r="A213" s="82">
        <v>9</v>
      </c>
      <c r="B213" s="120"/>
      <c r="C213" s="28"/>
      <c r="D213" s="159"/>
      <c r="E213" s="164"/>
      <c r="F213" s="159"/>
      <c r="G213" s="159"/>
      <c r="H213" s="159"/>
      <c r="I213" s="159"/>
      <c r="J213" s="159"/>
      <c r="K213" s="159"/>
      <c r="L213" s="159"/>
      <c r="M213" s="159"/>
      <c r="N213" s="159"/>
      <c r="O213" s="159"/>
      <c r="P213" s="159"/>
      <c r="Q213" s="159"/>
      <c r="R213" s="164">
        <f t="shared" si="31"/>
        <v>0</v>
      </c>
      <c r="S213" s="159"/>
      <c r="T213" s="159"/>
      <c r="U213" s="159"/>
      <c r="V213" s="165"/>
      <c r="W213" s="159"/>
      <c r="X213" s="165">
        <f t="shared" si="32"/>
        <v>0</v>
      </c>
      <c r="Y213" s="545">
        <f t="shared" si="33"/>
        <v>0</v>
      </c>
    </row>
    <row r="214" spans="1:25" ht="20.100000000000001" hidden="1" customHeight="1" x14ac:dyDescent="0.2">
      <c r="A214" s="227">
        <v>10</v>
      </c>
      <c r="B214" s="120"/>
      <c r="C214" s="33"/>
      <c r="D214" s="159"/>
      <c r="E214" s="164"/>
      <c r="F214" s="159"/>
      <c r="G214" s="159"/>
      <c r="H214" s="159"/>
      <c r="I214" s="159"/>
      <c r="J214" s="159"/>
      <c r="K214" s="159"/>
      <c r="L214" s="159"/>
      <c r="M214" s="159"/>
      <c r="N214" s="159"/>
      <c r="O214" s="159"/>
      <c r="P214" s="159"/>
      <c r="Q214" s="159"/>
      <c r="R214" s="164">
        <f t="shared" si="31"/>
        <v>0</v>
      </c>
      <c r="S214" s="159"/>
      <c r="T214" s="159"/>
      <c r="U214" s="159"/>
      <c r="V214" s="165"/>
      <c r="W214" s="159"/>
      <c r="X214" s="165">
        <f t="shared" si="32"/>
        <v>0</v>
      </c>
      <c r="Y214" s="545">
        <f t="shared" si="33"/>
        <v>0</v>
      </c>
    </row>
    <row r="215" spans="1:25" ht="20.100000000000001" hidden="1" customHeight="1" x14ac:dyDescent="0.2">
      <c r="A215" s="82">
        <v>11</v>
      </c>
      <c r="B215" s="120"/>
      <c r="C215" s="33"/>
      <c r="D215" s="159"/>
      <c r="E215" s="164"/>
      <c r="F215" s="159"/>
      <c r="G215" s="159"/>
      <c r="H215" s="159"/>
      <c r="I215" s="159"/>
      <c r="J215" s="159"/>
      <c r="K215" s="159"/>
      <c r="L215" s="159"/>
      <c r="M215" s="159"/>
      <c r="N215" s="159"/>
      <c r="O215" s="159"/>
      <c r="P215" s="159"/>
      <c r="Q215" s="159"/>
      <c r="R215" s="164">
        <f t="shared" si="31"/>
        <v>0</v>
      </c>
      <c r="S215" s="159"/>
      <c r="T215" s="159"/>
      <c r="U215" s="159"/>
      <c r="V215" s="165"/>
      <c r="W215" s="159"/>
      <c r="X215" s="165">
        <f t="shared" si="32"/>
        <v>0</v>
      </c>
      <c r="Y215" s="545">
        <f t="shared" si="33"/>
        <v>0</v>
      </c>
    </row>
    <row r="216" spans="1:25" ht="20.100000000000001" hidden="1" customHeight="1" x14ac:dyDescent="0.2">
      <c r="A216" s="227">
        <v>12</v>
      </c>
      <c r="B216" s="120"/>
      <c r="C216" s="33"/>
      <c r="D216" s="159"/>
      <c r="E216" s="164"/>
      <c r="F216" s="159"/>
      <c r="G216" s="159"/>
      <c r="H216" s="159"/>
      <c r="I216" s="159"/>
      <c r="J216" s="159"/>
      <c r="K216" s="159"/>
      <c r="L216" s="159"/>
      <c r="M216" s="159"/>
      <c r="N216" s="159"/>
      <c r="O216" s="159"/>
      <c r="P216" s="159"/>
      <c r="Q216" s="159"/>
      <c r="R216" s="164">
        <f t="shared" si="31"/>
        <v>0</v>
      </c>
      <c r="S216" s="159"/>
      <c r="T216" s="159"/>
      <c r="U216" s="159"/>
      <c r="V216" s="165"/>
      <c r="W216" s="159"/>
      <c r="X216" s="165">
        <f t="shared" si="32"/>
        <v>0</v>
      </c>
      <c r="Y216" s="545">
        <f t="shared" si="33"/>
        <v>0</v>
      </c>
    </row>
    <row r="217" spans="1:25" ht="20.100000000000001" hidden="1" customHeight="1" x14ac:dyDescent="0.2">
      <c r="A217" s="82">
        <v>13</v>
      </c>
      <c r="B217" s="395"/>
      <c r="C217" s="33"/>
      <c r="D217" s="159"/>
      <c r="E217" s="164"/>
      <c r="F217" s="159"/>
      <c r="G217" s="159"/>
      <c r="H217" s="159"/>
      <c r="I217" s="159"/>
      <c r="J217" s="159"/>
      <c r="K217" s="159"/>
      <c r="L217" s="159"/>
      <c r="M217" s="159"/>
      <c r="N217" s="159"/>
      <c r="O217" s="159"/>
      <c r="P217" s="159"/>
      <c r="Q217" s="159"/>
      <c r="R217" s="164">
        <f t="shared" si="31"/>
        <v>0</v>
      </c>
      <c r="S217" s="159"/>
      <c r="T217" s="159"/>
      <c r="U217" s="159"/>
      <c r="V217" s="165"/>
      <c r="W217" s="159"/>
      <c r="X217" s="165">
        <f t="shared" si="32"/>
        <v>0</v>
      </c>
      <c r="Y217" s="545">
        <f t="shared" si="33"/>
        <v>0</v>
      </c>
    </row>
    <row r="218" spans="1:25" ht="20.100000000000001" hidden="1" customHeight="1" x14ac:dyDescent="0.2">
      <c r="A218" s="227">
        <v>14</v>
      </c>
      <c r="B218" s="120"/>
      <c r="C218" s="28"/>
      <c r="D218" s="159"/>
      <c r="E218" s="164"/>
      <c r="F218" s="159"/>
      <c r="G218" s="159"/>
      <c r="H218" s="159"/>
      <c r="I218" s="159"/>
      <c r="J218" s="159"/>
      <c r="K218" s="159"/>
      <c r="L218" s="159"/>
      <c r="M218" s="159"/>
      <c r="N218" s="159"/>
      <c r="O218" s="159"/>
      <c r="P218" s="159"/>
      <c r="Q218" s="159"/>
      <c r="R218" s="164">
        <f t="shared" si="31"/>
        <v>0</v>
      </c>
      <c r="S218" s="159"/>
      <c r="T218" s="159"/>
      <c r="U218" s="159"/>
      <c r="V218" s="165"/>
      <c r="W218" s="159"/>
      <c r="X218" s="165">
        <f t="shared" si="32"/>
        <v>0</v>
      </c>
      <c r="Y218" s="545">
        <f t="shared" si="33"/>
        <v>0</v>
      </c>
    </row>
    <row r="219" spans="1:25" ht="20.100000000000001" hidden="1" customHeight="1" x14ac:dyDescent="0.2">
      <c r="A219" s="82">
        <v>15</v>
      </c>
      <c r="B219" s="395"/>
      <c r="C219" s="33"/>
      <c r="D219" s="159"/>
      <c r="E219" s="164"/>
      <c r="F219" s="159"/>
      <c r="G219" s="159"/>
      <c r="H219" s="159"/>
      <c r="I219" s="159"/>
      <c r="J219" s="159"/>
      <c r="K219" s="159"/>
      <c r="L219" s="159"/>
      <c r="M219" s="159"/>
      <c r="N219" s="159"/>
      <c r="O219" s="159"/>
      <c r="P219" s="159"/>
      <c r="Q219" s="159"/>
      <c r="R219" s="164">
        <f t="shared" si="31"/>
        <v>0</v>
      </c>
      <c r="S219" s="159"/>
      <c r="T219" s="159"/>
      <c r="U219" s="159"/>
      <c r="V219" s="165"/>
      <c r="W219" s="159"/>
      <c r="X219" s="165">
        <f t="shared" si="32"/>
        <v>0</v>
      </c>
      <c r="Y219" s="545">
        <f t="shared" si="33"/>
        <v>0</v>
      </c>
    </row>
    <row r="220" spans="1:25" ht="20.100000000000001" hidden="1" customHeight="1" x14ac:dyDescent="0.2">
      <c r="A220" s="227">
        <v>16</v>
      </c>
      <c r="B220" s="395"/>
      <c r="C220" s="28"/>
      <c r="D220" s="159"/>
      <c r="E220" s="164"/>
      <c r="F220" s="159"/>
      <c r="G220" s="159"/>
      <c r="H220" s="159"/>
      <c r="I220" s="159"/>
      <c r="J220" s="159"/>
      <c r="K220" s="159"/>
      <c r="L220" s="159"/>
      <c r="M220" s="159"/>
      <c r="N220" s="159"/>
      <c r="O220" s="159"/>
      <c r="P220" s="159"/>
      <c r="Q220" s="159"/>
      <c r="R220" s="164">
        <f t="shared" si="31"/>
        <v>0</v>
      </c>
      <c r="S220" s="159"/>
      <c r="T220" s="159"/>
      <c r="U220" s="159"/>
      <c r="V220" s="165"/>
      <c r="W220" s="159"/>
      <c r="X220" s="165">
        <f t="shared" si="32"/>
        <v>0</v>
      </c>
      <c r="Y220" s="545">
        <f t="shared" si="33"/>
        <v>0</v>
      </c>
    </row>
    <row r="221" spans="1:25" ht="20.100000000000001" hidden="1" customHeight="1" x14ac:dyDescent="0.2">
      <c r="A221" s="82"/>
      <c r="B221" s="30"/>
      <c r="C221" s="28"/>
      <c r="D221" s="159"/>
      <c r="E221" s="164"/>
      <c r="F221" s="159"/>
      <c r="G221" s="159"/>
      <c r="H221" s="159"/>
      <c r="I221" s="159"/>
      <c r="J221" s="159"/>
      <c r="K221" s="159"/>
      <c r="L221" s="159"/>
      <c r="M221" s="159"/>
      <c r="N221" s="159"/>
      <c r="O221" s="159"/>
      <c r="P221" s="159"/>
      <c r="Q221" s="159"/>
      <c r="R221" s="164">
        <f t="shared" si="31"/>
        <v>0</v>
      </c>
      <c r="S221" s="159"/>
      <c r="T221" s="159"/>
      <c r="U221" s="159"/>
      <c r="V221" s="165"/>
      <c r="W221" s="159"/>
      <c r="X221" s="165">
        <f t="shared" si="32"/>
        <v>0</v>
      </c>
      <c r="Y221" s="545">
        <f t="shared" si="33"/>
        <v>0</v>
      </c>
    </row>
    <row r="222" spans="1:25" ht="20.100000000000001" hidden="1" customHeight="1" x14ac:dyDescent="0.2">
      <c r="A222" s="216" t="s">
        <v>88</v>
      </c>
      <c r="B222" s="212"/>
      <c r="C222" s="217" t="s">
        <v>86</v>
      </c>
      <c r="D222" s="159">
        <f t="shared" ref="D222:W222" si="45">SUM(D205:D221)</f>
        <v>0</v>
      </c>
      <c r="E222" s="164">
        <f t="shared" si="45"/>
        <v>0</v>
      </c>
      <c r="F222" s="159">
        <f t="shared" si="45"/>
        <v>0</v>
      </c>
      <c r="G222" s="159">
        <f t="shared" si="45"/>
        <v>0</v>
      </c>
      <c r="H222" s="159">
        <f t="shared" si="45"/>
        <v>0</v>
      </c>
      <c r="I222" s="159">
        <f t="shared" si="45"/>
        <v>0</v>
      </c>
      <c r="J222" s="159">
        <f t="shared" si="45"/>
        <v>0</v>
      </c>
      <c r="K222" s="159">
        <f t="shared" si="45"/>
        <v>0</v>
      </c>
      <c r="L222" s="159">
        <f t="shared" si="45"/>
        <v>0</v>
      </c>
      <c r="M222" s="159">
        <f t="shared" si="45"/>
        <v>0</v>
      </c>
      <c r="N222" s="159">
        <f t="shared" si="45"/>
        <v>0</v>
      </c>
      <c r="O222" s="159">
        <f t="shared" si="45"/>
        <v>0</v>
      </c>
      <c r="P222" s="159">
        <f t="shared" si="45"/>
        <v>0</v>
      </c>
      <c r="Q222" s="159">
        <f t="shared" si="45"/>
        <v>0</v>
      </c>
      <c r="R222" s="164">
        <f t="shared" si="31"/>
        <v>0</v>
      </c>
      <c r="S222" s="159"/>
      <c r="T222" s="159">
        <f t="shared" si="45"/>
        <v>0</v>
      </c>
      <c r="U222" s="159">
        <f t="shared" si="45"/>
        <v>0</v>
      </c>
      <c r="V222" s="165">
        <f t="shared" si="45"/>
        <v>0</v>
      </c>
      <c r="W222" s="159">
        <f t="shared" si="45"/>
        <v>0</v>
      </c>
      <c r="X222" s="165">
        <f t="shared" si="32"/>
        <v>0</v>
      </c>
      <c r="Y222" s="545">
        <f t="shared" si="33"/>
        <v>0</v>
      </c>
    </row>
    <row r="223" spans="1:25" ht="20.100000000000001" hidden="1" customHeight="1" x14ac:dyDescent="0.25">
      <c r="A223" s="82"/>
      <c r="D223" s="159"/>
      <c r="E223" s="164"/>
      <c r="G223" s="159"/>
      <c r="H223" s="159"/>
      <c r="I223" s="159"/>
      <c r="J223" s="159"/>
      <c r="K223" s="159"/>
      <c r="L223" s="159"/>
      <c r="M223" s="159"/>
      <c r="N223" s="159"/>
      <c r="O223" s="159"/>
      <c r="P223" s="159"/>
      <c r="Q223" s="159"/>
      <c r="R223" s="164">
        <f t="shared" si="31"/>
        <v>0</v>
      </c>
      <c r="S223" s="159"/>
      <c r="T223" s="159"/>
      <c r="U223" s="159"/>
      <c r="V223" s="165"/>
      <c r="W223" s="159"/>
      <c r="X223" s="165">
        <f t="shared" si="32"/>
        <v>0</v>
      </c>
      <c r="Y223" s="545">
        <f t="shared" si="33"/>
        <v>0</v>
      </c>
    </row>
    <row r="224" spans="1:25" ht="20.100000000000001" hidden="1" customHeight="1" x14ac:dyDescent="0.2">
      <c r="A224" s="227" t="s">
        <v>117</v>
      </c>
      <c r="B224" s="45"/>
      <c r="C224" s="28"/>
      <c r="D224" s="159"/>
      <c r="E224" s="164"/>
      <c r="F224" s="159"/>
      <c r="G224" s="159"/>
      <c r="H224" s="159"/>
      <c r="I224" s="159"/>
      <c r="J224" s="159"/>
      <c r="K224" s="159"/>
      <c r="L224" s="159"/>
      <c r="M224" s="159"/>
      <c r="N224" s="159"/>
      <c r="O224" s="159"/>
      <c r="P224" s="159"/>
      <c r="Q224" s="159"/>
      <c r="R224" s="164">
        <f t="shared" si="31"/>
        <v>0</v>
      </c>
      <c r="S224" s="159"/>
      <c r="T224" s="159"/>
      <c r="U224" s="159"/>
      <c r="V224" s="165"/>
      <c r="W224" s="159"/>
      <c r="X224" s="165">
        <f t="shared" si="32"/>
        <v>0</v>
      </c>
      <c r="Y224" s="545">
        <f t="shared" si="33"/>
        <v>0</v>
      </c>
    </row>
    <row r="225" spans="1:25" ht="20.100000000000001" hidden="1" customHeight="1" x14ac:dyDescent="0.2">
      <c r="A225" s="227" t="s">
        <v>117</v>
      </c>
      <c r="B225" s="45"/>
      <c r="C225" s="41"/>
      <c r="D225" s="159"/>
      <c r="E225" s="164"/>
      <c r="F225" s="159"/>
      <c r="G225" s="159"/>
      <c r="H225" s="159"/>
      <c r="I225" s="159"/>
      <c r="J225" s="159"/>
      <c r="K225" s="159"/>
      <c r="L225" s="159"/>
      <c r="M225" s="159"/>
      <c r="N225" s="159"/>
      <c r="O225" s="159"/>
      <c r="P225" s="159"/>
      <c r="Q225" s="159"/>
      <c r="R225" s="164">
        <f t="shared" si="31"/>
        <v>0</v>
      </c>
      <c r="S225" s="159"/>
      <c r="T225" s="159"/>
      <c r="U225" s="159"/>
      <c r="V225" s="165"/>
      <c r="W225" s="159"/>
      <c r="X225" s="165">
        <f t="shared" si="32"/>
        <v>0</v>
      </c>
      <c r="Y225" s="545">
        <f t="shared" si="33"/>
        <v>0</v>
      </c>
    </row>
    <row r="226" spans="1:25" ht="20.100000000000001" hidden="1" customHeight="1" x14ac:dyDescent="0.2">
      <c r="A226" s="227" t="s">
        <v>117</v>
      </c>
      <c r="B226" s="31"/>
      <c r="C226" s="41"/>
      <c r="D226" s="159"/>
      <c r="E226" s="164"/>
      <c r="F226" s="159"/>
      <c r="G226" s="159"/>
      <c r="H226" s="159"/>
      <c r="I226" s="159"/>
      <c r="J226" s="159"/>
      <c r="K226" s="159"/>
      <c r="L226" s="159"/>
      <c r="M226" s="159"/>
      <c r="N226" s="159"/>
      <c r="O226" s="159"/>
      <c r="P226" s="159"/>
      <c r="Q226" s="159"/>
      <c r="R226" s="164">
        <f t="shared" si="31"/>
        <v>0</v>
      </c>
      <c r="S226" s="159"/>
      <c r="T226" s="159"/>
      <c r="U226" s="159"/>
      <c r="V226" s="165"/>
      <c r="W226" s="159"/>
      <c r="X226" s="165">
        <f t="shared" si="32"/>
        <v>0</v>
      </c>
      <c r="Y226" s="545">
        <f t="shared" si="33"/>
        <v>0</v>
      </c>
    </row>
    <row r="227" spans="1:25" ht="20.100000000000001" hidden="1" customHeight="1" x14ac:dyDescent="0.2">
      <c r="A227" s="227" t="s">
        <v>117</v>
      </c>
      <c r="B227" s="229"/>
      <c r="C227" s="41"/>
      <c r="D227" s="159"/>
      <c r="E227" s="164"/>
      <c r="F227" s="159"/>
      <c r="G227" s="159"/>
      <c r="H227" s="159"/>
      <c r="I227" s="159"/>
      <c r="J227" s="159"/>
      <c r="K227" s="159"/>
      <c r="L227" s="159"/>
      <c r="M227" s="159"/>
      <c r="N227" s="159"/>
      <c r="O227" s="159"/>
      <c r="P227" s="159"/>
      <c r="Q227" s="159"/>
      <c r="R227" s="164">
        <f t="shared" si="31"/>
        <v>0</v>
      </c>
      <c r="S227" s="159"/>
      <c r="T227" s="159"/>
      <c r="U227" s="159"/>
      <c r="V227" s="165"/>
      <c r="W227" s="159"/>
      <c r="X227" s="165">
        <f t="shared" si="32"/>
        <v>0</v>
      </c>
      <c r="Y227" s="545">
        <f t="shared" si="33"/>
        <v>0</v>
      </c>
    </row>
    <row r="228" spans="1:25" ht="20.100000000000001" hidden="1" customHeight="1" x14ac:dyDescent="0.2">
      <c r="A228" s="227" t="s">
        <v>117</v>
      </c>
      <c r="B228" s="231"/>
      <c r="C228" s="34"/>
      <c r="D228" s="159"/>
      <c r="E228" s="164"/>
      <c r="F228" s="159"/>
      <c r="G228" s="159"/>
      <c r="H228" s="159"/>
      <c r="I228" s="159"/>
      <c r="J228" s="159"/>
      <c r="K228" s="159"/>
      <c r="L228" s="159"/>
      <c r="M228" s="159"/>
      <c r="N228" s="159"/>
      <c r="O228" s="159"/>
      <c r="P228" s="159"/>
      <c r="Q228" s="159"/>
      <c r="R228" s="164">
        <f t="shared" si="31"/>
        <v>0</v>
      </c>
      <c r="S228" s="159"/>
      <c r="T228" s="159"/>
      <c r="U228" s="159"/>
      <c r="V228" s="165"/>
      <c r="W228" s="159"/>
      <c r="X228" s="165">
        <f t="shared" si="32"/>
        <v>0</v>
      </c>
      <c r="Y228" s="545">
        <f t="shared" si="33"/>
        <v>0</v>
      </c>
    </row>
    <row r="229" spans="1:25" ht="20.100000000000001" hidden="1" customHeight="1" x14ac:dyDescent="0.2">
      <c r="A229" s="227" t="s">
        <v>117</v>
      </c>
      <c r="B229" s="299"/>
      <c r="C229" s="34"/>
      <c r="D229" s="159"/>
      <c r="E229" s="164"/>
      <c r="F229" s="159"/>
      <c r="G229" s="159"/>
      <c r="H229" s="159"/>
      <c r="I229" s="159"/>
      <c r="J229" s="159"/>
      <c r="K229" s="159"/>
      <c r="L229" s="159"/>
      <c r="M229" s="159"/>
      <c r="N229" s="159"/>
      <c r="O229" s="159"/>
      <c r="P229" s="159"/>
      <c r="Q229" s="159"/>
      <c r="R229" s="164">
        <f t="shared" si="31"/>
        <v>0</v>
      </c>
      <c r="S229" s="159"/>
      <c r="T229" s="159"/>
      <c r="U229" s="159"/>
      <c r="V229" s="165"/>
      <c r="W229" s="159"/>
      <c r="X229" s="165">
        <f t="shared" si="32"/>
        <v>0</v>
      </c>
      <c r="Y229" s="545">
        <f t="shared" si="33"/>
        <v>0</v>
      </c>
    </row>
    <row r="230" spans="1:25" ht="20.100000000000001" hidden="1" customHeight="1" x14ac:dyDescent="0.2">
      <c r="A230" s="227" t="s">
        <v>117</v>
      </c>
      <c r="B230" s="294"/>
      <c r="C230" s="34"/>
      <c r="D230" s="159"/>
      <c r="E230" s="164"/>
      <c r="F230" s="159"/>
      <c r="G230" s="159"/>
      <c r="H230" s="159"/>
      <c r="I230" s="159"/>
      <c r="J230" s="159"/>
      <c r="K230" s="159"/>
      <c r="L230" s="159"/>
      <c r="M230" s="159"/>
      <c r="N230" s="159"/>
      <c r="O230" s="159"/>
      <c r="P230" s="159"/>
      <c r="Q230" s="159"/>
      <c r="R230" s="164">
        <f t="shared" si="31"/>
        <v>0</v>
      </c>
      <c r="S230" s="159"/>
      <c r="T230" s="159"/>
      <c r="U230" s="159"/>
      <c r="V230" s="165"/>
      <c r="W230" s="159"/>
      <c r="X230" s="165">
        <f t="shared" si="32"/>
        <v>0</v>
      </c>
      <c r="Y230" s="545">
        <f t="shared" si="33"/>
        <v>0</v>
      </c>
    </row>
    <row r="231" spans="1:25" ht="20.100000000000001" hidden="1" customHeight="1" x14ac:dyDescent="0.2">
      <c r="A231" s="227" t="s">
        <v>117</v>
      </c>
      <c r="B231" s="294"/>
      <c r="C231" s="34"/>
      <c r="D231" s="159"/>
      <c r="E231" s="164"/>
      <c r="F231" s="159"/>
      <c r="G231" s="159"/>
      <c r="H231" s="159"/>
      <c r="I231" s="159"/>
      <c r="J231" s="159"/>
      <c r="K231" s="159"/>
      <c r="L231" s="159"/>
      <c r="M231" s="159"/>
      <c r="N231" s="159"/>
      <c r="O231" s="159"/>
      <c r="P231" s="159"/>
      <c r="Q231" s="159"/>
      <c r="R231" s="164">
        <f t="shared" ref="R231:R242" si="46">SUM(D231:Q231)</f>
        <v>0</v>
      </c>
      <c r="S231" s="159"/>
      <c r="T231" s="159"/>
      <c r="U231" s="159"/>
      <c r="V231" s="165"/>
      <c r="W231" s="159"/>
      <c r="X231" s="165">
        <f t="shared" ref="X231:X242" si="47">SUM(T231:W231)</f>
        <v>0</v>
      </c>
      <c r="Y231" s="545">
        <f t="shared" ref="Y231:Y242" si="48">R231+X231</f>
        <v>0</v>
      </c>
    </row>
    <row r="232" spans="1:25" ht="20.100000000000001" hidden="1" customHeight="1" x14ac:dyDescent="0.2">
      <c r="A232" s="227" t="s">
        <v>117</v>
      </c>
      <c r="B232" s="299"/>
      <c r="C232" s="34"/>
      <c r="D232" s="159"/>
      <c r="E232" s="164"/>
      <c r="F232" s="159"/>
      <c r="G232" s="159"/>
      <c r="H232" s="159"/>
      <c r="I232" s="159"/>
      <c r="J232" s="159"/>
      <c r="K232" s="159"/>
      <c r="L232" s="159"/>
      <c r="M232" s="159"/>
      <c r="N232" s="159"/>
      <c r="O232" s="159"/>
      <c r="P232" s="159"/>
      <c r="Q232" s="159"/>
      <c r="R232" s="164">
        <f t="shared" si="46"/>
        <v>0</v>
      </c>
      <c r="S232" s="159"/>
      <c r="T232" s="159"/>
      <c r="U232" s="159"/>
      <c r="V232" s="165"/>
      <c r="W232" s="159"/>
      <c r="X232" s="165">
        <f t="shared" si="47"/>
        <v>0</v>
      </c>
      <c r="Y232" s="545">
        <f t="shared" si="48"/>
        <v>0</v>
      </c>
    </row>
    <row r="233" spans="1:25" ht="20.100000000000001" hidden="1" customHeight="1" x14ac:dyDescent="0.2">
      <c r="A233" s="227" t="s">
        <v>117</v>
      </c>
      <c r="B233" s="299"/>
      <c r="C233" s="34"/>
      <c r="D233" s="159"/>
      <c r="E233" s="164"/>
      <c r="F233" s="159"/>
      <c r="G233" s="159"/>
      <c r="H233" s="159"/>
      <c r="I233" s="159"/>
      <c r="J233" s="159"/>
      <c r="K233" s="159"/>
      <c r="L233" s="159"/>
      <c r="M233" s="159"/>
      <c r="N233" s="159"/>
      <c r="O233" s="159"/>
      <c r="P233" s="159"/>
      <c r="Q233" s="159"/>
      <c r="R233" s="164">
        <f t="shared" si="46"/>
        <v>0</v>
      </c>
      <c r="S233" s="159"/>
      <c r="T233" s="159"/>
      <c r="U233" s="159"/>
      <c r="V233" s="165"/>
      <c r="W233" s="159"/>
      <c r="X233" s="165">
        <f t="shared" si="47"/>
        <v>0</v>
      </c>
      <c r="Y233" s="545">
        <f t="shared" si="48"/>
        <v>0</v>
      </c>
    </row>
    <row r="234" spans="1:25" ht="20.100000000000001" hidden="1" customHeight="1" x14ac:dyDescent="0.2">
      <c r="A234" s="82"/>
      <c r="B234" s="294"/>
      <c r="C234" s="34"/>
      <c r="D234" s="159"/>
      <c r="E234" s="164"/>
      <c r="F234" s="159"/>
      <c r="G234" s="159"/>
      <c r="H234" s="159"/>
      <c r="I234" s="159"/>
      <c r="J234" s="159"/>
      <c r="K234" s="159"/>
      <c r="L234" s="159"/>
      <c r="M234" s="159"/>
      <c r="N234" s="159"/>
      <c r="O234" s="159"/>
      <c r="P234" s="159"/>
      <c r="Q234" s="159"/>
      <c r="R234" s="164">
        <f t="shared" si="46"/>
        <v>0</v>
      </c>
      <c r="S234" s="159"/>
      <c r="T234" s="159"/>
      <c r="U234" s="159"/>
      <c r="V234" s="165"/>
      <c r="W234" s="159"/>
      <c r="X234" s="165">
        <f t="shared" si="47"/>
        <v>0</v>
      </c>
      <c r="Y234" s="545">
        <f t="shared" si="48"/>
        <v>0</v>
      </c>
    </row>
    <row r="235" spans="1:25" ht="20.100000000000001" hidden="1" customHeight="1" x14ac:dyDescent="0.2">
      <c r="A235" s="82"/>
      <c r="B235" s="298"/>
      <c r="C235" s="34"/>
      <c r="D235" s="159"/>
      <c r="E235" s="164"/>
      <c r="F235" s="159"/>
      <c r="G235" s="159"/>
      <c r="H235" s="159"/>
      <c r="I235" s="159"/>
      <c r="J235" s="159"/>
      <c r="K235" s="159"/>
      <c r="L235" s="159"/>
      <c r="M235" s="159"/>
      <c r="N235" s="159"/>
      <c r="O235" s="159"/>
      <c r="P235" s="159"/>
      <c r="Q235" s="159"/>
      <c r="R235" s="164">
        <f t="shared" si="46"/>
        <v>0</v>
      </c>
      <c r="S235" s="159"/>
      <c r="T235" s="159"/>
      <c r="U235" s="159"/>
      <c r="V235" s="165"/>
      <c r="W235" s="159"/>
      <c r="X235" s="165">
        <f t="shared" si="47"/>
        <v>0</v>
      </c>
      <c r="Y235" s="545">
        <f t="shared" si="48"/>
        <v>0</v>
      </c>
    </row>
    <row r="236" spans="1:25" ht="20.100000000000001" hidden="1" customHeight="1" x14ac:dyDescent="0.2">
      <c r="A236" s="82"/>
      <c r="B236" s="298"/>
      <c r="C236" s="34"/>
      <c r="D236" s="159"/>
      <c r="E236" s="164"/>
      <c r="F236" s="159"/>
      <c r="G236" s="159"/>
      <c r="H236" s="159"/>
      <c r="I236" s="159"/>
      <c r="J236" s="159"/>
      <c r="K236" s="159"/>
      <c r="L236" s="159"/>
      <c r="M236" s="159"/>
      <c r="N236" s="159"/>
      <c r="O236" s="159"/>
      <c r="P236" s="159"/>
      <c r="Q236" s="159"/>
      <c r="R236" s="164">
        <f t="shared" si="46"/>
        <v>0</v>
      </c>
      <c r="S236" s="159"/>
      <c r="T236" s="159"/>
      <c r="U236" s="159"/>
      <c r="V236" s="165"/>
      <c r="W236" s="159"/>
      <c r="X236" s="165">
        <f t="shared" si="47"/>
        <v>0</v>
      </c>
      <c r="Y236" s="545">
        <f t="shared" si="48"/>
        <v>0</v>
      </c>
    </row>
    <row r="237" spans="1:25" ht="20.100000000000001" hidden="1" customHeight="1" x14ac:dyDescent="0.2">
      <c r="A237" s="82"/>
      <c r="B237" s="126"/>
      <c r="C237" s="41"/>
      <c r="D237" s="159"/>
      <c r="E237" s="164"/>
      <c r="F237" s="159"/>
      <c r="G237" s="159"/>
      <c r="H237" s="159"/>
      <c r="I237" s="159"/>
      <c r="J237" s="159"/>
      <c r="K237" s="159"/>
      <c r="L237" s="159"/>
      <c r="M237" s="159"/>
      <c r="N237" s="159"/>
      <c r="O237" s="159"/>
      <c r="P237" s="159"/>
      <c r="Q237" s="159"/>
      <c r="R237" s="164">
        <f t="shared" si="46"/>
        <v>0</v>
      </c>
      <c r="S237" s="159"/>
      <c r="T237" s="159"/>
      <c r="U237" s="159"/>
      <c r="V237" s="165"/>
      <c r="W237" s="159"/>
      <c r="X237" s="165">
        <f t="shared" si="47"/>
        <v>0</v>
      </c>
      <c r="Y237" s="545">
        <f t="shared" si="48"/>
        <v>0</v>
      </c>
    </row>
    <row r="238" spans="1:25" ht="20.100000000000001" hidden="1" customHeight="1" x14ac:dyDescent="0.2">
      <c r="A238" s="216" t="s">
        <v>89</v>
      </c>
      <c r="B238" s="212"/>
      <c r="C238" s="217" t="s">
        <v>87</v>
      </c>
      <c r="D238" s="159">
        <f t="shared" ref="D238:W238" si="49">SUM(D224:D237)</f>
        <v>0</v>
      </c>
      <c r="E238" s="164">
        <f t="shared" si="49"/>
        <v>0</v>
      </c>
      <c r="F238" s="159">
        <f>SUM(F224:F237)</f>
        <v>0</v>
      </c>
      <c r="G238" s="159">
        <f t="shared" si="49"/>
        <v>0</v>
      </c>
      <c r="H238" s="159">
        <f t="shared" si="49"/>
        <v>0</v>
      </c>
      <c r="I238" s="159">
        <f t="shared" si="49"/>
        <v>0</v>
      </c>
      <c r="J238" s="159">
        <f t="shared" si="49"/>
        <v>0</v>
      </c>
      <c r="K238" s="159">
        <f t="shared" si="49"/>
        <v>0</v>
      </c>
      <c r="L238" s="159">
        <f t="shared" si="49"/>
        <v>0</v>
      </c>
      <c r="M238" s="159">
        <f t="shared" si="49"/>
        <v>0</v>
      </c>
      <c r="N238" s="159">
        <f t="shared" si="49"/>
        <v>0</v>
      </c>
      <c r="O238" s="159">
        <f t="shared" si="49"/>
        <v>0</v>
      </c>
      <c r="P238" s="159">
        <f t="shared" si="49"/>
        <v>0</v>
      </c>
      <c r="Q238" s="159">
        <f t="shared" si="49"/>
        <v>0</v>
      </c>
      <c r="R238" s="164">
        <f t="shared" si="46"/>
        <v>0</v>
      </c>
      <c r="S238" s="159"/>
      <c r="T238" s="159">
        <f t="shared" si="49"/>
        <v>0</v>
      </c>
      <c r="U238" s="159">
        <f t="shared" si="49"/>
        <v>0</v>
      </c>
      <c r="V238" s="165">
        <f t="shared" si="49"/>
        <v>0</v>
      </c>
      <c r="W238" s="159">
        <f t="shared" si="49"/>
        <v>0</v>
      </c>
      <c r="X238" s="165">
        <f t="shared" si="47"/>
        <v>0</v>
      </c>
      <c r="Y238" s="545">
        <f t="shared" si="48"/>
        <v>0</v>
      </c>
    </row>
    <row r="239" spans="1:25" ht="20.100000000000001" hidden="1" customHeight="1" x14ac:dyDescent="0.2">
      <c r="A239" s="82"/>
      <c r="B239" s="126"/>
      <c r="C239" s="41"/>
      <c r="D239" s="159"/>
      <c r="E239" s="164"/>
      <c r="F239" s="159"/>
      <c r="G239" s="159"/>
      <c r="H239" s="159"/>
      <c r="I239" s="159"/>
      <c r="J239" s="159"/>
      <c r="K239" s="159"/>
      <c r="L239" s="159"/>
      <c r="M239" s="159"/>
      <c r="N239" s="159"/>
      <c r="O239" s="159"/>
      <c r="P239" s="159"/>
      <c r="Q239" s="159"/>
      <c r="R239" s="164">
        <f t="shared" si="46"/>
        <v>0</v>
      </c>
      <c r="S239" s="159"/>
      <c r="T239" s="159"/>
      <c r="U239" s="159"/>
      <c r="V239" s="165"/>
      <c r="W239" s="159"/>
      <c r="X239" s="165">
        <f t="shared" si="47"/>
        <v>0</v>
      </c>
      <c r="Y239" s="545">
        <f t="shared" si="48"/>
        <v>0</v>
      </c>
    </row>
    <row r="240" spans="1:25" ht="20.100000000000001" hidden="1" customHeight="1" thickBot="1" x14ac:dyDescent="0.25">
      <c r="A240" s="82"/>
      <c r="B240" s="89"/>
      <c r="C240" s="41"/>
      <c r="D240" s="159"/>
      <c r="E240" s="164"/>
      <c r="F240" s="159"/>
      <c r="G240" s="159"/>
      <c r="H240" s="159"/>
      <c r="I240" s="159"/>
      <c r="J240" s="159"/>
      <c r="K240" s="159"/>
      <c r="L240" s="159"/>
      <c r="M240" s="159"/>
      <c r="N240" s="159"/>
      <c r="O240" s="159"/>
      <c r="P240" s="159"/>
      <c r="Q240" s="159"/>
      <c r="R240" s="164">
        <f t="shared" si="46"/>
        <v>0</v>
      </c>
      <c r="S240" s="159"/>
      <c r="T240" s="159"/>
      <c r="U240" s="159"/>
      <c r="V240" s="165"/>
      <c r="W240" s="159"/>
      <c r="X240" s="165">
        <f t="shared" si="47"/>
        <v>0</v>
      </c>
      <c r="Y240" s="545">
        <f t="shared" si="48"/>
        <v>0</v>
      </c>
    </row>
    <row r="241" spans="1:25" ht="24.75" hidden="1" customHeight="1" thickTop="1" thickBot="1" x14ac:dyDescent="0.25">
      <c r="A241" s="42"/>
      <c r="B241" s="264">
        <v>41274</v>
      </c>
      <c r="C241" s="44" t="s">
        <v>90</v>
      </c>
      <c r="D241" s="166">
        <f t="shared" ref="D241:W241" si="50">D222+D238</f>
        <v>0</v>
      </c>
      <c r="E241" s="522">
        <f t="shared" si="50"/>
        <v>0</v>
      </c>
      <c r="F241" s="166">
        <f t="shared" si="50"/>
        <v>0</v>
      </c>
      <c r="G241" s="166">
        <f t="shared" si="50"/>
        <v>0</v>
      </c>
      <c r="H241" s="166">
        <f t="shared" si="50"/>
        <v>0</v>
      </c>
      <c r="I241" s="166">
        <f t="shared" si="50"/>
        <v>0</v>
      </c>
      <c r="J241" s="166">
        <f>J222+J238</f>
        <v>0</v>
      </c>
      <c r="K241" s="166">
        <f t="shared" si="50"/>
        <v>0</v>
      </c>
      <c r="L241" s="166">
        <f t="shared" si="50"/>
        <v>0</v>
      </c>
      <c r="M241" s="166">
        <f t="shared" si="50"/>
        <v>0</v>
      </c>
      <c r="N241" s="166">
        <f t="shared" si="50"/>
        <v>0</v>
      </c>
      <c r="O241" s="166">
        <f t="shared" si="50"/>
        <v>0</v>
      </c>
      <c r="P241" s="166">
        <f t="shared" si="50"/>
        <v>0</v>
      </c>
      <c r="Q241" s="166">
        <f t="shared" si="50"/>
        <v>0</v>
      </c>
      <c r="R241" s="522">
        <f t="shared" si="46"/>
        <v>0</v>
      </c>
      <c r="S241" s="166"/>
      <c r="T241" s="166">
        <f>T222+T238</f>
        <v>0</v>
      </c>
      <c r="U241" s="166">
        <f>U222+U238</f>
        <v>0</v>
      </c>
      <c r="V241" s="169">
        <f t="shared" si="50"/>
        <v>0</v>
      </c>
      <c r="W241" s="166">
        <f t="shared" si="50"/>
        <v>0</v>
      </c>
      <c r="X241" s="169">
        <f t="shared" si="47"/>
        <v>0</v>
      </c>
      <c r="Y241" s="546">
        <f t="shared" si="48"/>
        <v>0</v>
      </c>
    </row>
    <row r="242" spans="1:25" ht="24.75" hidden="1" customHeight="1" thickTop="1" thickBot="1" x14ac:dyDescent="0.25">
      <c r="A242" s="42"/>
      <c r="B242" s="43" t="s">
        <v>122</v>
      </c>
      <c r="C242" s="44" t="s">
        <v>20</v>
      </c>
      <c r="D242" s="210">
        <f t="shared" ref="D242:W242" si="51">D204+D241</f>
        <v>1520976.399</v>
      </c>
      <c r="E242" s="210">
        <f t="shared" si="51"/>
        <v>466351.22700000001</v>
      </c>
      <c r="F242" s="210">
        <f t="shared" si="51"/>
        <v>512478.01600000006</v>
      </c>
      <c r="G242" s="210">
        <f t="shared" si="51"/>
        <v>54.879999999999995</v>
      </c>
      <c r="H242" s="210">
        <f t="shared" si="51"/>
        <v>0</v>
      </c>
      <c r="I242" s="210">
        <f t="shared" si="51"/>
        <v>50.487999999999992</v>
      </c>
      <c r="J242" s="210">
        <f>J204+J241</f>
        <v>43.524999999999999</v>
      </c>
      <c r="K242" s="210">
        <f t="shared" si="51"/>
        <v>0</v>
      </c>
      <c r="L242" s="210">
        <f t="shared" si="51"/>
        <v>198039</v>
      </c>
      <c r="M242" s="210">
        <f t="shared" si="51"/>
        <v>17981</v>
      </c>
      <c r="N242" s="210">
        <f t="shared" si="51"/>
        <v>0</v>
      </c>
      <c r="O242" s="210">
        <f t="shared" si="51"/>
        <v>5000</v>
      </c>
      <c r="P242" s="210">
        <f t="shared" si="51"/>
        <v>0</v>
      </c>
      <c r="Q242" s="210">
        <f t="shared" si="51"/>
        <v>0</v>
      </c>
      <c r="R242" s="210">
        <f t="shared" si="46"/>
        <v>2720974.5349999997</v>
      </c>
      <c r="S242" s="166"/>
      <c r="T242" s="210">
        <f>T204+T241</f>
        <v>0</v>
      </c>
      <c r="U242" s="210">
        <f>U204+U241</f>
        <v>0</v>
      </c>
      <c r="V242" s="210">
        <f t="shared" si="51"/>
        <v>0</v>
      </c>
      <c r="W242" s="210">
        <f t="shared" si="51"/>
        <v>0</v>
      </c>
      <c r="X242" s="210">
        <f t="shared" si="47"/>
        <v>0</v>
      </c>
      <c r="Y242" s="582">
        <f t="shared" si="48"/>
        <v>2720974.5349999997</v>
      </c>
    </row>
    <row r="243" spans="1:25" ht="17.25" hidden="1" thickTop="1" x14ac:dyDescent="0.25">
      <c r="E243" s="542"/>
      <c r="R243" s="542"/>
      <c r="V243" s="523"/>
      <c r="W243" s="523"/>
      <c r="X243" s="523"/>
      <c r="Y243" s="552"/>
    </row>
    <row r="244" spans="1:25" ht="17.25" thickTop="1" x14ac:dyDescent="0.25">
      <c r="E244" s="542"/>
      <c r="R244" s="542"/>
      <c r="Y244" s="552"/>
    </row>
    <row r="245" spans="1:25" ht="17.25" hidden="1" thickBot="1" x14ac:dyDescent="0.3">
      <c r="E245" s="542"/>
      <c r="R245" s="542"/>
      <c r="Y245" s="552"/>
    </row>
    <row r="246" spans="1:25" ht="18" hidden="1" thickTop="1" thickBot="1" x14ac:dyDescent="0.3">
      <c r="C246" s="295" t="s">
        <v>102</v>
      </c>
      <c r="D246" s="687">
        <v>1520976</v>
      </c>
      <c r="E246" s="688">
        <v>466351</v>
      </c>
      <c r="F246" s="689">
        <v>512478</v>
      </c>
      <c r="G246" s="689">
        <v>55</v>
      </c>
      <c r="H246" s="689">
        <v>0</v>
      </c>
      <c r="I246" s="689">
        <v>50</v>
      </c>
      <c r="J246" s="689">
        <v>44</v>
      </c>
      <c r="K246" s="689">
        <v>0</v>
      </c>
      <c r="L246" s="689">
        <v>198039</v>
      </c>
      <c r="M246" s="689">
        <v>17981</v>
      </c>
      <c r="N246" s="689">
        <v>0</v>
      </c>
      <c r="O246" s="689">
        <v>5000</v>
      </c>
      <c r="P246" s="689">
        <v>0</v>
      </c>
      <c r="Q246" s="689">
        <v>0</v>
      </c>
      <c r="R246" s="686">
        <v>2720975</v>
      </c>
      <c r="S246" s="689"/>
      <c r="T246" s="689">
        <v>0</v>
      </c>
      <c r="U246" s="689">
        <v>0</v>
      </c>
      <c r="V246" s="689"/>
      <c r="W246" s="689"/>
      <c r="X246" s="689">
        <v>0</v>
      </c>
      <c r="Y246" s="690">
        <v>2720975</v>
      </c>
    </row>
    <row r="247" spans="1:25" ht="17.25" hidden="1" thickTop="1" x14ac:dyDescent="0.25">
      <c r="D247" s="296"/>
      <c r="E247" s="296"/>
      <c r="F247" s="296"/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  <c r="X247" s="296"/>
      <c r="Y247" s="297"/>
    </row>
    <row r="248" spans="1:25" hidden="1" x14ac:dyDescent="0.25">
      <c r="C248" s="2" t="s">
        <v>97</v>
      </c>
      <c r="D248" s="691">
        <f>D246-D242</f>
        <v>-0.39899999997578561</v>
      </c>
      <c r="E248" s="691">
        <f>E246-E242</f>
        <v>-0.22700000001350418</v>
      </c>
      <c r="F248" s="691">
        <f t="shared" ref="F248:Y248" si="52">F246-F242</f>
        <v>-1.600000006146729E-2</v>
      </c>
      <c r="G248" s="691">
        <f t="shared" si="52"/>
        <v>0.12000000000000455</v>
      </c>
      <c r="H248" s="691">
        <f t="shared" si="52"/>
        <v>0</v>
      </c>
      <c r="I248" s="691">
        <f>I246-I242</f>
        <v>-0.48799999999999244</v>
      </c>
      <c r="J248" s="691">
        <f t="shared" si="52"/>
        <v>0.47500000000000142</v>
      </c>
      <c r="K248" s="691">
        <f t="shared" si="52"/>
        <v>0</v>
      </c>
      <c r="L248" s="691">
        <f t="shared" si="52"/>
        <v>0</v>
      </c>
      <c r="M248" s="691">
        <f t="shared" si="52"/>
        <v>0</v>
      </c>
      <c r="N248" s="691">
        <f t="shared" si="52"/>
        <v>0</v>
      </c>
      <c r="O248" s="691">
        <f t="shared" si="52"/>
        <v>0</v>
      </c>
      <c r="P248" s="691">
        <f t="shared" si="52"/>
        <v>0</v>
      </c>
      <c r="Q248" s="691">
        <f t="shared" si="52"/>
        <v>0</v>
      </c>
      <c r="R248" s="691">
        <f t="shared" si="52"/>
        <v>0.46500000031664968</v>
      </c>
      <c r="S248" s="691"/>
      <c r="T248" s="691">
        <f t="shared" si="52"/>
        <v>0</v>
      </c>
      <c r="U248" s="691">
        <f t="shared" si="52"/>
        <v>0</v>
      </c>
      <c r="V248" s="691">
        <f t="shared" si="52"/>
        <v>0</v>
      </c>
      <c r="W248" s="691">
        <f t="shared" si="52"/>
        <v>0</v>
      </c>
      <c r="X248" s="691">
        <f t="shared" si="52"/>
        <v>0</v>
      </c>
      <c r="Y248" s="691">
        <f t="shared" si="52"/>
        <v>0.46500000031664968</v>
      </c>
    </row>
  </sheetData>
  <mergeCells count="8">
    <mergeCell ref="T9:W9"/>
    <mergeCell ref="AH15:AI15"/>
    <mergeCell ref="A3:Y3"/>
    <mergeCell ref="A5:Y5"/>
    <mergeCell ref="AH10:AI10"/>
    <mergeCell ref="D9:K9"/>
    <mergeCell ref="L9:Q9"/>
    <mergeCell ref="D8:X8"/>
  </mergeCells>
  <phoneticPr fontId="3" type="noConversion"/>
  <printOptions horizontalCentered="1" verticalCentered="1"/>
  <pageMargins left="0" right="0" top="0.62" bottom="0.48" header="0.27" footer="0.15"/>
  <pageSetup paperSize="9" scale="41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10</vt:i4>
      </vt:variant>
    </vt:vector>
  </HeadingPairs>
  <TitlesOfParts>
    <vt:vector size="14" baseType="lpstr">
      <vt:lpstr>1.sz.melléklet</vt:lpstr>
      <vt:lpstr>2.sz.melléklet</vt:lpstr>
      <vt:lpstr>3.sz.melléklet</vt:lpstr>
      <vt:lpstr>4.sz.melléklet</vt:lpstr>
      <vt:lpstr>Excel_BuiltIn__FilterDatabase_2</vt:lpstr>
      <vt:lpstr>Excel_BuiltIn__FilterDatabase_3_3</vt:lpstr>
      <vt:lpstr>'1.sz.melléklet'!Nyomtatási_cím</vt:lpstr>
      <vt:lpstr>'2.sz.melléklet'!Nyomtatási_cím</vt:lpstr>
      <vt:lpstr>'3.sz.melléklet'!Nyomtatási_cím</vt:lpstr>
      <vt:lpstr>'4.sz.melléklet'!Nyomtatási_cím</vt:lpstr>
      <vt:lpstr>'1.sz.melléklet'!Nyomtatási_terület</vt:lpstr>
      <vt:lpstr>'2.sz.melléklet'!Nyomtatási_terület</vt:lpstr>
      <vt:lpstr>'3.sz.melléklet'!Nyomtatási_terület</vt:lpstr>
      <vt:lpstr>'4.sz.melléklet'!Nyomtatási_terület</vt:lpstr>
    </vt:vector>
  </TitlesOfParts>
  <Company>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</dc:creator>
  <cp:lastModifiedBy>Balog Lászlóné Zsuzsa</cp:lastModifiedBy>
  <cp:lastPrinted>2017-02-13T16:20:15Z</cp:lastPrinted>
  <dcterms:created xsi:type="dcterms:W3CDTF">2009-03-23T07:49:10Z</dcterms:created>
  <dcterms:modified xsi:type="dcterms:W3CDTF">2017-02-13T17:04:02Z</dcterms:modified>
</cp:coreProperties>
</file>