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5\Rendelet módosítások\Harmadik módosítás November\"/>
    </mc:Choice>
  </mc:AlternateContent>
  <bookViews>
    <workbookView xWindow="0" yWindow="75" windowWidth="17115" windowHeight="10230" activeTab="1"/>
  </bookViews>
  <sheets>
    <sheet name="5.sz. melléklet" sheetId="2" r:id="rId1"/>
    <sheet name="6.sz.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'5.sz. melléklet'!$A$1:$O$52</definedName>
    <definedName name="_xlnm.Print_Area" localSheetId="1">'6.sz.melléklet'!$A$1:$M$52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E40" i="20" l="1"/>
  <c r="E39" i="20"/>
  <c r="E39" i="2"/>
  <c r="K46" i="2" l="1"/>
  <c r="K42" i="2"/>
  <c r="K41" i="2"/>
  <c r="K40" i="2"/>
  <c r="K39" i="2"/>
  <c r="K38" i="2"/>
  <c r="K34" i="2"/>
  <c r="K33" i="2"/>
  <c r="K32" i="2"/>
  <c r="K31" i="2"/>
  <c r="K30" i="2"/>
  <c r="K29" i="2"/>
  <c r="K28" i="2"/>
  <c r="K27" i="2"/>
  <c r="K26" i="2"/>
  <c r="K25" i="2"/>
  <c r="K24" i="2"/>
  <c r="K23" i="2"/>
  <c r="K19" i="2"/>
  <c r="F26" i="20"/>
  <c r="E34" i="20"/>
  <c r="E33" i="20"/>
  <c r="E32" i="20"/>
  <c r="E31" i="20"/>
  <c r="E30" i="20"/>
  <c r="E29" i="20"/>
  <c r="E28" i="20"/>
  <c r="E27" i="20"/>
  <c r="E26" i="20"/>
  <c r="E25" i="20"/>
  <c r="E24" i="20"/>
  <c r="D34" i="20"/>
  <c r="D33" i="20"/>
  <c r="D32" i="20"/>
  <c r="D31" i="20"/>
  <c r="D30" i="20"/>
  <c r="D29" i="20"/>
  <c r="D28" i="20"/>
  <c r="D27" i="20"/>
  <c r="D26" i="20"/>
  <c r="D25" i="20"/>
  <c r="D24" i="20"/>
  <c r="F46" i="20"/>
  <c r="E46" i="20"/>
  <c r="D46" i="20"/>
  <c r="E42" i="20"/>
  <c r="D42" i="20"/>
  <c r="E41" i="20"/>
  <c r="D41" i="20"/>
  <c r="D40" i="20"/>
  <c r="D39" i="20"/>
  <c r="E38" i="20"/>
  <c r="D38" i="20"/>
  <c r="F34" i="20"/>
  <c r="F30" i="20"/>
  <c r="F25" i="20"/>
  <c r="E23" i="20"/>
  <c r="D23" i="20"/>
  <c r="E19" i="20"/>
  <c r="D19" i="20"/>
  <c r="F33" i="20" l="1"/>
  <c r="F32" i="20"/>
  <c r="F29" i="20"/>
  <c r="F28" i="20"/>
  <c r="F27" i="20"/>
  <c r="F23" i="20"/>
  <c r="F31" i="20"/>
  <c r="F24" i="20"/>
  <c r="D46" i="2" l="1"/>
  <c r="D40" i="2"/>
  <c r="D38" i="2"/>
  <c r="D23" i="2"/>
  <c r="K50" i="2" l="1"/>
  <c r="M50" i="2"/>
  <c r="I50" i="20"/>
  <c r="F50" i="20"/>
  <c r="M46" i="2"/>
  <c r="I46" i="20"/>
  <c r="E50" i="20" l="1"/>
  <c r="D50" i="20"/>
  <c r="C46" i="2" l="1"/>
  <c r="C40" i="2" l="1"/>
  <c r="K36" i="2" l="1"/>
  <c r="C34" i="2" l="1"/>
  <c r="C34" i="20"/>
  <c r="N52" i="2" l="1"/>
  <c r="O52" i="2"/>
  <c r="C50" i="2"/>
  <c r="C50" i="20"/>
  <c r="K21" i="2" l="1"/>
  <c r="J44" i="2"/>
  <c r="J36" i="2"/>
  <c r="J21" i="2"/>
  <c r="J48" i="2" l="1"/>
  <c r="J52" i="2" s="1"/>
  <c r="K44" i="2"/>
  <c r="K48" i="2" s="1"/>
  <c r="K52" i="2" s="1"/>
  <c r="C46" i="20" l="1"/>
  <c r="M44" i="20"/>
  <c r="L44" i="20"/>
  <c r="K44" i="20"/>
  <c r="J44" i="20"/>
  <c r="I44" i="20"/>
  <c r="H44" i="20"/>
  <c r="G44" i="20"/>
  <c r="F44" i="20"/>
  <c r="E44" i="20"/>
  <c r="D44" i="20"/>
  <c r="C42" i="20"/>
  <c r="C41" i="20"/>
  <c r="C40" i="20"/>
  <c r="C39" i="20"/>
  <c r="C38" i="20"/>
  <c r="M36" i="20"/>
  <c r="L36" i="20"/>
  <c r="K36" i="20"/>
  <c r="J36" i="20"/>
  <c r="I36" i="20"/>
  <c r="H36" i="20"/>
  <c r="G36" i="20"/>
  <c r="F36" i="20"/>
  <c r="E36" i="20"/>
  <c r="D36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M48" i="20" s="1"/>
  <c r="M52" i="20" s="1"/>
  <c r="L21" i="20"/>
  <c r="K21" i="20"/>
  <c r="J21" i="20"/>
  <c r="I21" i="20"/>
  <c r="H21" i="20"/>
  <c r="G21" i="20"/>
  <c r="F21" i="20"/>
  <c r="E21" i="20"/>
  <c r="D21" i="20"/>
  <c r="C19" i="20"/>
  <c r="H48" i="20" l="1"/>
  <c r="H52" i="20" s="1"/>
  <c r="L48" i="20"/>
  <c r="L52" i="20" s="1"/>
  <c r="E48" i="20"/>
  <c r="E52" i="20" s="1"/>
  <c r="D48" i="20"/>
  <c r="D52" i="20" s="1"/>
  <c r="J48" i="20"/>
  <c r="J52" i="20" s="1"/>
  <c r="K48" i="20"/>
  <c r="K52" i="20" s="1"/>
  <c r="G48" i="20"/>
  <c r="G52" i="20" s="1"/>
  <c r="I48" i="20"/>
  <c r="I52" i="20" s="1"/>
  <c r="F48" i="20"/>
  <c r="F52" i="20" s="1"/>
  <c r="C21" i="20"/>
  <c r="C44" i="20"/>
  <c r="C36" i="20"/>
  <c r="C48" i="20" l="1"/>
  <c r="C41" i="2"/>
  <c r="E44" i="2"/>
  <c r="C39" i="2"/>
  <c r="C33" i="2"/>
  <c r="C30" i="2"/>
  <c r="C29" i="2"/>
  <c r="C28" i="2"/>
  <c r="C27" i="2"/>
  <c r="C26" i="2"/>
  <c r="C24" i="2"/>
  <c r="C31" i="2"/>
  <c r="C42" i="2"/>
  <c r="D36" i="2"/>
  <c r="D21" i="2"/>
  <c r="E21" i="2"/>
  <c r="H21" i="2"/>
  <c r="C25" i="2"/>
  <c r="F21" i="2"/>
  <c r="G21" i="2"/>
  <c r="I21" i="2"/>
  <c r="L21" i="2"/>
  <c r="M21" i="2"/>
  <c r="N21" i="2"/>
  <c r="O21" i="2"/>
  <c r="E36" i="2"/>
  <c r="F36" i="2"/>
  <c r="G36" i="2"/>
  <c r="I36" i="2"/>
  <c r="L36" i="2"/>
  <c r="M36" i="2"/>
  <c r="N36" i="2"/>
  <c r="O36" i="2"/>
  <c r="F44" i="2"/>
  <c r="G44" i="2"/>
  <c r="H44" i="2"/>
  <c r="I44" i="2"/>
  <c r="L44" i="2"/>
  <c r="M44" i="2"/>
  <c r="N44" i="2"/>
  <c r="O44" i="2"/>
  <c r="H36" i="2"/>
  <c r="C38" i="2"/>
  <c r="E48" i="2" l="1"/>
  <c r="E52" i="2" s="1"/>
  <c r="C52" i="20"/>
  <c r="G48" i="2"/>
  <c r="G52" i="2" s="1"/>
  <c r="M48" i="2"/>
  <c r="M52" i="2" s="1"/>
  <c r="F48" i="2"/>
  <c r="F52" i="2" s="1"/>
  <c r="L48" i="2"/>
  <c r="L52" i="2" s="1"/>
  <c r="I48" i="2"/>
  <c r="I52" i="2" s="1"/>
  <c r="H48" i="2"/>
  <c r="H52" i="2" s="1"/>
  <c r="C44" i="2"/>
  <c r="C19" i="2"/>
  <c r="C23" i="2"/>
  <c r="D44" i="2"/>
  <c r="D48" i="2" s="1"/>
  <c r="D52" i="2" s="1"/>
  <c r="C32" i="2"/>
  <c r="C21" i="2" l="1"/>
  <c r="C36" i="2"/>
  <c r="C48" i="2" l="1"/>
  <c r="C52" i="2" l="1"/>
</calcChain>
</file>

<file path=xl/sharedStrings.xml><?xml version="1.0" encoding="utf-8"?>
<sst xmlns="http://schemas.openxmlformats.org/spreadsheetml/2006/main" count="193" uniqueCount="95">
  <si>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</si>
  <si>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</si>
  <si>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</si>
  <si>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</si>
  <si>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</si>
  <si>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</si>
  <si>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</si>
  <si>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</si>
  <si>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</si>
  <si>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</si>
  <si>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</si>
  <si>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</si>
  <si>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</si>
  <si>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</si>
  <si>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</si>
  <si>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</si>
  <si>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</si>
  <si>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</si>
  <si>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</si>
  <si>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</si>
  <si>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</si>
  <si>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</si>
  <si>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</si>
  <si>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</si>
  <si>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</si>
  <si>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</si>
  <si>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</si>
  <si>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</si>
  <si>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</si>
  <si>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</si>
  <si>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</si>
  <si>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</si>
  <si>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</si>
  <si>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</si>
  <si>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</si>
  <si>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</si>
  <si>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</si>
  <si>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</si>
  <si>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</si>
  <si>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</si>
  <si>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</si>
  <si>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</si>
  <si>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</si>
  <si>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</si>
  <si>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</si>
  <si>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</si>
  <si>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</si>
  <si>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</si>
  <si>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</si>
  <si>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</si>
  <si>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</si>
  <si>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</si>
  <si>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</si>
  <si>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</si>
  <si>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</si>
  <si>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</si>
  <si>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</si>
  <si>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</si>
  <si>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</si>
  <si>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</si>
  <si>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</si>
  <si>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</si>
  <si>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</si>
  <si>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</si>
  <si>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</si>
  <si>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</si>
  <si>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</si>
  <si>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</si>
  <si>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</si>
  <si>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</si>
  <si>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</si>
  <si>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</si>
  <si>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</si>
  <si>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</si>
  <si>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</si>
  <si>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</si>
  <si>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</si>
  <si>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</si>
  <si>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</si>
  <si>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</si>
  <si>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</si>
  <si>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</si>
  <si>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</si>
  <si>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</si>
  <si>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</si>
  <si>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</si>
  <si>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>5. sz. melléklet</t>
  </si>
  <si>
    <t>6. sz. melléklet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</si>
  <si>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</si>
  <si>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</si>
  <si>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</si>
  <si>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</si>
  <si>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</si>
  <si>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Családsegítő Központ</t>
  </si>
  <si>
    <t>2015. július 1-jétől - október 31-éig.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</si>
</sst>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8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29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3" fillId="0" borderId="0" xfId="0" applyFont="1" applyBorder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3" fontId="22" fillId="0" borderId="42" xfId="0" applyNumberFormat="1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3" fontId="37" fillId="0" borderId="0" xfId="0" applyNumberFormat="1" applyFont="1"/>
    <xf numFmtId="3" fontId="31" fillId="0" borderId="3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3" fontId="31" fillId="0" borderId="35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zoomScale="110" zoomScaleNormal="110" workbookViewId="0">
      <pane xSplit="2" ySplit="16" topLeftCell="C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E40" sqref="E40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8.7109375" style="1" customWidth="1"/>
    <col min="17" max="18" width="7.7109375" style="1" customWidth="1"/>
    <col min="19" max="16384" width="9.140625" style="1"/>
  </cols>
  <sheetData>
    <row r="1" spans="1:17" x14ac:dyDescent="0.2">
      <c r="M1" s="2"/>
      <c r="N1" s="177" t="s">
        <v>86</v>
      </c>
      <c r="O1" s="177"/>
    </row>
    <row r="2" spans="1:17" x14ac:dyDescent="0.2">
      <c r="M2" s="2"/>
      <c r="N2" s="2"/>
      <c r="O2" s="3"/>
    </row>
    <row r="3" spans="1:17" x14ac:dyDescent="0.2">
      <c r="M3" s="2"/>
      <c r="N3" s="2"/>
      <c r="O3" s="3"/>
    </row>
    <row r="4" spans="1:17" x14ac:dyDescent="0.2">
      <c r="A4" s="185" t="s">
        <v>92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7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">
      <c r="A6" s="4"/>
      <c r="B6" s="185" t="s">
        <v>94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5"/>
      <c r="P6" s="5"/>
      <c r="Q6" s="6"/>
    </row>
    <row r="7" spans="1:17" x14ac:dyDescent="0.2">
      <c r="A7" s="4"/>
      <c r="B7" s="5"/>
      <c r="C7" s="5"/>
      <c r="D7" s="5"/>
      <c r="E7" s="5"/>
      <c r="F7" s="5"/>
      <c r="G7" s="5"/>
      <c r="H7" s="91"/>
      <c r="I7" s="5"/>
      <c r="J7" s="5"/>
      <c r="K7" s="5"/>
      <c r="L7" s="5"/>
      <c r="M7" s="5"/>
      <c r="N7" s="5"/>
      <c r="O7" s="7"/>
      <c r="P7" s="5"/>
      <c r="Q7" s="6"/>
    </row>
    <row r="8" spans="1:17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  <c r="Q8" s="74"/>
    </row>
    <row r="9" spans="1:17" ht="13.5" thickBot="1" x14ac:dyDescent="0.25">
      <c r="A9" s="9"/>
      <c r="B9" s="10"/>
      <c r="C9" s="10"/>
      <c r="D9" s="178" t="s">
        <v>1</v>
      </c>
      <c r="E9" s="178"/>
      <c r="F9" s="178"/>
      <c r="G9" s="179"/>
      <c r="H9" s="179"/>
      <c r="I9" s="179"/>
      <c r="J9" s="178"/>
      <c r="K9" s="178"/>
      <c r="L9" s="178"/>
      <c r="M9" s="178"/>
      <c r="N9" s="180" t="s">
        <v>2</v>
      </c>
      <c r="O9" s="181"/>
      <c r="P9" s="70"/>
      <c r="Q9" s="70"/>
    </row>
    <row r="10" spans="1:17" ht="13.5" thickBot="1" x14ac:dyDescent="0.25">
      <c r="A10" s="13"/>
      <c r="B10" s="105"/>
      <c r="C10" s="105"/>
      <c r="D10" s="182" t="s">
        <v>61</v>
      </c>
      <c r="E10" s="183"/>
      <c r="F10" s="183"/>
      <c r="G10" s="183"/>
      <c r="H10" s="183"/>
      <c r="I10" s="184"/>
      <c r="J10" s="182" t="s">
        <v>56</v>
      </c>
      <c r="K10" s="183"/>
      <c r="L10" s="183"/>
      <c r="M10" s="183"/>
      <c r="N10" s="140"/>
      <c r="O10" s="106"/>
      <c r="P10" s="70"/>
      <c r="Q10" s="70"/>
    </row>
    <row r="11" spans="1:17" ht="12.75" customHeight="1" x14ac:dyDescent="0.2">
      <c r="A11" s="75"/>
      <c r="B11" s="18" t="s">
        <v>60</v>
      </c>
      <c r="C11" s="18" t="s">
        <v>3</v>
      </c>
      <c r="D11" s="70"/>
      <c r="E11" s="31"/>
      <c r="F11" s="92"/>
      <c r="G11" s="9"/>
      <c r="H11" s="112"/>
      <c r="I11" s="142"/>
      <c r="J11" s="141"/>
      <c r="K11" s="107"/>
      <c r="L11" s="141"/>
      <c r="M11" s="107"/>
      <c r="N11" s="23" t="s">
        <v>10</v>
      </c>
      <c r="O11" s="24" t="s">
        <v>13</v>
      </c>
      <c r="P11" s="70"/>
      <c r="Q11" s="70"/>
    </row>
    <row r="12" spans="1:17" x14ac:dyDescent="0.2">
      <c r="A12" s="75"/>
      <c r="B12" s="18" t="s">
        <v>20</v>
      </c>
      <c r="C12" s="18" t="s">
        <v>46</v>
      </c>
      <c r="D12" s="90" t="s">
        <v>10</v>
      </c>
      <c r="E12" s="89" t="s">
        <v>10</v>
      </c>
      <c r="F12" s="89" t="s">
        <v>10</v>
      </c>
      <c r="G12" s="23" t="s">
        <v>13</v>
      </c>
      <c r="H12" s="89" t="s">
        <v>49</v>
      </c>
      <c r="I12" s="24" t="s">
        <v>13</v>
      </c>
      <c r="J12" s="93" t="s">
        <v>10</v>
      </c>
      <c r="K12" s="108" t="s">
        <v>10</v>
      </c>
      <c r="L12" s="93" t="s">
        <v>13</v>
      </c>
      <c r="M12" s="108" t="s">
        <v>13</v>
      </c>
      <c r="N12" s="23" t="s">
        <v>17</v>
      </c>
      <c r="O12" s="24" t="s">
        <v>17</v>
      </c>
      <c r="P12" s="70"/>
      <c r="Q12" s="70"/>
    </row>
    <row r="13" spans="1:17" x14ac:dyDescent="0.2">
      <c r="A13" s="76"/>
      <c r="B13" s="18"/>
      <c r="C13" s="18" t="s">
        <v>14</v>
      </c>
      <c r="D13" s="90" t="s">
        <v>46</v>
      </c>
      <c r="E13" s="89" t="s">
        <v>46</v>
      </c>
      <c r="F13" s="89" t="s">
        <v>17</v>
      </c>
      <c r="G13" s="23" t="s">
        <v>46</v>
      </c>
      <c r="H13" s="89" t="s">
        <v>46</v>
      </c>
      <c r="I13" s="24" t="s">
        <v>17</v>
      </c>
      <c r="J13" s="93" t="s">
        <v>57</v>
      </c>
      <c r="K13" s="108" t="s">
        <v>59</v>
      </c>
      <c r="L13" s="93" t="s">
        <v>57</v>
      </c>
      <c r="M13" s="108" t="s">
        <v>59</v>
      </c>
      <c r="N13" s="23"/>
      <c r="O13" s="24"/>
      <c r="P13" s="70"/>
      <c r="Q13" s="70"/>
    </row>
    <row r="14" spans="1:17" x14ac:dyDescent="0.2">
      <c r="A14" s="28" t="s">
        <v>19</v>
      </c>
      <c r="B14" s="18"/>
      <c r="C14" s="32"/>
      <c r="D14" s="25" t="s">
        <v>50</v>
      </c>
      <c r="E14" s="89"/>
      <c r="F14" s="89" t="s">
        <v>54</v>
      </c>
      <c r="G14" s="85" t="s">
        <v>50</v>
      </c>
      <c r="H14" s="89"/>
      <c r="I14" s="24" t="s">
        <v>54</v>
      </c>
      <c r="J14" s="93" t="s">
        <v>55</v>
      </c>
      <c r="K14" s="108" t="s">
        <v>48</v>
      </c>
      <c r="L14" s="93" t="s">
        <v>55</v>
      </c>
      <c r="M14" s="108" t="s">
        <v>48</v>
      </c>
      <c r="N14" s="23"/>
      <c r="O14" s="24"/>
      <c r="P14" s="70"/>
      <c r="Q14" s="70"/>
    </row>
    <row r="15" spans="1:17" x14ac:dyDescent="0.2">
      <c r="A15" s="28"/>
      <c r="B15" s="18"/>
      <c r="C15" s="32"/>
      <c r="D15" s="25" t="s">
        <v>52</v>
      </c>
      <c r="E15" s="89"/>
      <c r="F15" s="89" t="s">
        <v>23</v>
      </c>
      <c r="G15" s="85" t="s">
        <v>52</v>
      </c>
      <c r="H15" s="89"/>
      <c r="I15" s="24" t="s">
        <v>23</v>
      </c>
      <c r="J15" s="93" t="s">
        <v>58</v>
      </c>
      <c r="K15" s="24"/>
      <c r="L15" s="93" t="s">
        <v>58</v>
      </c>
      <c r="M15" s="24"/>
      <c r="N15" s="23"/>
      <c r="O15" s="24"/>
      <c r="P15" s="70"/>
      <c r="Q15" s="70"/>
    </row>
    <row r="16" spans="1:17" x14ac:dyDescent="0.2">
      <c r="A16" s="27"/>
      <c r="B16" s="99"/>
      <c r="C16" s="32"/>
      <c r="D16" s="97"/>
      <c r="E16" s="89"/>
      <c r="F16" s="89"/>
      <c r="G16" s="77"/>
      <c r="H16" s="89"/>
      <c r="I16" s="24"/>
      <c r="J16" s="94"/>
      <c r="K16" s="24"/>
      <c r="L16" s="94"/>
      <c r="M16" s="86"/>
      <c r="N16" s="13"/>
      <c r="O16" s="35"/>
      <c r="P16" s="70"/>
      <c r="Q16" s="70"/>
    </row>
    <row r="17" spans="1:19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8">
        <v>9</v>
      </c>
      <c r="J17" s="42">
        <v>10</v>
      </c>
      <c r="K17" s="78">
        <v>11</v>
      </c>
      <c r="L17" s="42">
        <v>12</v>
      </c>
      <c r="M17" s="78">
        <v>13</v>
      </c>
      <c r="N17" s="42">
        <v>14</v>
      </c>
      <c r="O17" s="78">
        <v>15</v>
      </c>
      <c r="P17" s="70"/>
      <c r="Q17" s="70"/>
    </row>
    <row r="18" spans="1:19" x14ac:dyDescent="0.2">
      <c r="A18" s="85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70"/>
      <c r="Q18" s="70"/>
    </row>
    <row r="19" spans="1:19" x14ac:dyDescent="0.2">
      <c r="A19" s="85" t="s">
        <v>64</v>
      </c>
      <c r="B19" s="100" t="s">
        <v>27</v>
      </c>
      <c r="C19" s="46">
        <f>SUM(D19:O19)</f>
        <v>23647</v>
      </c>
      <c r="D19" s="47"/>
      <c r="E19" s="47"/>
      <c r="F19" s="47"/>
      <c r="G19" s="48"/>
      <c r="H19" s="47"/>
      <c r="I19" s="49"/>
      <c r="J19" s="48"/>
      <c r="K19" s="49">
        <f>13113+300+3637+982+1672+453+3490</f>
        <v>23647</v>
      </c>
      <c r="L19" s="48"/>
      <c r="M19" s="49"/>
      <c r="N19" s="48"/>
      <c r="O19" s="49"/>
      <c r="P19" s="79"/>
      <c r="Q19" s="79"/>
      <c r="S19" s="73"/>
    </row>
    <row r="20" spans="1:19" x14ac:dyDescent="0.2">
      <c r="A20" s="13"/>
      <c r="B20" s="101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9"/>
      <c r="Q20" s="79"/>
      <c r="S20" s="73"/>
    </row>
    <row r="21" spans="1:19" x14ac:dyDescent="0.2">
      <c r="A21" s="125" t="s">
        <v>26</v>
      </c>
      <c r="B21" s="127" t="s">
        <v>80</v>
      </c>
      <c r="C21" s="50">
        <f t="shared" ref="C21:O21" si="0">SUM(C19:C20)</f>
        <v>23647</v>
      </c>
      <c r="D21" s="56">
        <f t="shared" si="0"/>
        <v>0</v>
      </c>
      <c r="E21" s="57">
        <f t="shared" si="0"/>
        <v>0</v>
      </c>
      <c r="F21" s="68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23647</v>
      </c>
      <c r="L21" s="58">
        <f t="shared" si="0"/>
        <v>0</v>
      </c>
      <c r="M21" s="59">
        <f t="shared" si="0"/>
        <v>0</v>
      </c>
      <c r="N21" s="58">
        <f t="shared" si="0"/>
        <v>0</v>
      </c>
      <c r="O21" s="59">
        <f t="shared" si="0"/>
        <v>0</v>
      </c>
      <c r="P21" s="79"/>
      <c r="Q21" s="79"/>
      <c r="S21" s="73"/>
    </row>
    <row r="22" spans="1:19" x14ac:dyDescent="0.2">
      <c r="A22" s="13"/>
      <c r="B22" s="102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9"/>
      <c r="Q22" s="79"/>
      <c r="S22" s="73"/>
    </row>
    <row r="23" spans="1:19" x14ac:dyDescent="0.2">
      <c r="A23" s="85" t="s">
        <v>64</v>
      </c>
      <c r="B23" s="100" t="s">
        <v>28</v>
      </c>
      <c r="C23" s="46">
        <f t="shared" ref="C23:C34" si="1">SUM(D23:O23)</f>
        <v>4492</v>
      </c>
      <c r="D23" s="47">
        <f>1048+309+42</f>
        <v>1399</v>
      </c>
      <c r="E23" s="47"/>
      <c r="F23" s="47"/>
      <c r="G23" s="48"/>
      <c r="H23" s="47"/>
      <c r="I23" s="49"/>
      <c r="J23" s="48"/>
      <c r="K23" s="49">
        <f>67+24+29+2973</f>
        <v>3093</v>
      </c>
      <c r="L23" s="48"/>
      <c r="M23" s="49"/>
      <c r="N23" s="48"/>
      <c r="O23" s="49"/>
      <c r="P23" s="79"/>
      <c r="Q23" s="79"/>
      <c r="S23" s="73"/>
    </row>
    <row r="24" spans="1:19" x14ac:dyDescent="0.2">
      <c r="A24" s="85" t="s">
        <v>65</v>
      </c>
      <c r="B24" s="100" t="s">
        <v>30</v>
      </c>
      <c r="C24" s="46">
        <f t="shared" si="1"/>
        <v>1579</v>
      </c>
      <c r="D24" s="47"/>
      <c r="E24" s="47"/>
      <c r="F24" s="47"/>
      <c r="G24" s="48"/>
      <c r="H24" s="47"/>
      <c r="I24" s="49"/>
      <c r="J24" s="48"/>
      <c r="K24" s="49">
        <f>283-33+469+25+29+773</f>
        <v>1546</v>
      </c>
      <c r="L24" s="48"/>
      <c r="M24" s="49">
        <v>33</v>
      </c>
      <c r="N24" s="48"/>
      <c r="O24" s="49"/>
      <c r="P24" s="79"/>
      <c r="Q24" s="79"/>
      <c r="S24" s="73"/>
    </row>
    <row r="25" spans="1:19" x14ac:dyDescent="0.2">
      <c r="A25" s="85" t="s">
        <v>66</v>
      </c>
      <c r="B25" s="100" t="s">
        <v>32</v>
      </c>
      <c r="C25" s="46">
        <f t="shared" si="1"/>
        <v>5399</v>
      </c>
      <c r="D25" s="47"/>
      <c r="E25" s="47"/>
      <c r="F25" s="47"/>
      <c r="G25" s="48"/>
      <c r="H25" s="47"/>
      <c r="I25" s="49"/>
      <c r="J25" s="48"/>
      <c r="K25" s="49">
        <f>137+17+20+5225</f>
        <v>5399</v>
      </c>
      <c r="L25" s="48"/>
      <c r="M25" s="49"/>
      <c r="N25" s="48"/>
      <c r="O25" s="49"/>
      <c r="P25" s="79"/>
      <c r="Q25" s="79"/>
      <c r="S25" s="73"/>
    </row>
    <row r="26" spans="1:19" x14ac:dyDescent="0.2">
      <c r="A26" s="85" t="s">
        <v>67</v>
      </c>
      <c r="B26" s="100" t="s">
        <v>34</v>
      </c>
      <c r="C26" s="46">
        <f t="shared" si="1"/>
        <v>1421</v>
      </c>
      <c r="D26" s="47"/>
      <c r="E26" s="47"/>
      <c r="F26" s="47"/>
      <c r="G26" s="48"/>
      <c r="H26" s="47"/>
      <c r="I26" s="49"/>
      <c r="J26" s="48"/>
      <c r="K26" s="49">
        <f>145+23+26+1227</f>
        <v>1421</v>
      </c>
      <c r="L26" s="48"/>
      <c r="M26" s="49"/>
      <c r="N26" s="48"/>
      <c r="O26" s="49"/>
      <c r="P26" s="79"/>
      <c r="Q26" s="79"/>
      <c r="S26" s="73"/>
    </row>
    <row r="27" spans="1:19" x14ac:dyDescent="0.2">
      <c r="A27" s="85" t="s">
        <v>68</v>
      </c>
      <c r="B27" s="100" t="s">
        <v>35</v>
      </c>
      <c r="C27" s="46">
        <f t="shared" si="1"/>
        <v>5480</v>
      </c>
      <c r="D27" s="47"/>
      <c r="E27" s="47"/>
      <c r="F27" s="47"/>
      <c r="G27" s="48"/>
      <c r="H27" s="47"/>
      <c r="I27" s="49"/>
      <c r="J27" s="48"/>
      <c r="K27" s="49">
        <f>302+37+43+5098</f>
        <v>5480</v>
      </c>
      <c r="L27" s="48"/>
      <c r="M27" s="49"/>
      <c r="N27" s="48"/>
      <c r="O27" s="49"/>
      <c r="P27" s="79"/>
      <c r="Q27" s="79"/>
      <c r="S27" s="73"/>
    </row>
    <row r="28" spans="1:19" x14ac:dyDescent="0.2">
      <c r="A28" s="85" t="s">
        <v>69</v>
      </c>
      <c r="B28" s="100" t="s">
        <v>36</v>
      </c>
      <c r="C28" s="46">
        <f t="shared" si="1"/>
        <v>372</v>
      </c>
      <c r="D28" s="47"/>
      <c r="E28" s="47"/>
      <c r="F28" s="47"/>
      <c r="G28" s="48"/>
      <c r="H28" s="47"/>
      <c r="I28" s="49"/>
      <c r="J28" s="48"/>
      <c r="K28" s="49">
        <f>171+18+21+162</f>
        <v>372</v>
      </c>
      <c r="L28" s="48"/>
      <c r="M28" s="49"/>
      <c r="N28" s="48"/>
      <c r="O28" s="49"/>
      <c r="P28" s="79"/>
      <c r="Q28" s="79"/>
      <c r="S28" s="73"/>
    </row>
    <row r="29" spans="1:19" x14ac:dyDescent="0.2">
      <c r="A29" s="85" t="s">
        <v>70</v>
      </c>
      <c r="B29" s="100" t="s">
        <v>37</v>
      </c>
      <c r="C29" s="46">
        <f t="shared" si="1"/>
        <v>1864</v>
      </c>
      <c r="D29" s="47"/>
      <c r="E29" s="47"/>
      <c r="F29" s="47"/>
      <c r="G29" s="48"/>
      <c r="H29" s="47"/>
      <c r="I29" s="49"/>
      <c r="J29" s="48"/>
      <c r="K29" s="49">
        <f>278+18+21+1547</f>
        <v>1864</v>
      </c>
      <c r="L29" s="48"/>
      <c r="M29" s="49"/>
      <c r="N29" s="48"/>
      <c r="O29" s="49"/>
      <c r="P29" s="79"/>
      <c r="Q29" s="79"/>
      <c r="S29" s="73"/>
    </row>
    <row r="30" spans="1:19" x14ac:dyDescent="0.2">
      <c r="A30" s="85" t="s">
        <v>71</v>
      </c>
      <c r="B30" s="100" t="s">
        <v>38</v>
      </c>
      <c r="C30" s="46">
        <f t="shared" si="1"/>
        <v>5724</v>
      </c>
      <c r="D30" s="47"/>
      <c r="E30" s="47"/>
      <c r="F30" s="47"/>
      <c r="G30" s="48"/>
      <c r="H30" s="47"/>
      <c r="I30" s="49"/>
      <c r="J30" s="48"/>
      <c r="K30" s="49">
        <f>327+34+40+5323</f>
        <v>5724</v>
      </c>
      <c r="L30" s="48"/>
      <c r="M30" s="49"/>
      <c r="N30" s="48"/>
      <c r="O30" s="49"/>
      <c r="P30" s="79"/>
      <c r="Q30" s="79"/>
      <c r="S30" s="73"/>
    </row>
    <row r="31" spans="1:19" x14ac:dyDescent="0.2">
      <c r="A31" s="85" t="s">
        <v>74</v>
      </c>
      <c r="B31" s="100" t="s">
        <v>39</v>
      </c>
      <c r="C31" s="46">
        <f t="shared" si="1"/>
        <v>283</v>
      </c>
      <c r="D31" s="47"/>
      <c r="E31" s="47"/>
      <c r="F31" s="47"/>
      <c r="G31" s="48"/>
      <c r="H31" s="47"/>
      <c r="I31" s="49"/>
      <c r="J31" s="48"/>
      <c r="K31" s="49">
        <f>96+7132+23+26+138</f>
        <v>7415</v>
      </c>
      <c r="L31" s="48"/>
      <c r="M31" s="49">
        <v>-7132</v>
      </c>
      <c r="N31" s="48"/>
      <c r="O31" s="49"/>
      <c r="P31" s="79"/>
      <c r="Q31" s="79"/>
      <c r="S31" s="73"/>
    </row>
    <row r="32" spans="1:19" x14ac:dyDescent="0.2">
      <c r="A32" s="85" t="s">
        <v>72</v>
      </c>
      <c r="B32" s="100" t="s">
        <v>40</v>
      </c>
      <c r="C32" s="46">
        <f t="shared" si="1"/>
        <v>875</v>
      </c>
      <c r="D32" s="47"/>
      <c r="E32" s="47"/>
      <c r="F32" s="47"/>
      <c r="G32" s="48"/>
      <c r="H32" s="47"/>
      <c r="I32" s="49"/>
      <c r="J32" s="48"/>
      <c r="K32" s="49">
        <f>287+20+24+544</f>
        <v>875</v>
      </c>
      <c r="L32" s="48"/>
      <c r="M32" s="49"/>
      <c r="N32" s="48"/>
      <c r="O32" s="49"/>
      <c r="P32" s="79"/>
      <c r="Q32" s="79"/>
      <c r="S32" s="73"/>
    </row>
    <row r="33" spans="1:21" x14ac:dyDescent="0.2">
      <c r="A33" s="85" t="s">
        <v>73</v>
      </c>
      <c r="B33" s="100" t="s">
        <v>85</v>
      </c>
      <c r="C33" s="46">
        <f t="shared" si="1"/>
        <v>8384</v>
      </c>
      <c r="D33" s="47"/>
      <c r="E33" s="47"/>
      <c r="F33" s="47"/>
      <c r="G33" s="48"/>
      <c r="H33" s="47"/>
      <c r="I33" s="49"/>
      <c r="J33" s="48"/>
      <c r="K33" s="49">
        <f>164+33+38+8149</f>
        <v>8384</v>
      </c>
      <c r="L33" s="48"/>
      <c r="M33" s="49"/>
      <c r="N33" s="48"/>
      <c r="O33" s="49"/>
      <c r="P33" s="79"/>
      <c r="Q33" s="79"/>
      <c r="S33" s="73"/>
    </row>
    <row r="34" spans="1:21" x14ac:dyDescent="0.2">
      <c r="A34" s="85" t="s">
        <v>89</v>
      </c>
      <c r="B34" s="100" t="s">
        <v>91</v>
      </c>
      <c r="C34" s="46">
        <f t="shared" si="1"/>
        <v>3303</v>
      </c>
      <c r="D34" s="47"/>
      <c r="E34" s="47"/>
      <c r="F34" s="47"/>
      <c r="G34" s="48"/>
      <c r="H34" s="47"/>
      <c r="I34" s="49"/>
      <c r="J34" s="48"/>
      <c r="K34" s="49">
        <f>349+28+33+2893</f>
        <v>3303</v>
      </c>
      <c r="L34" s="48"/>
      <c r="M34" s="49"/>
      <c r="N34" s="48"/>
      <c r="O34" s="49"/>
      <c r="P34" s="79"/>
      <c r="Q34" s="79"/>
      <c r="S34" s="73"/>
    </row>
    <row r="35" spans="1:21" x14ac:dyDescent="0.2">
      <c r="A35" s="85"/>
      <c r="B35" s="14"/>
      <c r="C35" s="46"/>
      <c r="D35" s="47"/>
      <c r="E35" s="47"/>
      <c r="F35" s="47"/>
      <c r="G35" s="48"/>
      <c r="H35" s="47"/>
      <c r="I35" s="49"/>
      <c r="J35" s="48"/>
      <c r="K35" s="49"/>
      <c r="L35" s="48"/>
      <c r="M35" s="49"/>
      <c r="N35" s="48"/>
      <c r="O35" s="49"/>
      <c r="P35" s="79"/>
      <c r="Q35" s="79"/>
      <c r="S35" s="73"/>
    </row>
    <row r="36" spans="1:21" x14ac:dyDescent="0.2">
      <c r="A36" s="125" t="s">
        <v>29</v>
      </c>
      <c r="B36" s="95" t="s">
        <v>81</v>
      </c>
      <c r="C36" s="50">
        <f t="shared" ref="C36:O36" si="2">SUM(C23:C35)</f>
        <v>39176</v>
      </c>
      <c r="D36" s="56">
        <f t="shared" si="2"/>
        <v>1399</v>
      </c>
      <c r="E36" s="57">
        <f t="shared" si="2"/>
        <v>0</v>
      </c>
      <c r="F36" s="68">
        <f t="shared" si="2"/>
        <v>0</v>
      </c>
      <c r="G36" s="58">
        <f t="shared" si="2"/>
        <v>0</v>
      </c>
      <c r="H36" s="57">
        <f t="shared" si="2"/>
        <v>0</v>
      </c>
      <c r="I36" s="60">
        <f t="shared" si="2"/>
        <v>0</v>
      </c>
      <c r="J36" s="58">
        <f t="shared" ref="J36" si="3">SUM(J33:J35)</f>
        <v>0</v>
      </c>
      <c r="K36" s="60">
        <f>SUM(K23:K35)</f>
        <v>44876</v>
      </c>
      <c r="L36" s="58">
        <f t="shared" si="2"/>
        <v>0</v>
      </c>
      <c r="M36" s="59">
        <f t="shared" si="2"/>
        <v>-7099</v>
      </c>
      <c r="N36" s="58">
        <f t="shared" si="2"/>
        <v>0</v>
      </c>
      <c r="O36" s="59">
        <f t="shared" si="2"/>
        <v>0</v>
      </c>
      <c r="P36" s="79"/>
      <c r="Q36" s="79"/>
      <c r="S36" s="73"/>
    </row>
    <row r="37" spans="1:21" x14ac:dyDescent="0.2">
      <c r="A37" s="13"/>
      <c r="B37" s="14"/>
      <c r="C37" s="46"/>
      <c r="D37" s="47"/>
      <c r="E37" s="47"/>
      <c r="F37" s="47"/>
      <c r="G37" s="48"/>
      <c r="H37" s="47"/>
      <c r="I37" s="49"/>
      <c r="J37" s="48"/>
      <c r="K37" s="49"/>
      <c r="L37" s="48"/>
      <c r="M37" s="49"/>
      <c r="N37" s="48"/>
      <c r="O37" s="49"/>
      <c r="P37" s="79"/>
      <c r="Q37" s="79"/>
      <c r="S37" s="73"/>
    </row>
    <row r="38" spans="1:21" x14ac:dyDescent="0.2">
      <c r="A38" s="85" t="s">
        <v>64</v>
      </c>
      <c r="B38" s="100" t="s">
        <v>41</v>
      </c>
      <c r="C38" s="46">
        <f>SUM(D38:O38)</f>
        <v>2891</v>
      </c>
      <c r="D38" s="47">
        <f>269+65+9</f>
        <v>343</v>
      </c>
      <c r="E38" s="47"/>
      <c r="F38" s="47"/>
      <c r="G38" s="48"/>
      <c r="H38" s="47"/>
      <c r="I38" s="49"/>
      <c r="J38" s="48"/>
      <c r="K38" s="49">
        <f>1233+258+69+172+46+151+619</f>
        <v>2548</v>
      </c>
      <c r="L38" s="48"/>
      <c r="M38" s="49"/>
      <c r="N38" s="48"/>
      <c r="O38" s="49"/>
      <c r="P38" s="79"/>
      <c r="Q38" s="79"/>
      <c r="S38" s="73"/>
    </row>
    <row r="39" spans="1:21" x14ac:dyDescent="0.2">
      <c r="A39" s="85" t="s">
        <v>65</v>
      </c>
      <c r="B39" s="100" t="s">
        <v>42</v>
      </c>
      <c r="C39" s="46">
        <f>SUM(D39:O39)</f>
        <v>4603</v>
      </c>
      <c r="D39" s="47"/>
      <c r="E39" s="47">
        <f>1663+1</f>
        <v>1664</v>
      </c>
      <c r="F39" s="47"/>
      <c r="G39" s="48"/>
      <c r="H39" s="47"/>
      <c r="I39" s="49"/>
      <c r="J39" s="48"/>
      <c r="K39" s="49">
        <f>2194+737+199+433+117-1663+423+499</f>
        <v>2939</v>
      </c>
      <c r="L39" s="48"/>
      <c r="M39" s="49"/>
      <c r="N39" s="48"/>
      <c r="O39" s="49"/>
      <c r="P39" s="79"/>
      <c r="Q39" s="79"/>
      <c r="S39" s="73"/>
    </row>
    <row r="40" spans="1:21" x14ac:dyDescent="0.2">
      <c r="A40" s="85" t="s">
        <v>66</v>
      </c>
      <c r="B40" s="100" t="s">
        <v>43</v>
      </c>
      <c r="C40" s="46">
        <f>SUM(D40:O40)</f>
        <v>4910</v>
      </c>
      <c r="D40" s="47">
        <f>269+65+9</f>
        <v>343</v>
      </c>
      <c r="E40" s="47"/>
      <c r="F40" s="47"/>
      <c r="G40" s="48"/>
      <c r="H40" s="47"/>
      <c r="I40" s="49"/>
      <c r="J40" s="48"/>
      <c r="K40" s="49">
        <f>2167+668+180+375+101+378+698</f>
        <v>4567</v>
      </c>
      <c r="L40" s="48"/>
      <c r="M40" s="49"/>
      <c r="N40" s="48"/>
      <c r="O40" s="49"/>
      <c r="P40" s="79"/>
      <c r="Q40" s="79"/>
      <c r="S40" s="73"/>
    </row>
    <row r="41" spans="1:21" x14ac:dyDescent="0.2">
      <c r="A41" s="85" t="s">
        <v>67</v>
      </c>
      <c r="B41" s="100" t="s">
        <v>44</v>
      </c>
      <c r="C41" s="46">
        <f>SUM(D41:O41)</f>
        <v>3723</v>
      </c>
      <c r="D41" s="47"/>
      <c r="E41" s="47"/>
      <c r="F41" s="47"/>
      <c r="G41" s="48"/>
      <c r="H41" s="47"/>
      <c r="I41" s="49"/>
      <c r="J41" s="48"/>
      <c r="K41" s="49">
        <f>1999+462+125+276+75+227+559</f>
        <v>3723</v>
      </c>
      <c r="L41" s="48"/>
      <c r="M41" s="49"/>
      <c r="N41" s="48"/>
      <c r="O41" s="49"/>
      <c r="P41" s="79"/>
      <c r="Q41" s="79"/>
      <c r="S41" s="73"/>
    </row>
    <row r="42" spans="1:21" x14ac:dyDescent="0.2">
      <c r="A42" s="85" t="s">
        <v>68</v>
      </c>
      <c r="B42" s="100" t="s">
        <v>93</v>
      </c>
      <c r="C42" s="46">
        <f>SUM(D42:O42)</f>
        <v>9204</v>
      </c>
      <c r="D42" s="47">
        <v>100</v>
      </c>
      <c r="E42" s="47"/>
      <c r="F42" s="47"/>
      <c r="G42" s="48"/>
      <c r="H42" s="47"/>
      <c r="I42" s="49"/>
      <c r="J42" s="48"/>
      <c r="K42" s="49">
        <f>5804+910+246+913+247+438+546</f>
        <v>9104</v>
      </c>
      <c r="L42" s="48"/>
      <c r="M42" s="49"/>
      <c r="N42" s="48"/>
      <c r="O42" s="49"/>
      <c r="P42" s="79"/>
      <c r="Q42" s="79"/>
      <c r="S42" s="73"/>
    </row>
    <row r="43" spans="1:21" x14ac:dyDescent="0.2">
      <c r="A43" s="85"/>
      <c r="B43" s="100"/>
      <c r="C43" s="46"/>
      <c r="D43" s="47"/>
      <c r="E43" s="47"/>
      <c r="F43" s="47"/>
      <c r="G43" s="48"/>
      <c r="H43" s="47"/>
      <c r="I43" s="49"/>
      <c r="J43" s="48"/>
      <c r="K43" s="49"/>
      <c r="L43" s="48"/>
      <c r="M43" s="49"/>
      <c r="N43" s="48"/>
      <c r="O43" s="49"/>
      <c r="P43" s="79"/>
      <c r="Q43" s="79"/>
      <c r="S43" s="73"/>
    </row>
    <row r="44" spans="1:21" x14ac:dyDescent="0.2">
      <c r="A44" s="125" t="s">
        <v>31</v>
      </c>
      <c r="B44" s="95" t="s">
        <v>83</v>
      </c>
      <c r="C44" s="50">
        <f t="shared" ref="C44:O44" si="4">SUM(C38:C43)</f>
        <v>25331</v>
      </c>
      <c r="D44" s="56">
        <f t="shared" si="4"/>
        <v>786</v>
      </c>
      <c r="E44" s="57">
        <f t="shared" si="4"/>
        <v>1664</v>
      </c>
      <c r="F44" s="68">
        <f t="shared" si="4"/>
        <v>0</v>
      </c>
      <c r="G44" s="58">
        <f t="shared" si="4"/>
        <v>0</v>
      </c>
      <c r="H44" s="57">
        <f t="shared" si="4"/>
        <v>0</v>
      </c>
      <c r="I44" s="60">
        <f t="shared" si="4"/>
        <v>0</v>
      </c>
      <c r="J44" s="58">
        <f t="shared" ref="J44" si="5">SUM(J42:J43)</f>
        <v>0</v>
      </c>
      <c r="K44" s="60">
        <f t="shared" si="4"/>
        <v>22881</v>
      </c>
      <c r="L44" s="58">
        <f t="shared" si="4"/>
        <v>0</v>
      </c>
      <c r="M44" s="59">
        <f t="shared" si="4"/>
        <v>0</v>
      </c>
      <c r="N44" s="58">
        <f t="shared" si="4"/>
        <v>0</v>
      </c>
      <c r="O44" s="59">
        <f t="shared" si="4"/>
        <v>0</v>
      </c>
      <c r="P44" s="79"/>
      <c r="Q44" s="79"/>
      <c r="R44" s="70"/>
      <c r="S44" s="73"/>
      <c r="U44" s="73"/>
    </row>
    <row r="45" spans="1:21" x14ac:dyDescent="0.2">
      <c r="A45" s="98"/>
      <c r="B45" s="96"/>
      <c r="C45" s="61"/>
      <c r="D45" s="62"/>
      <c r="E45" s="62"/>
      <c r="F45" s="62"/>
      <c r="G45" s="63"/>
      <c r="H45" s="62"/>
      <c r="I45" s="64"/>
      <c r="J45" s="63"/>
      <c r="K45" s="64"/>
      <c r="L45" s="63"/>
      <c r="M45" s="64"/>
      <c r="N45" s="63"/>
      <c r="O45" s="64"/>
      <c r="P45" s="79"/>
      <c r="Q45" s="79"/>
      <c r="R45" s="70"/>
      <c r="S45" s="73"/>
      <c r="U45" s="73"/>
    </row>
    <row r="46" spans="1:21" x14ac:dyDescent="0.2">
      <c r="A46" s="42" t="s">
        <v>33</v>
      </c>
      <c r="B46" s="103" t="s">
        <v>45</v>
      </c>
      <c r="C46" s="144">
        <f>SUM(D46:M46)</f>
        <v>63773</v>
      </c>
      <c r="D46" s="145">
        <f>1801+507+68</f>
        <v>2376</v>
      </c>
      <c r="E46" s="57"/>
      <c r="F46" s="145"/>
      <c r="G46" s="58"/>
      <c r="H46" s="146"/>
      <c r="I46" s="176"/>
      <c r="J46" s="58"/>
      <c r="K46" s="147">
        <f>4600+1753+473+18608</f>
        <v>25434</v>
      </c>
      <c r="L46" s="58"/>
      <c r="M46" s="174">
        <f>7950+4360+5000+7400+7643+3610</f>
        <v>35963</v>
      </c>
      <c r="N46" s="58"/>
      <c r="O46" s="59"/>
      <c r="P46" s="79"/>
      <c r="Q46" s="79"/>
      <c r="R46" s="70"/>
      <c r="S46" s="73"/>
      <c r="U46" s="73"/>
    </row>
    <row r="47" spans="1:21" ht="13.5" thickBot="1" x14ac:dyDescent="0.25">
      <c r="A47" s="13"/>
      <c r="B47" s="104"/>
      <c r="C47" s="46"/>
      <c r="D47" s="19"/>
      <c r="E47" s="19"/>
      <c r="F47" s="19"/>
      <c r="G47" s="13"/>
      <c r="H47" s="19"/>
      <c r="I47" s="45"/>
      <c r="J47" s="13"/>
      <c r="K47" s="45"/>
      <c r="L47" s="13"/>
      <c r="M47" s="45"/>
      <c r="N47" s="13"/>
      <c r="O47" s="45"/>
      <c r="P47" s="79"/>
      <c r="Q47" s="79"/>
      <c r="R47" s="70"/>
    </row>
    <row r="48" spans="1:21" ht="22.5" thickBot="1" x14ac:dyDescent="0.25">
      <c r="A48" s="139" t="s">
        <v>75</v>
      </c>
      <c r="B48" s="130" t="s">
        <v>79</v>
      </c>
      <c r="C48" s="80">
        <f t="shared" ref="C48:M48" si="6">C21+C36+C44+C46</f>
        <v>151927</v>
      </c>
      <c r="D48" s="114">
        <f t="shared" si="6"/>
        <v>4561</v>
      </c>
      <c r="E48" s="148">
        <f t="shared" si="6"/>
        <v>1664</v>
      </c>
      <c r="F48" s="138">
        <f t="shared" si="6"/>
        <v>0</v>
      </c>
      <c r="G48" s="137">
        <f t="shared" si="6"/>
        <v>0</v>
      </c>
      <c r="H48" s="148">
        <f t="shared" si="6"/>
        <v>0</v>
      </c>
      <c r="I48" s="138">
        <f t="shared" si="6"/>
        <v>0</v>
      </c>
      <c r="J48" s="137">
        <f t="shared" si="6"/>
        <v>0</v>
      </c>
      <c r="K48" s="138">
        <f t="shared" si="6"/>
        <v>116838</v>
      </c>
      <c r="L48" s="137">
        <f t="shared" si="6"/>
        <v>0</v>
      </c>
      <c r="M48" s="138">
        <f t="shared" si="6"/>
        <v>28864</v>
      </c>
      <c r="N48" s="149"/>
      <c r="O48" s="150"/>
      <c r="P48" s="79"/>
      <c r="Q48" s="79"/>
    </row>
    <row r="49" spans="1:17" x14ac:dyDescent="0.2">
      <c r="A49" s="33"/>
      <c r="B49" s="113"/>
      <c r="C49" s="134"/>
      <c r="D49" s="151"/>
      <c r="E49" s="152"/>
      <c r="F49" s="47"/>
      <c r="G49" s="13"/>
      <c r="H49" s="19"/>
      <c r="I49" s="45"/>
      <c r="J49" s="13"/>
      <c r="K49" s="45"/>
      <c r="L49" s="13"/>
      <c r="M49" s="45"/>
      <c r="N49" s="13"/>
      <c r="O49" s="45"/>
      <c r="P49" s="79"/>
      <c r="Q49" s="79"/>
    </row>
    <row r="50" spans="1:17" x14ac:dyDescent="0.2">
      <c r="A50" s="126" t="s">
        <v>76</v>
      </c>
      <c r="B50" s="131" t="s">
        <v>77</v>
      </c>
      <c r="C50" s="144">
        <f>SUM(D50:M50)</f>
        <v>32518</v>
      </c>
      <c r="D50" s="47"/>
      <c r="E50" s="136"/>
      <c r="F50" s="135"/>
      <c r="G50" s="116"/>
      <c r="H50" s="153"/>
      <c r="I50" s="135"/>
      <c r="J50" s="116"/>
      <c r="K50" s="154">
        <f>3270+254+6412+625</f>
        <v>10561</v>
      </c>
      <c r="L50" s="155"/>
      <c r="M50" s="154">
        <f>21498+459</f>
        <v>21957</v>
      </c>
      <c r="N50" s="116"/>
      <c r="O50" s="135"/>
      <c r="P50" s="79"/>
      <c r="Q50" s="79"/>
    </row>
    <row r="51" spans="1:17" ht="13.5" thickBot="1" x14ac:dyDescent="0.25">
      <c r="A51" s="30"/>
      <c r="B51" s="132"/>
      <c r="C51" s="46"/>
      <c r="D51" s="156"/>
      <c r="E51" s="157"/>
      <c r="F51" s="19"/>
      <c r="G51" s="48"/>
      <c r="H51" s="19"/>
      <c r="I51" s="45"/>
      <c r="J51" s="13"/>
      <c r="K51" s="49"/>
      <c r="L51" s="48"/>
      <c r="M51" s="49"/>
      <c r="N51" s="13"/>
      <c r="O51" s="45"/>
      <c r="P51" s="79"/>
      <c r="Q51" s="79"/>
    </row>
    <row r="52" spans="1:17" ht="13.5" thickBot="1" x14ac:dyDescent="0.25">
      <c r="A52" s="110" t="s">
        <v>78</v>
      </c>
      <c r="B52" s="133" t="s">
        <v>84</v>
      </c>
      <c r="C52" s="158">
        <f t="shared" ref="C52:O52" si="7">C48+C50</f>
        <v>184445</v>
      </c>
      <c r="D52" s="163">
        <f t="shared" si="7"/>
        <v>4561</v>
      </c>
      <c r="E52" s="164">
        <f t="shared" si="7"/>
        <v>1664</v>
      </c>
      <c r="F52" s="165">
        <f t="shared" si="7"/>
        <v>0</v>
      </c>
      <c r="G52" s="163">
        <f t="shared" si="7"/>
        <v>0</v>
      </c>
      <c r="H52" s="164">
        <f t="shared" si="7"/>
        <v>0</v>
      </c>
      <c r="I52" s="165">
        <f t="shared" si="7"/>
        <v>0</v>
      </c>
      <c r="J52" s="163">
        <f t="shared" si="7"/>
        <v>0</v>
      </c>
      <c r="K52" s="165">
        <f t="shared" si="7"/>
        <v>127399</v>
      </c>
      <c r="L52" s="163">
        <f t="shared" si="7"/>
        <v>0</v>
      </c>
      <c r="M52" s="165">
        <f t="shared" si="7"/>
        <v>50821</v>
      </c>
      <c r="N52" s="163">
        <f t="shared" si="7"/>
        <v>0</v>
      </c>
      <c r="O52" s="165">
        <f t="shared" si="7"/>
        <v>0</v>
      </c>
      <c r="P52" s="79"/>
      <c r="Q52" s="79"/>
    </row>
    <row r="53" spans="1:17" x14ac:dyDescent="0.2">
      <c r="C53" s="84"/>
      <c r="P53" s="79"/>
      <c r="Q53" s="79"/>
    </row>
    <row r="54" spans="1:17" x14ac:dyDescent="0.2">
      <c r="C54" s="2"/>
      <c r="P54" s="79"/>
      <c r="Q54" s="79"/>
    </row>
    <row r="55" spans="1:17" x14ac:dyDescent="0.2">
      <c r="B55" s="73"/>
      <c r="C55" s="2"/>
      <c r="H55" s="73"/>
      <c r="P55" s="79"/>
      <c r="Q55" s="79"/>
    </row>
    <row r="56" spans="1:17" x14ac:dyDescent="0.2">
      <c r="B56" s="73"/>
      <c r="C56" s="2"/>
      <c r="P56" s="79"/>
      <c r="Q56" s="79"/>
    </row>
    <row r="57" spans="1:17" x14ac:dyDescent="0.2"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9"/>
      <c r="Q57" s="79"/>
    </row>
    <row r="58" spans="1:17" x14ac:dyDescent="0.2"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9"/>
      <c r="Q58" s="79"/>
    </row>
    <row r="59" spans="1:17" x14ac:dyDescent="0.2"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9"/>
      <c r="Q59" s="79"/>
    </row>
    <row r="60" spans="1:17" x14ac:dyDescent="0.2"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9"/>
      <c r="Q60" s="79"/>
    </row>
    <row r="61" spans="1:17" x14ac:dyDescent="0.2">
      <c r="B61" s="73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9"/>
      <c r="Q61" s="79"/>
    </row>
    <row r="62" spans="1:17" x14ac:dyDescent="0.2">
      <c r="B62" s="73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9"/>
      <c r="Q62" s="79"/>
    </row>
    <row r="63" spans="1:17" x14ac:dyDescent="0.2"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9"/>
      <c r="Q63" s="79"/>
    </row>
    <row r="64" spans="1:17" x14ac:dyDescent="0.2">
      <c r="C64" s="175"/>
      <c r="D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79"/>
      <c r="Q64" s="79"/>
    </row>
    <row r="65" spans="2:17" x14ac:dyDescent="0.2">
      <c r="B65" s="73"/>
      <c r="C65" s="175"/>
      <c r="D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79"/>
      <c r="Q65" s="79"/>
    </row>
    <row r="66" spans="2:17" x14ac:dyDescent="0.2">
      <c r="C66" s="175"/>
      <c r="D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79"/>
      <c r="Q66" s="79"/>
    </row>
    <row r="67" spans="2:17" x14ac:dyDescent="0.2">
      <c r="B67" s="73"/>
      <c r="C67" s="175"/>
      <c r="D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79"/>
      <c r="Q67" s="79"/>
    </row>
    <row r="68" spans="2:17" x14ac:dyDescent="0.2">
      <c r="C68" s="175"/>
      <c r="D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79"/>
      <c r="Q68" s="79"/>
    </row>
    <row r="69" spans="2:17" x14ac:dyDescent="0.2"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9"/>
      <c r="Q69" s="79"/>
    </row>
    <row r="70" spans="2:17" x14ac:dyDescent="0.2">
      <c r="B70" s="73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9"/>
      <c r="Q70" s="79"/>
    </row>
    <row r="71" spans="2:17" x14ac:dyDescent="0.2"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9"/>
      <c r="Q71" s="79"/>
    </row>
    <row r="72" spans="2:17" x14ac:dyDescent="0.2"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79"/>
    </row>
    <row r="73" spans="2:17" x14ac:dyDescent="0.2"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79"/>
    </row>
    <row r="74" spans="2:17" x14ac:dyDescent="0.2"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79"/>
    </row>
    <row r="75" spans="2:17" x14ac:dyDescent="0.2"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79"/>
    </row>
    <row r="76" spans="2:17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79"/>
    </row>
    <row r="77" spans="2:17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79"/>
    </row>
    <row r="78" spans="2:17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79"/>
    </row>
    <row r="79" spans="2:17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79"/>
    </row>
    <row r="80" spans="2:17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79"/>
    </row>
    <row r="81" spans="3:17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79"/>
    </row>
    <row r="82" spans="3:17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79"/>
    </row>
    <row r="83" spans="3:17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79"/>
    </row>
    <row r="84" spans="3:17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79"/>
    </row>
    <row r="85" spans="3:17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79"/>
    </row>
    <row r="86" spans="3:17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79"/>
    </row>
    <row r="87" spans="3:17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79"/>
    </row>
    <row r="88" spans="3:17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79"/>
    </row>
    <row r="89" spans="3:17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79"/>
    </row>
    <row r="90" spans="3:17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79"/>
    </row>
    <row r="91" spans="3:17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79"/>
    </row>
    <row r="92" spans="3:17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79"/>
    </row>
    <row r="93" spans="3:17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79"/>
    </row>
    <row r="94" spans="3:17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79"/>
    </row>
    <row r="95" spans="3:17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79"/>
    </row>
    <row r="96" spans="3:17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79"/>
    </row>
    <row r="97" spans="3:17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79"/>
    </row>
    <row r="98" spans="3:17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79"/>
    </row>
    <row r="99" spans="3:17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3:1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3:1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3:1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3:1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3:1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3:1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3:1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3:1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3:1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3:1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3:1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3:1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3:1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3:1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3:1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3:1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3:1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3:1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3:1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3:1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3:1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3:1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3:1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3:1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3:1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3:1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zoomScale="110" zoomScaleNormal="110" workbookViewId="0">
      <pane xSplit="3" ySplit="17" topLeftCell="D1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E52" sqref="E52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77" t="s">
        <v>87</v>
      </c>
      <c r="M1" s="177"/>
    </row>
    <row r="2" spans="1:15" x14ac:dyDescent="0.2">
      <c r="M2" s="2"/>
    </row>
    <row r="3" spans="1:15" x14ac:dyDescent="0.2">
      <c r="M3" s="2"/>
    </row>
    <row r="4" spans="1:15" x14ac:dyDescent="0.2">
      <c r="A4" s="185" t="s">
        <v>88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85" t="s">
        <v>94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9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79" t="s">
        <v>1</v>
      </c>
      <c r="E9" s="179"/>
      <c r="F9" s="179"/>
      <c r="G9" s="179"/>
      <c r="H9" s="179"/>
      <c r="I9" s="179"/>
      <c r="J9" s="179"/>
      <c r="K9" s="181"/>
      <c r="L9" s="11" t="s">
        <v>2</v>
      </c>
      <c r="M9" s="12"/>
    </row>
    <row r="10" spans="1:15" ht="13.5" thickBot="1" x14ac:dyDescent="0.25">
      <c r="A10" s="13"/>
      <c r="B10" s="14"/>
      <c r="C10" s="14"/>
      <c r="D10" s="186" t="s">
        <v>62</v>
      </c>
      <c r="E10" s="186"/>
      <c r="F10" s="186"/>
      <c r="G10" s="186"/>
      <c r="H10" s="186"/>
      <c r="I10" s="187" t="s">
        <v>63</v>
      </c>
      <c r="J10" s="186"/>
      <c r="K10" s="188"/>
      <c r="L10" s="15"/>
      <c r="M10" s="16"/>
    </row>
    <row r="11" spans="1:15" ht="12.75" customHeight="1" x14ac:dyDescent="0.2">
      <c r="A11" s="123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8"/>
      <c r="K11" s="119"/>
      <c r="L11" s="23"/>
      <c r="M11" s="24"/>
    </row>
    <row r="12" spans="1:15" x14ac:dyDescent="0.2">
      <c r="A12" s="123"/>
      <c r="B12" s="18" t="s">
        <v>60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47</v>
      </c>
      <c r="I12" s="23" t="s">
        <v>11</v>
      </c>
      <c r="J12" s="26" t="s">
        <v>12</v>
      </c>
      <c r="K12" s="120" t="s">
        <v>47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53</v>
      </c>
      <c r="F13" s="20" t="s">
        <v>5</v>
      </c>
      <c r="G13" s="21" t="s">
        <v>16</v>
      </c>
      <c r="H13" s="21" t="s">
        <v>51</v>
      </c>
      <c r="I13" s="23"/>
      <c r="J13" s="26"/>
      <c r="K13" s="120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20" t="s">
        <v>17</v>
      </c>
      <c r="L14" s="23"/>
      <c r="M14" s="24"/>
    </row>
    <row r="15" spans="1:15" x14ac:dyDescent="0.2">
      <c r="A15" s="124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20" t="s">
        <v>5</v>
      </c>
      <c r="L15" s="23"/>
      <c r="M15" s="24"/>
    </row>
    <row r="16" spans="1:15" x14ac:dyDescent="0.2">
      <c r="A16" s="27"/>
      <c r="B16" s="99"/>
      <c r="C16" s="32"/>
      <c r="D16" s="19"/>
      <c r="E16" s="26" t="s">
        <v>25</v>
      </c>
      <c r="F16" s="20"/>
      <c r="G16" s="19"/>
      <c r="H16" s="115"/>
      <c r="I16" s="33"/>
      <c r="J16" s="34"/>
      <c r="K16" s="86"/>
      <c r="L16" s="13"/>
      <c r="M16" s="35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8">
        <v>11</v>
      </c>
      <c r="L17" s="42">
        <v>12</v>
      </c>
      <c r="M17" s="43">
        <v>13</v>
      </c>
    </row>
    <row r="18" spans="1:20" x14ac:dyDescent="0.2">
      <c r="A18" s="85"/>
      <c r="B18" s="18"/>
      <c r="C18" s="166"/>
      <c r="D18" s="47"/>
      <c r="E18" s="47"/>
      <c r="F18" s="47"/>
      <c r="G18" s="47"/>
      <c r="H18" s="47"/>
      <c r="I18" s="48"/>
      <c r="J18" s="47"/>
      <c r="K18" s="49"/>
      <c r="L18" s="48"/>
      <c r="M18" s="49"/>
      <c r="R18" s="73"/>
      <c r="S18" s="73"/>
      <c r="T18" s="73"/>
    </row>
    <row r="19" spans="1:20" x14ac:dyDescent="0.2">
      <c r="A19" s="85" t="s">
        <v>64</v>
      </c>
      <c r="B19" s="100" t="s">
        <v>27</v>
      </c>
      <c r="C19" s="46">
        <f>SUM(D19:M19)</f>
        <v>23647</v>
      </c>
      <c r="D19" s="47">
        <f>10325+3637+1672+2748</f>
        <v>18382</v>
      </c>
      <c r="E19" s="47">
        <f>2788+982+453+742</f>
        <v>4965</v>
      </c>
      <c r="F19" s="47">
        <v>300</v>
      </c>
      <c r="G19" s="47"/>
      <c r="H19" s="47"/>
      <c r="I19" s="48"/>
      <c r="J19" s="47"/>
      <c r="K19" s="49"/>
      <c r="L19" s="48"/>
      <c r="M19" s="49"/>
      <c r="O19" s="73"/>
      <c r="R19" s="73"/>
      <c r="S19" s="73"/>
      <c r="T19" s="73"/>
    </row>
    <row r="20" spans="1:20" x14ac:dyDescent="0.2">
      <c r="A20" s="13"/>
      <c r="B20" s="101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3"/>
      <c r="R20" s="73"/>
      <c r="S20" s="73"/>
      <c r="T20" s="73"/>
    </row>
    <row r="21" spans="1:20" x14ac:dyDescent="0.2">
      <c r="A21" s="125" t="s">
        <v>26</v>
      </c>
      <c r="B21" s="127" t="s">
        <v>80</v>
      </c>
      <c r="C21" s="50">
        <f t="shared" ref="C21:M21" si="0">SUM(C19:C20)</f>
        <v>23647</v>
      </c>
      <c r="D21" s="51">
        <f t="shared" si="0"/>
        <v>18382</v>
      </c>
      <c r="E21" s="52">
        <f t="shared" si="0"/>
        <v>4965</v>
      </c>
      <c r="F21" s="52">
        <f t="shared" si="0"/>
        <v>300</v>
      </c>
      <c r="G21" s="52">
        <f t="shared" si="0"/>
        <v>0</v>
      </c>
      <c r="H21" s="117">
        <f t="shared" si="0"/>
        <v>0</v>
      </c>
      <c r="I21" s="53">
        <f t="shared" si="0"/>
        <v>0</v>
      </c>
      <c r="J21" s="52">
        <f t="shared" si="0"/>
        <v>0</v>
      </c>
      <c r="K21" s="121">
        <f t="shared" si="0"/>
        <v>0</v>
      </c>
      <c r="L21" s="53">
        <f t="shared" si="0"/>
        <v>0</v>
      </c>
      <c r="M21" s="54">
        <f t="shared" si="0"/>
        <v>0</v>
      </c>
      <c r="O21" s="73"/>
      <c r="R21" s="73"/>
      <c r="S21" s="73"/>
      <c r="T21" s="73"/>
    </row>
    <row r="22" spans="1:20" x14ac:dyDescent="0.2">
      <c r="A22" s="13"/>
      <c r="B22" s="128"/>
      <c r="C22" s="55"/>
      <c r="D22" s="47"/>
      <c r="E22" s="47"/>
      <c r="F22" s="47"/>
      <c r="G22" s="47"/>
      <c r="H22" s="47"/>
      <c r="I22" s="48"/>
      <c r="J22" s="47"/>
      <c r="K22" s="49"/>
      <c r="L22" s="48"/>
      <c r="M22" s="49"/>
      <c r="O22" s="73"/>
      <c r="R22" s="73"/>
      <c r="S22" s="73"/>
      <c r="T22" s="73"/>
    </row>
    <row r="23" spans="1:20" x14ac:dyDescent="0.2">
      <c r="A23" s="85" t="s">
        <v>64</v>
      </c>
      <c r="B23" s="100" t="s">
        <v>28</v>
      </c>
      <c r="C23" s="46">
        <f t="shared" ref="C23:C34" si="1">SUM(D23:M23)</f>
        <v>4492</v>
      </c>
      <c r="D23" s="47">
        <f>53+923+43+309+2341</f>
        <v>3669</v>
      </c>
      <c r="E23" s="47">
        <f>14+125-43+42+632</f>
        <v>770</v>
      </c>
      <c r="F23" s="47">
        <f>24+29</f>
        <v>53</v>
      </c>
      <c r="G23" s="47"/>
      <c r="H23" s="47"/>
      <c r="I23" s="48"/>
      <c r="J23" s="47"/>
      <c r="K23" s="49"/>
      <c r="L23" s="48"/>
      <c r="M23" s="49"/>
      <c r="O23" s="73"/>
      <c r="R23" s="73"/>
      <c r="S23" s="73"/>
      <c r="T23" s="73"/>
    </row>
    <row r="24" spans="1:20" x14ac:dyDescent="0.2">
      <c r="A24" s="85" t="s">
        <v>65</v>
      </c>
      <c r="B24" s="100" t="s">
        <v>30</v>
      </c>
      <c r="C24" s="46">
        <f t="shared" si="1"/>
        <v>1579</v>
      </c>
      <c r="D24" s="47">
        <f>223+609</f>
        <v>832</v>
      </c>
      <c r="E24" s="47">
        <f>60+164</f>
        <v>224</v>
      </c>
      <c r="F24" s="47">
        <f>-33+469+25+29</f>
        <v>490</v>
      </c>
      <c r="G24" s="47"/>
      <c r="H24" s="47"/>
      <c r="I24" s="48">
        <v>33</v>
      </c>
      <c r="J24" s="47"/>
      <c r="K24" s="49"/>
      <c r="L24" s="48"/>
      <c r="M24" s="49"/>
      <c r="O24" s="73"/>
      <c r="R24" s="73"/>
      <c r="S24" s="73"/>
      <c r="T24" s="73"/>
    </row>
    <row r="25" spans="1:20" x14ac:dyDescent="0.2">
      <c r="A25" s="85" t="s">
        <v>66</v>
      </c>
      <c r="B25" s="100" t="s">
        <v>32</v>
      </c>
      <c r="C25" s="46">
        <f t="shared" si="1"/>
        <v>5399</v>
      </c>
      <c r="D25" s="47">
        <f>108+3678</f>
        <v>3786</v>
      </c>
      <c r="E25" s="47">
        <f>29+993</f>
        <v>1022</v>
      </c>
      <c r="F25" s="47">
        <f>17+20+554</f>
        <v>591</v>
      </c>
      <c r="G25" s="47"/>
      <c r="H25" s="47"/>
      <c r="I25" s="48"/>
      <c r="J25" s="47"/>
      <c r="K25" s="49"/>
      <c r="L25" s="48"/>
      <c r="M25" s="49"/>
      <c r="O25" s="73"/>
      <c r="R25" s="73"/>
      <c r="S25" s="73"/>
      <c r="T25" s="73"/>
    </row>
    <row r="26" spans="1:20" x14ac:dyDescent="0.2">
      <c r="A26" s="85" t="s">
        <v>67</v>
      </c>
      <c r="B26" s="100" t="s">
        <v>34</v>
      </c>
      <c r="C26" s="46">
        <f t="shared" si="1"/>
        <v>1421</v>
      </c>
      <c r="D26" s="47">
        <f>114+146</f>
        <v>260</v>
      </c>
      <c r="E26" s="47">
        <f>31+39</f>
        <v>70</v>
      </c>
      <c r="F26" s="47">
        <f>23+26+1042</f>
        <v>1091</v>
      </c>
      <c r="G26" s="47"/>
      <c r="H26" s="47"/>
      <c r="I26" s="48"/>
      <c r="J26" s="47"/>
      <c r="K26" s="49"/>
      <c r="L26" s="48"/>
      <c r="M26" s="49"/>
      <c r="O26" s="73"/>
      <c r="R26" s="73"/>
      <c r="S26" s="73"/>
      <c r="T26" s="73"/>
    </row>
    <row r="27" spans="1:20" x14ac:dyDescent="0.2">
      <c r="A27" s="85" t="s">
        <v>68</v>
      </c>
      <c r="B27" s="100" t="s">
        <v>35</v>
      </c>
      <c r="C27" s="46">
        <f t="shared" si="1"/>
        <v>5480</v>
      </c>
      <c r="D27" s="47">
        <f>238+4014</f>
        <v>4252</v>
      </c>
      <c r="E27" s="47">
        <f>64+1084</f>
        <v>1148</v>
      </c>
      <c r="F27" s="47">
        <f>37+43</f>
        <v>80</v>
      </c>
      <c r="G27" s="47"/>
      <c r="H27" s="47"/>
      <c r="I27" s="48"/>
      <c r="J27" s="47"/>
      <c r="K27" s="49"/>
      <c r="L27" s="48"/>
      <c r="M27" s="49"/>
      <c r="O27" s="73"/>
      <c r="R27" s="73"/>
      <c r="S27" s="73"/>
      <c r="T27" s="73"/>
    </row>
    <row r="28" spans="1:20" x14ac:dyDescent="0.2">
      <c r="A28" s="85" t="s">
        <v>69</v>
      </c>
      <c r="B28" s="100" t="s">
        <v>36</v>
      </c>
      <c r="C28" s="46">
        <f t="shared" si="1"/>
        <v>372</v>
      </c>
      <c r="D28" s="47">
        <f>135+128</f>
        <v>263</v>
      </c>
      <c r="E28" s="47">
        <f>36+34</f>
        <v>70</v>
      </c>
      <c r="F28" s="47">
        <f>18+21</f>
        <v>39</v>
      </c>
      <c r="G28" s="47"/>
      <c r="H28" s="47"/>
      <c r="I28" s="48"/>
      <c r="J28" s="47"/>
      <c r="K28" s="49"/>
      <c r="L28" s="48"/>
      <c r="M28" s="49"/>
      <c r="O28" s="73"/>
      <c r="R28" s="173"/>
      <c r="S28" s="73"/>
      <c r="T28" s="73"/>
    </row>
    <row r="29" spans="1:20" x14ac:dyDescent="0.2">
      <c r="A29" s="85" t="s">
        <v>70</v>
      </c>
      <c r="B29" s="100" t="s">
        <v>37</v>
      </c>
      <c r="C29" s="46">
        <f t="shared" si="1"/>
        <v>1864</v>
      </c>
      <c r="D29" s="47">
        <f>219+1218</f>
        <v>1437</v>
      </c>
      <c r="E29" s="47">
        <f>59+329</f>
        <v>388</v>
      </c>
      <c r="F29" s="47">
        <f>18+21</f>
        <v>39</v>
      </c>
      <c r="G29" s="47"/>
      <c r="H29" s="47"/>
      <c r="I29" s="48"/>
      <c r="J29" s="47"/>
      <c r="K29" s="49"/>
      <c r="L29" s="48"/>
      <c r="M29" s="49"/>
      <c r="O29" s="73"/>
      <c r="R29" s="73"/>
      <c r="S29" s="73"/>
      <c r="T29" s="73"/>
    </row>
    <row r="30" spans="1:20" x14ac:dyDescent="0.2">
      <c r="A30" s="85" t="s">
        <v>71</v>
      </c>
      <c r="B30" s="100" t="s">
        <v>38</v>
      </c>
      <c r="C30" s="46">
        <f t="shared" si="1"/>
        <v>5724</v>
      </c>
      <c r="D30" s="47">
        <f>257+2576</f>
        <v>2833</v>
      </c>
      <c r="E30" s="47">
        <f>70+696</f>
        <v>766</v>
      </c>
      <c r="F30" s="47">
        <f>34+40+2051</f>
        <v>2125</v>
      </c>
      <c r="G30" s="47"/>
      <c r="H30" s="47"/>
      <c r="I30" s="48"/>
      <c r="J30" s="47"/>
      <c r="K30" s="49"/>
      <c r="L30" s="48"/>
      <c r="M30" s="49"/>
      <c r="O30" s="73"/>
      <c r="R30" s="73"/>
      <c r="S30" s="73"/>
      <c r="T30" s="73"/>
    </row>
    <row r="31" spans="1:20" x14ac:dyDescent="0.2">
      <c r="A31" s="85" t="s">
        <v>74</v>
      </c>
      <c r="B31" s="100" t="s">
        <v>39</v>
      </c>
      <c r="C31" s="46">
        <f t="shared" si="1"/>
        <v>283</v>
      </c>
      <c r="D31" s="47">
        <f>76+109</f>
        <v>185</v>
      </c>
      <c r="E31" s="47">
        <f>20+29</f>
        <v>49</v>
      </c>
      <c r="F31" s="47">
        <f>7132+23+26</f>
        <v>7181</v>
      </c>
      <c r="G31" s="47"/>
      <c r="H31" s="47"/>
      <c r="I31" s="48">
        <v>-7132</v>
      </c>
      <c r="J31" s="47"/>
      <c r="K31" s="49"/>
      <c r="L31" s="48"/>
      <c r="M31" s="49"/>
      <c r="O31" s="73"/>
      <c r="R31" s="73"/>
      <c r="S31" s="73"/>
      <c r="T31" s="73"/>
    </row>
    <row r="32" spans="1:20" x14ac:dyDescent="0.2">
      <c r="A32" s="85" t="s">
        <v>72</v>
      </c>
      <c r="B32" s="100" t="s">
        <v>40</v>
      </c>
      <c r="C32" s="46">
        <f t="shared" si="1"/>
        <v>875</v>
      </c>
      <c r="D32" s="47">
        <f>226+428</f>
        <v>654</v>
      </c>
      <c r="E32" s="47">
        <f>61+116</f>
        <v>177</v>
      </c>
      <c r="F32" s="47">
        <f>20+24</f>
        <v>44</v>
      </c>
      <c r="G32" s="47"/>
      <c r="H32" s="47"/>
      <c r="I32" s="48"/>
      <c r="J32" s="47"/>
      <c r="K32" s="49"/>
      <c r="L32" s="48"/>
      <c r="M32" s="49"/>
      <c r="O32" s="73"/>
      <c r="R32" s="73"/>
      <c r="S32" s="73"/>
      <c r="T32" s="73"/>
    </row>
    <row r="33" spans="1:20" x14ac:dyDescent="0.2">
      <c r="A33" s="85" t="s">
        <v>73</v>
      </c>
      <c r="B33" s="100" t="s">
        <v>85</v>
      </c>
      <c r="C33" s="46">
        <f t="shared" si="1"/>
        <v>8384</v>
      </c>
      <c r="D33" s="47">
        <f>129+6416</f>
        <v>6545</v>
      </c>
      <c r="E33" s="47">
        <f>35+1733</f>
        <v>1768</v>
      </c>
      <c r="F33" s="47">
        <f>33+38</f>
        <v>71</v>
      </c>
      <c r="G33" s="47"/>
      <c r="H33" s="47"/>
      <c r="I33" s="48"/>
      <c r="J33" s="47"/>
      <c r="K33" s="49"/>
      <c r="L33" s="48"/>
      <c r="M33" s="49"/>
      <c r="O33" s="73"/>
      <c r="R33" s="173"/>
      <c r="S33" s="73"/>
      <c r="T33" s="73"/>
    </row>
    <row r="34" spans="1:20" x14ac:dyDescent="0.2">
      <c r="A34" s="85" t="s">
        <v>89</v>
      </c>
      <c r="B34" s="100" t="s">
        <v>90</v>
      </c>
      <c r="C34" s="46">
        <f t="shared" si="1"/>
        <v>3303</v>
      </c>
      <c r="D34" s="47">
        <f>275+125</f>
        <v>400</v>
      </c>
      <c r="E34" s="47">
        <f>74+34</f>
        <v>108</v>
      </c>
      <c r="F34" s="47">
        <f>28+33+2734</f>
        <v>2795</v>
      </c>
      <c r="G34" s="47"/>
      <c r="H34" s="47"/>
      <c r="I34" s="48"/>
      <c r="J34" s="47"/>
      <c r="K34" s="49"/>
      <c r="L34" s="48"/>
      <c r="M34" s="49"/>
      <c r="O34" s="73"/>
      <c r="R34" s="73"/>
      <c r="S34" s="73"/>
      <c r="T34" s="73"/>
    </row>
    <row r="35" spans="1:20" x14ac:dyDescent="0.2">
      <c r="A35" s="85"/>
      <c r="B35" s="129"/>
      <c r="C35" s="46"/>
      <c r="D35" s="47"/>
      <c r="E35" s="47"/>
      <c r="F35" s="47"/>
      <c r="G35" s="47"/>
      <c r="H35" s="47"/>
      <c r="I35" s="48"/>
      <c r="J35" s="47"/>
      <c r="K35" s="49"/>
      <c r="L35" s="48"/>
      <c r="M35" s="49"/>
      <c r="O35" s="73"/>
      <c r="R35" s="73"/>
      <c r="S35" s="73"/>
      <c r="T35" s="73"/>
    </row>
    <row r="36" spans="1:20" x14ac:dyDescent="0.2">
      <c r="A36" s="125" t="s">
        <v>29</v>
      </c>
      <c r="B36" s="127" t="s">
        <v>81</v>
      </c>
      <c r="C36" s="50">
        <f t="shared" ref="C36:M36" si="2">SUM(C23:C35)</f>
        <v>39176</v>
      </c>
      <c r="D36" s="56">
        <f t="shared" si="2"/>
        <v>25116</v>
      </c>
      <c r="E36" s="57">
        <f>SUM(E23:E35)</f>
        <v>6560</v>
      </c>
      <c r="F36" s="57">
        <f t="shared" si="2"/>
        <v>14599</v>
      </c>
      <c r="G36" s="56">
        <f t="shared" si="2"/>
        <v>0</v>
      </c>
      <c r="H36" s="68">
        <f t="shared" si="2"/>
        <v>0</v>
      </c>
      <c r="I36" s="58">
        <f t="shared" si="2"/>
        <v>-7099</v>
      </c>
      <c r="J36" s="57">
        <f t="shared" si="2"/>
        <v>0</v>
      </c>
      <c r="K36" s="60">
        <f t="shared" si="2"/>
        <v>0</v>
      </c>
      <c r="L36" s="58">
        <f t="shared" si="2"/>
        <v>0</v>
      </c>
      <c r="M36" s="59">
        <f t="shared" si="2"/>
        <v>0</v>
      </c>
      <c r="N36" s="87"/>
      <c r="O36" s="73"/>
      <c r="R36" s="73"/>
      <c r="S36" s="73"/>
      <c r="T36" s="73"/>
    </row>
    <row r="37" spans="1:20" x14ac:dyDescent="0.2">
      <c r="A37" s="13"/>
      <c r="B37" s="14"/>
      <c r="C37" s="46"/>
      <c r="D37" s="47"/>
      <c r="E37" s="47"/>
      <c r="F37" s="47"/>
      <c r="G37" s="47"/>
      <c r="H37" s="47"/>
      <c r="I37" s="48"/>
      <c r="J37" s="47"/>
      <c r="K37" s="49"/>
      <c r="L37" s="48"/>
      <c r="M37" s="49"/>
      <c r="O37" s="73"/>
      <c r="R37" s="73"/>
      <c r="S37" s="73"/>
      <c r="T37" s="73"/>
    </row>
    <row r="38" spans="1:20" x14ac:dyDescent="0.2">
      <c r="A38" s="85" t="s">
        <v>64</v>
      </c>
      <c r="B38" s="100" t="s">
        <v>41</v>
      </c>
      <c r="C38" s="46">
        <f>SUM(D38:M38)</f>
        <v>2891</v>
      </c>
      <c r="D38" s="47">
        <f>971+258+172+100+237+7+65+530</f>
        <v>2340</v>
      </c>
      <c r="E38" s="47">
        <f>262+69+46+51+32-7+9+89</f>
        <v>551</v>
      </c>
      <c r="F38" s="47"/>
      <c r="G38" s="47"/>
      <c r="H38" s="47"/>
      <c r="I38" s="48"/>
      <c r="J38" s="47"/>
      <c r="K38" s="49"/>
      <c r="L38" s="48"/>
      <c r="M38" s="49"/>
      <c r="O38" s="73"/>
      <c r="R38" s="73"/>
      <c r="S38" s="73"/>
      <c r="T38" s="73"/>
    </row>
    <row r="39" spans="1:20" x14ac:dyDescent="0.2">
      <c r="A39" s="85" t="s">
        <v>65</v>
      </c>
      <c r="B39" s="100" t="s">
        <v>42</v>
      </c>
      <c r="C39" s="46">
        <f>SUM(D39:M39)</f>
        <v>4603</v>
      </c>
      <c r="D39" s="47">
        <f>1728+737+433+280+350</f>
        <v>3528</v>
      </c>
      <c r="E39" s="47">
        <f>466+199+117+143+149+1</f>
        <v>1075</v>
      </c>
      <c r="F39" s="47"/>
      <c r="G39" s="47"/>
      <c r="H39" s="47"/>
      <c r="I39" s="48"/>
      <c r="J39" s="47"/>
      <c r="K39" s="49"/>
      <c r="L39" s="48"/>
      <c r="M39" s="49"/>
      <c r="O39" s="73"/>
      <c r="R39" s="73"/>
      <c r="S39" s="173"/>
      <c r="T39" s="73"/>
    </row>
    <row r="40" spans="1:20" x14ac:dyDescent="0.2">
      <c r="A40" s="85" t="s">
        <v>66</v>
      </c>
      <c r="B40" s="100" t="s">
        <v>43</v>
      </c>
      <c r="C40" s="46">
        <f>SUM(D40:M40)</f>
        <v>4910</v>
      </c>
      <c r="D40" s="47">
        <f>1706+668+375+250+237+7+65+550</f>
        <v>3858</v>
      </c>
      <c r="E40" s="47">
        <f>461+180+101+128+32-7+9+148</f>
        <v>1052</v>
      </c>
      <c r="F40" s="47"/>
      <c r="G40" s="47"/>
      <c r="H40" s="47"/>
      <c r="I40" s="48"/>
      <c r="J40" s="47"/>
      <c r="K40" s="49"/>
      <c r="L40" s="48"/>
      <c r="M40" s="49"/>
      <c r="O40" s="73"/>
      <c r="R40" s="73"/>
      <c r="S40" s="73"/>
      <c r="T40" s="73"/>
    </row>
    <row r="41" spans="1:20" x14ac:dyDescent="0.2">
      <c r="A41" s="85" t="s">
        <v>67</v>
      </c>
      <c r="B41" s="100" t="s">
        <v>44</v>
      </c>
      <c r="C41" s="46">
        <f>SUM(D41:M41)</f>
        <v>3723</v>
      </c>
      <c r="D41" s="47">
        <f>1574+462+276+150+440</f>
        <v>2902</v>
      </c>
      <c r="E41" s="47">
        <f>425+125+75+77+119</f>
        <v>821</v>
      </c>
      <c r="F41" s="47"/>
      <c r="G41" s="47"/>
      <c r="H41" s="47"/>
      <c r="I41" s="48"/>
      <c r="J41" s="47"/>
      <c r="K41" s="49"/>
      <c r="L41" s="48"/>
      <c r="M41" s="49"/>
      <c r="O41" s="73"/>
      <c r="R41" s="173"/>
      <c r="S41" s="73"/>
      <c r="T41" s="73"/>
    </row>
    <row r="42" spans="1:20" x14ac:dyDescent="0.2">
      <c r="A42" s="85" t="s">
        <v>68</v>
      </c>
      <c r="B42" s="100" t="s">
        <v>93</v>
      </c>
      <c r="C42" s="46">
        <f>SUM(D42:M42)</f>
        <v>9204</v>
      </c>
      <c r="D42" s="47">
        <f>4570+910+913+290+79+430</f>
        <v>7192</v>
      </c>
      <c r="E42" s="47">
        <f>1234+246+247+148+21+116</f>
        <v>2012</v>
      </c>
      <c r="F42" s="47"/>
      <c r="G42" s="47"/>
      <c r="H42" s="47"/>
      <c r="I42" s="48"/>
      <c r="J42" s="47"/>
      <c r="K42" s="49"/>
      <c r="L42" s="48"/>
      <c r="M42" s="49"/>
      <c r="O42" s="73"/>
      <c r="R42" s="73"/>
      <c r="S42" s="73"/>
      <c r="T42" s="73"/>
    </row>
    <row r="43" spans="1:20" x14ac:dyDescent="0.2">
      <c r="A43" s="85"/>
      <c r="B43" s="14"/>
      <c r="C43" s="46"/>
      <c r="D43" s="47"/>
      <c r="E43" s="47"/>
      <c r="F43" s="47"/>
      <c r="G43" s="47"/>
      <c r="H43" s="47"/>
      <c r="I43" s="48"/>
      <c r="J43" s="47"/>
      <c r="K43" s="49"/>
      <c r="L43" s="48"/>
      <c r="M43" s="49"/>
      <c r="O43" s="73"/>
      <c r="R43" s="73"/>
      <c r="S43" s="73"/>
      <c r="T43" s="73"/>
    </row>
    <row r="44" spans="1:20" x14ac:dyDescent="0.2">
      <c r="A44" s="125" t="s">
        <v>31</v>
      </c>
      <c r="B44" s="95" t="s">
        <v>82</v>
      </c>
      <c r="C44" s="50">
        <f t="shared" ref="C44:M44" si="3">SUM(C38:C43)</f>
        <v>25331</v>
      </c>
      <c r="D44" s="56">
        <f t="shared" si="3"/>
        <v>19820</v>
      </c>
      <c r="E44" s="57">
        <f t="shared" si="3"/>
        <v>5511</v>
      </c>
      <c r="F44" s="56">
        <f t="shared" si="3"/>
        <v>0</v>
      </c>
      <c r="G44" s="57">
        <f t="shared" si="3"/>
        <v>0</v>
      </c>
      <c r="H44" s="68">
        <f t="shared" si="3"/>
        <v>0</v>
      </c>
      <c r="I44" s="58">
        <f t="shared" si="3"/>
        <v>0</v>
      </c>
      <c r="J44" s="57">
        <f t="shared" si="3"/>
        <v>0</v>
      </c>
      <c r="K44" s="59">
        <f t="shared" si="3"/>
        <v>0</v>
      </c>
      <c r="L44" s="58">
        <f t="shared" si="3"/>
        <v>0</v>
      </c>
      <c r="M44" s="59">
        <f t="shared" si="3"/>
        <v>0</v>
      </c>
      <c r="O44" s="73"/>
      <c r="R44" s="73"/>
      <c r="S44" s="73"/>
      <c r="T44" s="73"/>
    </row>
    <row r="45" spans="1:20" x14ac:dyDescent="0.2">
      <c r="A45" s="98"/>
      <c r="B45" s="96"/>
      <c r="C45" s="61"/>
      <c r="D45" s="62"/>
      <c r="E45" s="62"/>
      <c r="F45" s="62"/>
      <c r="G45" s="62"/>
      <c r="H45" s="62"/>
      <c r="I45" s="63"/>
      <c r="J45" s="62"/>
      <c r="K45" s="64"/>
      <c r="L45" s="63"/>
      <c r="M45" s="64"/>
      <c r="O45" s="73"/>
      <c r="R45" s="73"/>
      <c r="S45" s="73"/>
      <c r="T45" s="73"/>
    </row>
    <row r="46" spans="1:20" x14ac:dyDescent="0.2">
      <c r="A46" s="42" t="s">
        <v>33</v>
      </c>
      <c r="B46" s="103" t="s">
        <v>45</v>
      </c>
      <c r="C46" s="65">
        <f>SUM(D46:M46)</f>
        <v>63773</v>
      </c>
      <c r="D46" s="66">
        <f>1753+1587+33+507+4939</f>
        <v>8819</v>
      </c>
      <c r="E46" s="67">
        <f>473+214-33+68+1334</f>
        <v>2056</v>
      </c>
      <c r="F46" s="67">
        <f>4600+12335</f>
        <v>16935</v>
      </c>
      <c r="G46" s="67"/>
      <c r="H46" s="67"/>
      <c r="I46" s="88">
        <f>7950+4360+7400+7643+3610</f>
        <v>30963</v>
      </c>
      <c r="J46" s="67">
        <v>5000</v>
      </c>
      <c r="K46" s="59"/>
      <c r="L46" s="58"/>
      <c r="M46" s="59"/>
      <c r="O46" s="73"/>
      <c r="R46" s="173"/>
      <c r="S46" s="173"/>
      <c r="T46" s="73"/>
    </row>
    <row r="47" spans="1:20" ht="13.5" thickBot="1" x14ac:dyDescent="0.25">
      <c r="A47" s="13"/>
      <c r="B47" s="104"/>
      <c r="C47" s="46"/>
      <c r="D47" s="47"/>
      <c r="E47" s="47"/>
      <c r="F47" s="47"/>
      <c r="G47" s="47"/>
      <c r="H47" s="47"/>
      <c r="I47" s="48"/>
      <c r="J47" s="47"/>
      <c r="K47" s="49"/>
      <c r="L47" s="48"/>
      <c r="M47" s="49"/>
      <c r="O47" s="73"/>
      <c r="R47" s="73"/>
      <c r="S47" s="73"/>
      <c r="T47" s="73"/>
    </row>
    <row r="48" spans="1:20" ht="22.5" thickBot="1" x14ac:dyDescent="0.25">
      <c r="A48" s="139" t="s">
        <v>75</v>
      </c>
      <c r="B48" s="130" t="s">
        <v>79</v>
      </c>
      <c r="C48" s="80">
        <f>C21+C36+C44+C46</f>
        <v>151927</v>
      </c>
      <c r="D48" s="81">
        <f>D21+D36+D44+D46</f>
        <v>72137</v>
      </c>
      <c r="E48" s="111">
        <f>E21+E36+E44+E46</f>
        <v>19092</v>
      </c>
      <c r="F48" s="111">
        <f t="shared" ref="F48:M48" si="4">F21+F36+F44+F46</f>
        <v>31834</v>
      </c>
      <c r="G48" s="111">
        <f t="shared" si="4"/>
        <v>0</v>
      </c>
      <c r="H48" s="111">
        <f t="shared" si="4"/>
        <v>0</v>
      </c>
      <c r="I48" s="82">
        <f t="shared" si="4"/>
        <v>23864</v>
      </c>
      <c r="J48" s="111">
        <f t="shared" si="4"/>
        <v>5000</v>
      </c>
      <c r="K48" s="83">
        <f t="shared" si="4"/>
        <v>0</v>
      </c>
      <c r="L48" s="82">
        <f t="shared" si="4"/>
        <v>0</v>
      </c>
      <c r="M48" s="83">
        <f t="shared" si="4"/>
        <v>0</v>
      </c>
      <c r="O48" s="73"/>
      <c r="R48" s="73"/>
      <c r="S48" s="73"/>
      <c r="T48" s="73"/>
    </row>
    <row r="49" spans="1:20" x14ac:dyDescent="0.2">
      <c r="A49" s="33"/>
      <c r="B49" s="113"/>
      <c r="C49" s="134"/>
      <c r="D49" s="167"/>
      <c r="E49" s="167"/>
      <c r="F49" s="167"/>
      <c r="G49" s="167"/>
      <c r="H49" s="167"/>
      <c r="I49" s="168"/>
      <c r="J49" s="167"/>
      <c r="K49" s="169"/>
      <c r="L49" s="168"/>
      <c r="M49" s="169"/>
      <c r="O49" s="73"/>
      <c r="R49" s="73"/>
      <c r="S49" s="73"/>
      <c r="T49" s="73"/>
    </row>
    <row r="50" spans="1:20" x14ac:dyDescent="0.2">
      <c r="A50" s="126" t="s">
        <v>76</v>
      </c>
      <c r="B50" s="131" t="s">
        <v>77</v>
      </c>
      <c r="C50" s="65">
        <f>SUM(D50:M50)</f>
        <v>32518</v>
      </c>
      <c r="D50" s="170">
        <f>2252+200+5049</f>
        <v>7501</v>
      </c>
      <c r="E50" s="171">
        <f>608+54+1363</f>
        <v>2025</v>
      </c>
      <c r="F50" s="172">
        <f>410+625</f>
        <v>1035</v>
      </c>
      <c r="G50" s="171"/>
      <c r="H50" s="154"/>
      <c r="I50" s="155">
        <f>12583+459</f>
        <v>13042</v>
      </c>
      <c r="J50" s="136">
        <v>8915</v>
      </c>
      <c r="K50" s="154"/>
      <c r="L50" s="155"/>
      <c r="M50" s="154"/>
      <c r="O50" s="73"/>
      <c r="R50" s="73"/>
      <c r="S50" s="73"/>
      <c r="T50" s="73"/>
    </row>
    <row r="51" spans="1:20" ht="13.5" thickBot="1" x14ac:dyDescent="0.25">
      <c r="A51" s="30"/>
      <c r="B51" s="132"/>
      <c r="C51" s="46"/>
      <c r="D51" s="47"/>
      <c r="E51" s="47"/>
      <c r="F51" s="47"/>
      <c r="G51" s="47"/>
      <c r="H51" s="47"/>
      <c r="I51" s="48"/>
      <c r="J51" s="47"/>
      <c r="K51" s="49"/>
      <c r="L51" s="48"/>
      <c r="M51" s="49"/>
      <c r="O51" s="73"/>
      <c r="R51" s="73"/>
      <c r="S51" s="73"/>
      <c r="T51" s="73"/>
    </row>
    <row r="52" spans="1:20" ht="13.5" thickBot="1" x14ac:dyDescent="0.25">
      <c r="A52" s="122" t="s">
        <v>78</v>
      </c>
      <c r="B52" s="133" t="s">
        <v>84</v>
      </c>
      <c r="C52" s="158">
        <f>C48+C50</f>
        <v>184445</v>
      </c>
      <c r="D52" s="159">
        <f>D48+D50</f>
        <v>79638</v>
      </c>
      <c r="E52" s="160">
        <f>E48+E50</f>
        <v>21117</v>
      </c>
      <c r="F52" s="160">
        <f t="shared" ref="F52:H52" si="5">F48+F50</f>
        <v>32869</v>
      </c>
      <c r="G52" s="160">
        <f t="shared" si="5"/>
        <v>0</v>
      </c>
      <c r="H52" s="160">
        <f t="shared" si="5"/>
        <v>0</v>
      </c>
      <c r="I52" s="161">
        <f>I48+I50</f>
        <v>36906</v>
      </c>
      <c r="J52" s="160">
        <f t="shared" ref="J52:K52" si="6">J48+J50</f>
        <v>13915</v>
      </c>
      <c r="K52" s="162">
        <f t="shared" si="6"/>
        <v>0</v>
      </c>
      <c r="L52" s="161">
        <f>L48+L50</f>
        <v>0</v>
      </c>
      <c r="M52" s="162">
        <f>M48+M50</f>
        <v>0</v>
      </c>
      <c r="O52" s="73"/>
      <c r="R52" s="73"/>
      <c r="S52" s="73"/>
      <c r="T52" s="73"/>
    </row>
    <row r="53" spans="1:20" x14ac:dyDescent="0.2">
      <c r="A53" s="70"/>
      <c r="B53" s="47"/>
      <c r="C53" s="69"/>
      <c r="D53" s="4"/>
      <c r="E53" s="4"/>
      <c r="F53" s="72"/>
      <c r="G53" s="4"/>
      <c r="H53" s="4"/>
      <c r="I53" s="4"/>
      <c r="J53" s="4"/>
      <c r="K53" s="4"/>
      <c r="L53" s="4"/>
      <c r="M53" s="4"/>
      <c r="O53" s="73"/>
      <c r="R53" s="73"/>
      <c r="S53" s="73"/>
      <c r="T53" s="73"/>
    </row>
    <row r="54" spans="1:20" x14ac:dyDescent="0.2">
      <c r="A54" s="70"/>
      <c r="B54" s="47"/>
      <c r="C54" s="71"/>
      <c r="D54" s="4"/>
      <c r="E54" s="4"/>
      <c r="F54" s="4"/>
      <c r="G54" s="4"/>
      <c r="H54" s="4"/>
      <c r="I54" s="4"/>
      <c r="J54" s="4"/>
      <c r="K54" s="4"/>
      <c r="L54" s="4"/>
      <c r="M54" s="4"/>
      <c r="O54" s="73"/>
      <c r="R54" s="73"/>
      <c r="S54" s="73"/>
      <c r="T54" s="73"/>
    </row>
    <row r="55" spans="1:20" x14ac:dyDescent="0.2">
      <c r="B55" s="73"/>
      <c r="C55" s="69"/>
      <c r="D55" s="4"/>
      <c r="E55" s="4"/>
      <c r="F55" s="72"/>
      <c r="G55" s="72"/>
      <c r="H55" s="4"/>
      <c r="I55" s="4"/>
      <c r="J55" s="4"/>
      <c r="K55" s="72"/>
      <c r="L55" s="4"/>
      <c r="M55" s="4"/>
      <c r="O55" s="73"/>
    </row>
    <row r="56" spans="1:20" x14ac:dyDescent="0.2">
      <c r="B56" s="73"/>
      <c r="C56" s="69"/>
      <c r="D56" s="4"/>
      <c r="E56" s="4"/>
      <c r="F56" s="72"/>
      <c r="G56" s="4"/>
      <c r="H56" s="72"/>
      <c r="I56" s="4"/>
      <c r="J56" s="4"/>
      <c r="K56" s="4"/>
      <c r="L56" s="4"/>
      <c r="M56" s="4"/>
      <c r="O56" s="73"/>
      <c r="S56" s="73"/>
    </row>
    <row r="57" spans="1:20" x14ac:dyDescent="0.2">
      <c r="B57" s="73"/>
      <c r="C57" s="69"/>
      <c r="D57" s="4"/>
      <c r="E57" s="4"/>
      <c r="F57" s="4"/>
      <c r="G57" s="4"/>
      <c r="H57" s="4"/>
      <c r="I57" s="4"/>
      <c r="J57" s="4"/>
      <c r="K57" s="4"/>
      <c r="L57" s="4"/>
      <c r="M57" s="4"/>
      <c r="O57" s="73"/>
    </row>
    <row r="58" spans="1:20" x14ac:dyDescent="0.2">
      <c r="B58" s="73"/>
      <c r="C58" s="71"/>
      <c r="D58" s="4"/>
      <c r="E58" s="4"/>
      <c r="F58" s="4"/>
      <c r="G58" s="4"/>
      <c r="H58" s="4"/>
      <c r="I58" s="4"/>
      <c r="J58" s="4"/>
      <c r="K58" s="4"/>
      <c r="L58" s="4"/>
      <c r="M58" s="4"/>
      <c r="O58" s="73"/>
    </row>
    <row r="59" spans="1:20" x14ac:dyDescent="0.2">
      <c r="B59" s="73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2"/>
      <c r="O59" s="73"/>
    </row>
    <row r="60" spans="1:20" x14ac:dyDescent="0.2">
      <c r="B60" s="73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2"/>
      <c r="O60" s="73"/>
    </row>
    <row r="61" spans="1:20" x14ac:dyDescent="0.2">
      <c r="B61" s="73"/>
      <c r="C61" s="69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2"/>
      <c r="O61" s="73"/>
    </row>
    <row r="62" spans="1:20" x14ac:dyDescent="0.2">
      <c r="B62" s="73"/>
      <c r="C62" s="71"/>
      <c r="D62" s="71"/>
      <c r="E62" s="71"/>
      <c r="F62" s="143"/>
      <c r="G62" s="71"/>
      <c r="H62" s="71"/>
      <c r="I62" s="71"/>
      <c r="J62" s="71"/>
      <c r="K62" s="71"/>
      <c r="L62" s="71"/>
      <c r="M62" s="71"/>
      <c r="N62" s="2"/>
      <c r="O62" s="73"/>
    </row>
    <row r="63" spans="1:20" x14ac:dyDescent="0.2">
      <c r="B63" s="73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2"/>
      <c r="O63" s="73"/>
    </row>
    <row r="64" spans="1:20" x14ac:dyDescent="0.2">
      <c r="B64" s="73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2"/>
      <c r="O64" s="73"/>
    </row>
    <row r="65" spans="2:15" x14ac:dyDescent="0.2">
      <c r="B65" s="73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2"/>
      <c r="O65" s="73"/>
    </row>
    <row r="66" spans="2:15" x14ac:dyDescent="0.2">
      <c r="B66" s="73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2"/>
      <c r="O66" s="73"/>
    </row>
    <row r="67" spans="2:15" x14ac:dyDescent="0.2">
      <c r="B67" s="73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2"/>
      <c r="O67" s="73"/>
    </row>
    <row r="68" spans="2:15" x14ac:dyDescent="0.2">
      <c r="B68" s="73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2"/>
      <c r="O68" s="73"/>
    </row>
    <row r="69" spans="2:15" x14ac:dyDescent="0.2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2"/>
      <c r="O69" s="2"/>
    </row>
    <row r="70" spans="2:15" x14ac:dyDescent="0.2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2"/>
      <c r="O70" s="2"/>
    </row>
    <row r="71" spans="2:15" x14ac:dyDescent="0.2"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2"/>
      <c r="O71" s="2"/>
    </row>
    <row r="72" spans="2:15" x14ac:dyDescent="0.2">
      <c r="B72" s="73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2"/>
      <c r="O72" s="2"/>
    </row>
    <row r="73" spans="2:15" x14ac:dyDescent="0.2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2"/>
      <c r="O73" s="2"/>
    </row>
    <row r="74" spans="2:15" x14ac:dyDescent="0.2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2"/>
      <c r="O74" s="2"/>
    </row>
    <row r="75" spans="2:15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"/>
      <c r="O75" s="2"/>
    </row>
    <row r="76" spans="2:15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2"/>
      <c r="O76" s="2"/>
    </row>
    <row r="77" spans="2:15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2"/>
      <c r="O77" s="2"/>
    </row>
    <row r="78" spans="2:15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2"/>
      <c r="O78" s="2"/>
    </row>
    <row r="79" spans="2:15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2"/>
      <c r="O79" s="2"/>
    </row>
    <row r="80" spans="2:15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2"/>
      <c r="O80" s="2"/>
    </row>
    <row r="81" spans="3:15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2"/>
      <c r="O81" s="2"/>
    </row>
    <row r="82" spans="3:15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2"/>
    </row>
    <row r="83" spans="3:15" x14ac:dyDescent="0.2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2"/>
    </row>
    <row r="84" spans="3:15" x14ac:dyDescent="0.2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2"/>
    </row>
    <row r="85" spans="3:15" x14ac:dyDescent="0.2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2"/>
    </row>
    <row r="86" spans="3:15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2"/>
      <c r="O86" s="2"/>
    </row>
    <row r="87" spans="3:15" x14ac:dyDescent="0.2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2"/>
      <c r="O87" s="2"/>
    </row>
    <row r="88" spans="3:15" x14ac:dyDescent="0.2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2"/>
      <c r="O88" s="2"/>
    </row>
    <row r="89" spans="3:15" x14ac:dyDescent="0.2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2"/>
      <c r="O89" s="2"/>
    </row>
    <row r="90" spans="3:15" x14ac:dyDescent="0.2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2"/>
      <c r="O90" s="2"/>
    </row>
    <row r="91" spans="3:15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2"/>
      <c r="O91" s="2"/>
    </row>
    <row r="92" spans="3:15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2"/>
      <c r="O92" s="2"/>
    </row>
    <row r="93" spans="3:15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2"/>
      <c r="O93" s="2"/>
    </row>
    <row r="94" spans="3:15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2"/>
      <c r="O94" s="2"/>
    </row>
    <row r="95" spans="3:15" x14ac:dyDescent="0.2"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6.sz.melléklet</vt:lpstr>
      <vt:lpstr>'5.sz. melléklet'!Nyomtatási_terület</vt:lpstr>
      <vt:lpstr>'6.sz.melléklet'!Nyomtatási_terület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2015-04-29T11:22:35Z</cp:lastPrinted>
  <dcterms:created xsi:type="dcterms:W3CDTF">2013-05-29T08:17:59Z</dcterms:created>
  <dcterms:modified xsi:type="dcterms:W3CDTF">2015-11-14T13:26:01Z</dcterms:modified>
</cp:coreProperties>
</file>