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\HUPENZU\2014\Rendelet módosítások\Ötödik módosítás\Leadott\"/>
    </mc:Choice>
  </mc:AlternateContent>
  <bookViews>
    <workbookView xWindow="0" yWindow="120" windowWidth="15195" windowHeight="8190" tabRatio="668"/>
  </bookViews>
  <sheets>
    <sheet name="1.sz.melléklet" sheetId="1" r:id="rId1"/>
    <sheet name="2.sz.melléklet" sheetId="2" r:id="rId2"/>
    <sheet name="3.sz.melléklet" sheetId="3" r:id="rId3"/>
    <sheet name="PH kiad 4.sz.melléklet" sheetId="4" r:id="rId4"/>
  </sheets>
  <definedNames>
    <definedName name="Excel_BuiltIn__FilterDatabase_2">'2.sz.melléklet'!$A$15:$AP$85</definedName>
    <definedName name="Excel_BuiltIn__FilterDatabase_3">#REF!</definedName>
    <definedName name="Excel_BuiltIn__FilterDatabase_3_3">'1.sz.melléklet'!$C$7:$W$17</definedName>
    <definedName name="_xlnm.Print_Titles" localSheetId="0">'1.sz.melléklet'!$7:$13</definedName>
    <definedName name="_xlnm.Print_Titles" localSheetId="1">'2.sz.melléklet'!$7:$14</definedName>
    <definedName name="_xlnm.Print_Titles" localSheetId="2">'3.sz.melléklet'!$7:$13</definedName>
    <definedName name="_xlnm.Print_Titles" localSheetId="3">'PH kiad 4.sz.melléklet'!$7:$14</definedName>
    <definedName name="_xlnm.Print_Area" localSheetId="0">'1.sz.melléklet'!$A$1:$W$172</definedName>
    <definedName name="_xlnm.Print_Area" localSheetId="1">'2.sz.melléklet'!$A$1:$Z$444</definedName>
    <definedName name="_xlnm.Print_Area" localSheetId="2">'3.sz.melléklet'!$A$1:$X$186</definedName>
    <definedName name="_xlnm.Print_Area" localSheetId="3">'PH kiad 4.sz.melléklet'!$A$1:$Y$233</definedName>
  </definedNames>
  <calcPr calcId="152511" fullCalcOnLoad="1"/>
</workbook>
</file>

<file path=xl/calcChain.xml><?xml version="1.0" encoding="utf-8"?>
<calcChain xmlns="http://schemas.openxmlformats.org/spreadsheetml/2006/main">
  <c r="L436" i="2" l="1"/>
  <c r="F436" i="2"/>
  <c r="M436" i="2"/>
  <c r="M443" i="2" s="1"/>
  <c r="I435" i="2"/>
  <c r="K435" i="2"/>
  <c r="R435" i="2" s="1"/>
  <c r="F434" i="2"/>
  <c r="H169" i="1"/>
  <c r="H168" i="1"/>
  <c r="F433" i="2"/>
  <c r="K433" i="2"/>
  <c r="E175" i="4"/>
  <c r="E177" i="4" s="1"/>
  <c r="D175" i="4"/>
  <c r="U134" i="3"/>
  <c r="H134" i="3"/>
  <c r="H137" i="3" s="1"/>
  <c r="H140" i="3" s="1"/>
  <c r="G134" i="3"/>
  <c r="H127" i="3"/>
  <c r="Z432" i="2"/>
  <c r="K432" i="2"/>
  <c r="R432" i="2" s="1"/>
  <c r="F163" i="4"/>
  <c r="E163" i="4"/>
  <c r="D163" i="4"/>
  <c r="X126" i="3"/>
  <c r="Z431" i="2"/>
  <c r="K431" i="2"/>
  <c r="V430" i="2"/>
  <c r="X430" i="2"/>
  <c r="Y430" i="2" s="1"/>
  <c r="S167" i="1"/>
  <c r="F429" i="2"/>
  <c r="F166" i="1"/>
  <c r="O166" i="1"/>
  <c r="D156" i="1"/>
  <c r="O156" i="1" s="1"/>
  <c r="W156" i="1" s="1"/>
  <c r="K402" i="2"/>
  <c r="H165" i="1"/>
  <c r="K428" i="2"/>
  <c r="F428" i="2"/>
  <c r="G427" i="2"/>
  <c r="F427" i="2"/>
  <c r="R427" i="2" s="1"/>
  <c r="N426" i="2"/>
  <c r="N443" i="2"/>
  <c r="F426" i="2"/>
  <c r="R426" i="2" s="1"/>
  <c r="Y426" i="2" s="1"/>
  <c r="F425" i="2"/>
  <c r="E425" i="2"/>
  <c r="D425" i="2"/>
  <c r="R425" i="2"/>
  <c r="Y425" i="2" s="1"/>
  <c r="Z424" i="2"/>
  <c r="F419" i="2"/>
  <c r="X125" i="3"/>
  <c r="H163" i="1"/>
  <c r="F164" i="1"/>
  <c r="D164" i="1"/>
  <c r="O164" i="1" s="1"/>
  <c r="L174" i="4"/>
  <c r="F174" i="4"/>
  <c r="R174" i="4" s="1"/>
  <c r="G162" i="4"/>
  <c r="K424" i="2"/>
  <c r="L423" i="2"/>
  <c r="F423" i="2"/>
  <c r="R423" i="2" s="1"/>
  <c r="Y423" i="2" s="1"/>
  <c r="J422" i="2"/>
  <c r="F422" i="2"/>
  <c r="E422" i="2"/>
  <c r="D422" i="2"/>
  <c r="R422" i="2" s="1"/>
  <c r="Y422" i="2" s="1"/>
  <c r="L422" i="2"/>
  <c r="F421" i="2"/>
  <c r="D421" i="2"/>
  <c r="R421" i="2" s="1"/>
  <c r="M173" i="4"/>
  <c r="L173" i="4"/>
  <c r="F172" i="4"/>
  <c r="R172" i="4" s="1"/>
  <c r="Y172" i="4" s="1"/>
  <c r="D172" i="4"/>
  <c r="X172" i="4"/>
  <c r="X173" i="4"/>
  <c r="X174" i="4"/>
  <c r="X175" i="4"/>
  <c r="R173" i="4"/>
  <c r="Y173" i="4"/>
  <c r="G420" i="2"/>
  <c r="E420" i="2"/>
  <c r="D420" i="2"/>
  <c r="R420" i="2" s="1"/>
  <c r="Y420" i="2" s="1"/>
  <c r="D171" i="4"/>
  <c r="F171" i="4"/>
  <c r="F177" i="4" s="1"/>
  <c r="F180" i="4" s="1"/>
  <c r="H418" i="2"/>
  <c r="H443" i="2" s="1"/>
  <c r="F418" i="2"/>
  <c r="O135" i="3"/>
  <c r="W135" i="3" s="1"/>
  <c r="O133" i="3"/>
  <c r="D162" i="1"/>
  <c r="O162" i="1" s="1"/>
  <c r="E170" i="4"/>
  <c r="D170" i="4"/>
  <c r="D177" i="4" s="1"/>
  <c r="R177" i="4" s="1"/>
  <c r="J417" i="2"/>
  <c r="R417" i="2"/>
  <c r="Y417" i="2" s="1"/>
  <c r="K417" i="2"/>
  <c r="Q416" i="2"/>
  <c r="K416" i="2"/>
  <c r="R416" i="2" s="1"/>
  <c r="Z414" i="2"/>
  <c r="Z411" i="2"/>
  <c r="E161" i="4"/>
  <c r="E167" i="4" s="1"/>
  <c r="D161" i="4"/>
  <c r="X124" i="3"/>
  <c r="Z415" i="2"/>
  <c r="U158" i="1"/>
  <c r="O158" i="1"/>
  <c r="W158" i="1" s="1"/>
  <c r="K158" i="1"/>
  <c r="K171" i="1" s="1"/>
  <c r="X410" i="2"/>
  <c r="R410" i="2"/>
  <c r="Y410" i="2" s="1"/>
  <c r="L410" i="2"/>
  <c r="H414" i="2"/>
  <c r="D160" i="1"/>
  <c r="O160" i="1" s="1"/>
  <c r="Z413" i="2"/>
  <c r="K413" i="2"/>
  <c r="Z412" i="2"/>
  <c r="F412" i="2"/>
  <c r="R412" i="2" s="1"/>
  <c r="D159" i="1"/>
  <c r="D171" i="1" s="1"/>
  <c r="F157" i="1"/>
  <c r="K409" i="2"/>
  <c r="Q408" i="2"/>
  <c r="K408" i="2"/>
  <c r="K407" i="2"/>
  <c r="F407" i="2"/>
  <c r="K406" i="2"/>
  <c r="J406" i="2"/>
  <c r="R406" i="2" s="1"/>
  <c r="J405" i="2"/>
  <c r="G405" i="2"/>
  <c r="R405" i="2"/>
  <c r="K404" i="2"/>
  <c r="R404" i="2" s="1"/>
  <c r="J404" i="2"/>
  <c r="M403" i="2"/>
  <c r="F403" i="2"/>
  <c r="R402" i="2"/>
  <c r="F401" i="2"/>
  <c r="R401" i="2" s="1"/>
  <c r="H155" i="1"/>
  <c r="K400" i="2"/>
  <c r="J400" i="2"/>
  <c r="R400" i="2" s="1"/>
  <c r="Y400" i="2" s="1"/>
  <c r="L399" i="2"/>
  <c r="F399" i="2"/>
  <c r="R399" i="2" s="1"/>
  <c r="L169" i="4"/>
  <c r="R169" i="4"/>
  <c r="Y169" i="4" s="1"/>
  <c r="F169" i="4"/>
  <c r="Q396" i="2"/>
  <c r="K396" i="2"/>
  <c r="L398" i="2"/>
  <c r="F398" i="2"/>
  <c r="L397" i="2"/>
  <c r="F397" i="2"/>
  <c r="Q395" i="2"/>
  <c r="R395" i="2" s="1"/>
  <c r="K395" i="2"/>
  <c r="Q394" i="2"/>
  <c r="K394" i="2"/>
  <c r="X391" i="2"/>
  <c r="L391" i="2"/>
  <c r="K391" i="2"/>
  <c r="L390" i="2"/>
  <c r="F390" i="2"/>
  <c r="R390" i="2"/>
  <c r="Y390" i="2" s="1"/>
  <c r="X389" i="2"/>
  <c r="X390" i="2"/>
  <c r="K389" i="2"/>
  <c r="J389" i="2"/>
  <c r="L388" i="2"/>
  <c r="F388" i="2"/>
  <c r="L387" i="2"/>
  <c r="F387" i="2"/>
  <c r="R387" i="2" s="1"/>
  <c r="Y387" i="2" s="1"/>
  <c r="X387" i="2"/>
  <c r="X388" i="2"/>
  <c r="Z393" i="2"/>
  <c r="X393" i="2"/>
  <c r="F393" i="2"/>
  <c r="E393" i="2"/>
  <c r="E443" i="2" s="1"/>
  <c r="D393" i="2"/>
  <c r="Z392" i="2"/>
  <c r="X392" i="2"/>
  <c r="K392" i="2"/>
  <c r="W443" i="2"/>
  <c r="U443" i="2"/>
  <c r="T443" i="2"/>
  <c r="P443" i="2"/>
  <c r="O443" i="2"/>
  <c r="I443" i="2"/>
  <c r="X441" i="2"/>
  <c r="R441" i="2"/>
  <c r="Y441" i="2" s="1"/>
  <c r="X440" i="2"/>
  <c r="R440" i="2"/>
  <c r="Y440" i="2" s="1"/>
  <c r="X439" i="2"/>
  <c r="R439" i="2"/>
  <c r="Y439" i="2" s="1"/>
  <c r="X438" i="2"/>
  <c r="R438" i="2"/>
  <c r="Y438" i="2" s="1"/>
  <c r="X437" i="2"/>
  <c r="R437" i="2"/>
  <c r="X436" i="2"/>
  <c r="X435" i="2"/>
  <c r="Y435" i="2" s="1"/>
  <c r="X434" i="2"/>
  <c r="Y434" i="2" s="1"/>
  <c r="R434" i="2"/>
  <c r="X433" i="2"/>
  <c r="R433" i="2"/>
  <c r="Y433" i="2" s="1"/>
  <c r="X432" i="2"/>
  <c r="X431" i="2"/>
  <c r="R430" i="2"/>
  <c r="X429" i="2"/>
  <c r="Y429" i="2" s="1"/>
  <c r="R429" i="2"/>
  <c r="X428" i="2"/>
  <c r="R428" i="2"/>
  <c r="Y428" i="2" s="1"/>
  <c r="X427" i="2"/>
  <c r="X426" i="2"/>
  <c r="X425" i="2"/>
  <c r="X424" i="2"/>
  <c r="R424" i="2"/>
  <c r="Y424" i="2" s="1"/>
  <c r="X423" i="2"/>
  <c r="X422" i="2"/>
  <c r="X421" i="2"/>
  <c r="Y421" i="2"/>
  <c r="X420" i="2"/>
  <c r="X419" i="2"/>
  <c r="R419" i="2"/>
  <c r="Y419" i="2" s="1"/>
  <c r="X418" i="2"/>
  <c r="X417" i="2"/>
  <c r="X416" i="2"/>
  <c r="X415" i="2"/>
  <c r="R415" i="2"/>
  <c r="Y415" i="2" s="1"/>
  <c r="X414" i="2"/>
  <c r="R414" i="2"/>
  <c r="X413" i="2"/>
  <c r="R413" i="2"/>
  <c r="X412" i="2"/>
  <c r="Y412" i="2" s="1"/>
  <c r="X411" i="2"/>
  <c r="R411" i="2"/>
  <c r="Y411" i="2" s="1"/>
  <c r="X409" i="2"/>
  <c r="R409" i="2"/>
  <c r="X408" i="2"/>
  <c r="X407" i="2"/>
  <c r="R407" i="2"/>
  <c r="X406" i="2"/>
  <c r="Y406" i="2"/>
  <c r="X405" i="2"/>
  <c r="X404" i="2"/>
  <c r="Y404" i="2"/>
  <c r="X403" i="2"/>
  <c r="X402" i="2"/>
  <c r="Y402" i="2"/>
  <c r="X401" i="2"/>
  <c r="Y401" i="2"/>
  <c r="X400" i="2"/>
  <c r="X399" i="2"/>
  <c r="Y399" i="2"/>
  <c r="X398" i="2"/>
  <c r="X397" i="2"/>
  <c r="X396" i="2"/>
  <c r="R396" i="2"/>
  <c r="Y396" i="2" s="1"/>
  <c r="X395" i="2"/>
  <c r="Y395" i="2"/>
  <c r="X394" i="2"/>
  <c r="U168" i="1"/>
  <c r="U169" i="1"/>
  <c r="U157" i="1"/>
  <c r="U159" i="1"/>
  <c r="U160" i="1"/>
  <c r="U161" i="1"/>
  <c r="U162" i="1"/>
  <c r="U163" i="1"/>
  <c r="U164" i="1"/>
  <c r="U165" i="1"/>
  <c r="W165" i="1" s="1"/>
  <c r="U166" i="1"/>
  <c r="U156" i="1"/>
  <c r="U155" i="1"/>
  <c r="T171" i="1"/>
  <c r="R171" i="1"/>
  <c r="Q171" i="1"/>
  <c r="N171" i="1"/>
  <c r="M171" i="1"/>
  <c r="L171" i="1"/>
  <c r="J171" i="1"/>
  <c r="I171" i="1"/>
  <c r="G171" i="1"/>
  <c r="E171" i="1"/>
  <c r="O168" i="1"/>
  <c r="W168" i="1"/>
  <c r="O167" i="1"/>
  <c r="O165" i="1"/>
  <c r="O163" i="1"/>
  <c r="W163" i="1" s="1"/>
  <c r="O161" i="1"/>
  <c r="W161" i="1"/>
  <c r="O157" i="1"/>
  <c r="O155" i="1"/>
  <c r="X331" i="2"/>
  <c r="L331" i="2"/>
  <c r="R331" i="2" s="1"/>
  <c r="Y331" i="2" s="1"/>
  <c r="F331" i="2"/>
  <c r="Z332" i="2"/>
  <c r="F332" i="2"/>
  <c r="R332" i="2" s="1"/>
  <c r="X328" i="2"/>
  <c r="Z328" i="2"/>
  <c r="F328" i="2"/>
  <c r="R328" i="2" s="1"/>
  <c r="Y328" i="2" s="1"/>
  <c r="R327" i="2"/>
  <c r="Y327" i="2" s="1"/>
  <c r="X327" i="2"/>
  <c r="Z327" i="2"/>
  <c r="U124" i="1"/>
  <c r="O124" i="1"/>
  <c r="R326" i="2"/>
  <c r="X326" i="2"/>
  <c r="Z326" i="2"/>
  <c r="U125" i="1"/>
  <c r="D125" i="1"/>
  <c r="D152" i="1" s="1"/>
  <c r="J330" i="2"/>
  <c r="K330" i="2"/>
  <c r="X103" i="3"/>
  <c r="X110" i="3" s="1"/>
  <c r="X120" i="3"/>
  <c r="E138" i="4"/>
  <c r="R138" i="4" s="1"/>
  <c r="Y138" i="4" s="1"/>
  <c r="Z329" i="2"/>
  <c r="Q325" i="2"/>
  <c r="J325" i="2"/>
  <c r="J324" i="2"/>
  <c r="K324" i="2"/>
  <c r="E147" i="4"/>
  <c r="E154" i="4" s="1"/>
  <c r="D147" i="4"/>
  <c r="R147" i="4" s="1"/>
  <c r="F112" i="3"/>
  <c r="F117" i="3" s="1"/>
  <c r="L146" i="4"/>
  <c r="L154" i="4" s="1"/>
  <c r="F146" i="4"/>
  <c r="Q323" i="2"/>
  <c r="R323" i="2" s="1"/>
  <c r="Y323" i="2" s="1"/>
  <c r="K323" i="2"/>
  <c r="Z321" i="2"/>
  <c r="F321" i="2"/>
  <c r="R321" i="2"/>
  <c r="X320" i="2"/>
  <c r="X321" i="2"/>
  <c r="Z320" i="2"/>
  <c r="E320" i="2"/>
  <c r="R320" i="2" s="1"/>
  <c r="Y320" i="2" s="1"/>
  <c r="D320" i="2"/>
  <c r="Q322" i="2"/>
  <c r="Q384" i="2" s="1"/>
  <c r="O322" i="2"/>
  <c r="R322" i="2" s="1"/>
  <c r="Y322" i="2" s="1"/>
  <c r="K319" i="2"/>
  <c r="F319" i="2"/>
  <c r="R319" i="2" s="1"/>
  <c r="Z314" i="2"/>
  <c r="K314" i="2"/>
  <c r="R314" i="2"/>
  <c r="Z304" i="2"/>
  <c r="K304" i="2"/>
  <c r="Z317" i="2"/>
  <c r="F317" i="2"/>
  <c r="E317" i="2"/>
  <c r="D317" i="2"/>
  <c r="Z316" i="2"/>
  <c r="K316" i="2"/>
  <c r="R316" i="2" s="1"/>
  <c r="Z315" i="2"/>
  <c r="K315" i="2"/>
  <c r="R315" i="2"/>
  <c r="Z306" i="2"/>
  <c r="E306" i="2"/>
  <c r="D306" i="2"/>
  <c r="X305" i="2"/>
  <c r="X306" i="2"/>
  <c r="Z305" i="2"/>
  <c r="F305" i="2"/>
  <c r="R305" i="2"/>
  <c r="Y305" i="2" s="1"/>
  <c r="X307" i="2"/>
  <c r="Y307" i="2" s="1"/>
  <c r="L307" i="2"/>
  <c r="F307" i="2"/>
  <c r="R307" i="2" s="1"/>
  <c r="L313" i="2"/>
  <c r="K313" i="2"/>
  <c r="R313" i="2" s="1"/>
  <c r="L312" i="2"/>
  <c r="F312" i="2"/>
  <c r="K311" i="2"/>
  <c r="J311" i="2"/>
  <c r="J384" i="2" s="1"/>
  <c r="L310" i="2"/>
  <c r="F310" i="2"/>
  <c r="R310" i="2" s="1"/>
  <c r="L309" i="2"/>
  <c r="F309" i="2"/>
  <c r="R309" i="2" s="1"/>
  <c r="Y309" i="2" s="1"/>
  <c r="L308" i="2"/>
  <c r="K308" i="2"/>
  <c r="R308" i="2"/>
  <c r="X81" i="3"/>
  <c r="E109" i="4"/>
  <c r="R109" i="4"/>
  <c r="Y109" i="4" s="1"/>
  <c r="Z298" i="2"/>
  <c r="W298" i="2"/>
  <c r="V298" i="2"/>
  <c r="U298" i="2"/>
  <c r="T298" i="2"/>
  <c r="Q298" i="2"/>
  <c r="P298" i="2"/>
  <c r="O298" i="2"/>
  <c r="N298" i="2"/>
  <c r="M298" i="2"/>
  <c r="J298" i="2"/>
  <c r="I298" i="2"/>
  <c r="H298" i="2"/>
  <c r="G298" i="2"/>
  <c r="D298" i="2"/>
  <c r="E298" i="2"/>
  <c r="F280" i="2"/>
  <c r="R280" i="2" s="1"/>
  <c r="Y280" i="2"/>
  <c r="R282" i="2"/>
  <c r="Y282" i="2"/>
  <c r="K279" i="2"/>
  <c r="R279" i="2"/>
  <c r="Y279" i="2"/>
  <c r="K278" i="2"/>
  <c r="K298" i="2" s="1"/>
  <c r="L278" i="2"/>
  <c r="L298" i="2"/>
  <c r="F278" i="2"/>
  <c r="U103" i="1"/>
  <c r="O103" i="1"/>
  <c r="H101" i="1"/>
  <c r="H117" i="1"/>
  <c r="D117" i="1"/>
  <c r="O96" i="1"/>
  <c r="W96" i="1" s="1"/>
  <c r="E126" i="4"/>
  <c r="E112" i="4"/>
  <c r="R112" i="4" s="1"/>
  <c r="Y112" i="4" s="1"/>
  <c r="D112" i="4"/>
  <c r="F112" i="4"/>
  <c r="O83" i="3"/>
  <c r="O84" i="3"/>
  <c r="W84" i="3" s="1"/>
  <c r="U83" i="3"/>
  <c r="U84" i="3"/>
  <c r="X84" i="3"/>
  <c r="Z269" i="2"/>
  <c r="X269" i="2"/>
  <c r="Y269" i="2"/>
  <c r="K269" i="2"/>
  <c r="R269" i="2"/>
  <c r="U94" i="3"/>
  <c r="H94" i="3"/>
  <c r="H97" i="3" s="1"/>
  <c r="X130" i="4"/>
  <c r="F130" i="4"/>
  <c r="R130" i="4" s="1"/>
  <c r="Y130" i="4" s="1"/>
  <c r="D130" i="4"/>
  <c r="F93" i="3"/>
  <c r="H272" i="2"/>
  <c r="I272" i="2"/>
  <c r="F272" i="2"/>
  <c r="X126" i="4"/>
  <c r="X127" i="4"/>
  <c r="X128" i="4"/>
  <c r="X129" i="4"/>
  <c r="F126" i="4"/>
  <c r="D126" i="4"/>
  <c r="R126" i="4" s="1"/>
  <c r="Y126" i="4" s="1"/>
  <c r="J126" i="4"/>
  <c r="O93" i="3"/>
  <c r="W93" i="3" s="1"/>
  <c r="U93" i="3"/>
  <c r="L129" i="4"/>
  <c r="R129" i="4" s="1"/>
  <c r="Y129" i="4" s="1"/>
  <c r="F129" i="4"/>
  <c r="M128" i="4"/>
  <c r="L128" i="4"/>
  <c r="R128" i="4" s="1"/>
  <c r="F127" i="4"/>
  <c r="R127" i="4" s="1"/>
  <c r="Y127" i="4" s="1"/>
  <c r="L127" i="4"/>
  <c r="L125" i="4"/>
  <c r="F125" i="4"/>
  <c r="R125" i="4"/>
  <c r="X270" i="2"/>
  <c r="K270" i="2"/>
  <c r="R270" i="2" s="1"/>
  <c r="Y270" i="2" s="1"/>
  <c r="E270" i="2"/>
  <c r="D270" i="2"/>
  <c r="K268" i="2"/>
  <c r="J268" i="2"/>
  <c r="R268" i="2" s="1"/>
  <c r="Y268" i="2" s="1"/>
  <c r="X268" i="2"/>
  <c r="H95" i="1"/>
  <c r="O95" i="1" s="1"/>
  <c r="W95" i="1" s="1"/>
  <c r="K263" i="2"/>
  <c r="R263" i="2"/>
  <c r="Y263" i="2" s="1"/>
  <c r="F263" i="2"/>
  <c r="K262" i="2"/>
  <c r="R262" i="2"/>
  <c r="L261" i="2"/>
  <c r="K261" i="2"/>
  <c r="K260" i="2"/>
  <c r="J260" i="2"/>
  <c r="X111" i="4"/>
  <c r="X112" i="4"/>
  <c r="R111" i="4"/>
  <c r="Y111" i="4" s="1"/>
  <c r="F111" i="4"/>
  <c r="X83" i="3"/>
  <c r="Z259" i="2"/>
  <c r="M259" i="2"/>
  <c r="R259" i="2" s="1"/>
  <c r="Y259" i="2" s="1"/>
  <c r="X256" i="2"/>
  <c r="X257" i="2"/>
  <c r="X258" i="2"/>
  <c r="X259" i="2"/>
  <c r="X260" i="2"/>
  <c r="X261" i="2"/>
  <c r="X262" i="2"/>
  <c r="X263" i="2"/>
  <c r="L258" i="2"/>
  <c r="F258" i="2"/>
  <c r="F257" i="2"/>
  <c r="R257" i="2"/>
  <c r="Y257" i="2" s="1"/>
  <c r="J257" i="2"/>
  <c r="F256" i="2"/>
  <c r="R256" i="2" s="1"/>
  <c r="Y256" i="2" s="1"/>
  <c r="J256" i="2"/>
  <c r="Z271" i="2"/>
  <c r="E271" i="2"/>
  <c r="D271" i="2"/>
  <c r="Z267" i="2"/>
  <c r="J267" i="2"/>
  <c r="R267" i="2"/>
  <c r="Y267" i="2" s="1"/>
  <c r="Z266" i="2"/>
  <c r="F266" i="2"/>
  <c r="R266" i="2" s="1"/>
  <c r="F265" i="2"/>
  <c r="J265" i="2"/>
  <c r="R265" i="2" s="1"/>
  <c r="Y265" i="2" s="1"/>
  <c r="Z264" i="2"/>
  <c r="E264" i="2"/>
  <c r="R264" i="2"/>
  <c r="Y264" i="2" s="1"/>
  <c r="D264" i="2"/>
  <c r="I94" i="1"/>
  <c r="H94" i="1"/>
  <c r="F94" i="1"/>
  <c r="K255" i="2"/>
  <c r="R255" i="2" s="1"/>
  <c r="M92" i="3"/>
  <c r="H92" i="3"/>
  <c r="O92" i="3"/>
  <c r="G92" i="3"/>
  <c r="E124" i="4"/>
  <c r="R124" i="4" s="1"/>
  <c r="Y124" i="4" s="1"/>
  <c r="D124" i="4"/>
  <c r="F91" i="3"/>
  <c r="X124" i="4"/>
  <c r="X125" i="4"/>
  <c r="N254" i="2"/>
  <c r="F254" i="2"/>
  <c r="R254" i="2" s="1"/>
  <c r="Y254" i="2" s="1"/>
  <c r="R273" i="2"/>
  <c r="Y273" i="2" s="1"/>
  <c r="X254" i="2"/>
  <c r="X255" i="2"/>
  <c r="X264" i="2"/>
  <c r="X265" i="2"/>
  <c r="X266" i="2"/>
  <c r="X267" i="2"/>
  <c r="X271" i="2"/>
  <c r="X272" i="2"/>
  <c r="X273" i="2"/>
  <c r="F253" i="2"/>
  <c r="R253" i="2"/>
  <c r="H93" i="1"/>
  <c r="O93" i="1"/>
  <c r="W93" i="1" s="1"/>
  <c r="H92" i="1"/>
  <c r="L92" i="1"/>
  <c r="F252" i="2"/>
  <c r="R252" i="2"/>
  <c r="Y252" i="2" s="1"/>
  <c r="K251" i="2"/>
  <c r="R251" i="2" s="1"/>
  <c r="G91" i="1"/>
  <c r="G99" i="1"/>
  <c r="H91" i="1"/>
  <c r="F248" i="2"/>
  <c r="K250" i="2"/>
  <c r="I250" i="2"/>
  <c r="D90" i="1"/>
  <c r="O90" i="1"/>
  <c r="F249" i="2"/>
  <c r="R249" i="2" s="1"/>
  <c r="F247" i="2"/>
  <c r="R247" i="2"/>
  <c r="Y247" i="2"/>
  <c r="J248" i="2"/>
  <c r="X245" i="2"/>
  <c r="R245" i="2"/>
  <c r="Y245" i="2"/>
  <c r="Z245" i="2"/>
  <c r="U87" i="1"/>
  <c r="U88" i="1"/>
  <c r="O88" i="1"/>
  <c r="W88" i="1" s="1"/>
  <c r="D87" i="1"/>
  <c r="O87" i="1" s="1"/>
  <c r="Z244" i="2"/>
  <c r="Z243" i="2"/>
  <c r="J243" i="2"/>
  <c r="R243" i="2" s="1"/>
  <c r="X243" i="2"/>
  <c r="X244" i="2"/>
  <c r="R244" i="2"/>
  <c r="F110" i="4"/>
  <c r="F117" i="4" s="1"/>
  <c r="X82" i="3"/>
  <c r="X230" i="2"/>
  <c r="Y230" i="2" s="1"/>
  <c r="Z230" i="2"/>
  <c r="L230" i="2"/>
  <c r="R230" i="2"/>
  <c r="G247" i="2"/>
  <c r="D109" i="4"/>
  <c r="D89" i="1"/>
  <c r="O89" i="1" s="1"/>
  <c r="Z246" i="2"/>
  <c r="L242" i="2"/>
  <c r="K242" i="2"/>
  <c r="X242" i="2"/>
  <c r="X246" i="2"/>
  <c r="X247" i="2"/>
  <c r="X248" i="2"/>
  <c r="X249" i="2"/>
  <c r="X250" i="2"/>
  <c r="X251" i="2"/>
  <c r="X252" i="2"/>
  <c r="R246" i="2"/>
  <c r="Q241" i="2"/>
  <c r="R241" i="2" s="1"/>
  <c r="K241" i="2"/>
  <c r="L240" i="2"/>
  <c r="K240" i="2"/>
  <c r="R240" i="2" s="1"/>
  <c r="E108" i="4"/>
  <c r="R108" i="4"/>
  <c r="D108" i="4"/>
  <c r="X80" i="3"/>
  <c r="X88" i="3" s="1"/>
  <c r="X100" i="3" s="1"/>
  <c r="Z239" i="2"/>
  <c r="K239" i="2"/>
  <c r="R239" i="2" s="1"/>
  <c r="J238" i="2"/>
  <c r="F238" i="2"/>
  <c r="R238" i="2" s="1"/>
  <c r="Y238" i="2" s="1"/>
  <c r="K237" i="2"/>
  <c r="J237" i="2"/>
  <c r="R237" i="2"/>
  <c r="Y237" i="2" s="1"/>
  <c r="X222" i="2"/>
  <c r="F222" i="2"/>
  <c r="J222" i="2"/>
  <c r="R222" i="2" s="1"/>
  <c r="Y222" i="2" s="1"/>
  <c r="L229" i="2"/>
  <c r="K229" i="2"/>
  <c r="L228" i="2"/>
  <c r="F228" i="2"/>
  <c r="R228" i="2" s="1"/>
  <c r="Y228" i="2" s="1"/>
  <c r="U83" i="1"/>
  <c r="D83" i="1"/>
  <c r="K227" i="2"/>
  <c r="R227" i="2"/>
  <c r="Q226" i="2"/>
  <c r="K226" i="2"/>
  <c r="K225" i="2"/>
  <c r="F225" i="2"/>
  <c r="X224" i="2"/>
  <c r="X225" i="2"/>
  <c r="X226" i="2"/>
  <c r="X227" i="2"/>
  <c r="X228" i="2"/>
  <c r="X229" i="2"/>
  <c r="K224" i="2"/>
  <c r="L224" i="2"/>
  <c r="Z236" i="2"/>
  <c r="Z232" i="2"/>
  <c r="H232" i="2"/>
  <c r="R232" i="2" s="1"/>
  <c r="D85" i="1"/>
  <c r="O85" i="1"/>
  <c r="Z234" i="2"/>
  <c r="Z276" i="2" s="1"/>
  <c r="D86" i="1"/>
  <c r="O86" i="1" s="1"/>
  <c r="K231" i="2"/>
  <c r="R231" i="2" s="1"/>
  <c r="Y231" i="2" s="1"/>
  <c r="Z231" i="2"/>
  <c r="K236" i="2"/>
  <c r="R236" i="2" s="1"/>
  <c r="Y236" i="2" s="1"/>
  <c r="K235" i="2"/>
  <c r="Z235" i="2"/>
  <c r="R233" i="2"/>
  <c r="Y233" i="2" s="1"/>
  <c r="R234" i="2"/>
  <c r="R235" i="2"/>
  <c r="R275" i="2"/>
  <c r="X233" i="2"/>
  <c r="X234" i="2"/>
  <c r="X235" i="2"/>
  <c r="X236" i="2"/>
  <c r="X237" i="2"/>
  <c r="X238" i="2"/>
  <c r="X239" i="2"/>
  <c r="X240" i="2"/>
  <c r="Y240" i="2"/>
  <c r="X241" i="2"/>
  <c r="X253" i="2"/>
  <c r="Z233" i="2"/>
  <c r="D84" i="1"/>
  <c r="O84" i="1" s="1"/>
  <c r="X215" i="2"/>
  <c r="X216" i="2"/>
  <c r="X217" i="2"/>
  <c r="X218" i="2"/>
  <c r="X219" i="2"/>
  <c r="X220" i="2"/>
  <c r="X221" i="2"/>
  <c r="X223" i="2"/>
  <c r="X231" i="2"/>
  <c r="I223" i="2"/>
  <c r="F223" i="2"/>
  <c r="R223" i="2" s="1"/>
  <c r="Y223" i="2" s="1"/>
  <c r="M221" i="2"/>
  <c r="R221" i="2" s="1"/>
  <c r="Y221" i="2" s="1"/>
  <c r="F221" i="2"/>
  <c r="L220" i="2"/>
  <c r="K220" i="2"/>
  <c r="R220" i="2" s="1"/>
  <c r="Y220" i="2" s="1"/>
  <c r="L219" i="2"/>
  <c r="K219" i="2"/>
  <c r="R219" i="2" s="1"/>
  <c r="L218" i="2"/>
  <c r="R218" i="2"/>
  <c r="Y218" i="2" s="1"/>
  <c r="K218" i="2"/>
  <c r="L217" i="2"/>
  <c r="K217" i="2"/>
  <c r="F217" i="2"/>
  <c r="R217" i="2" s="1"/>
  <c r="Y217" i="2" s="1"/>
  <c r="F216" i="2"/>
  <c r="H216" i="2"/>
  <c r="K215" i="2"/>
  <c r="R215" i="2" s="1"/>
  <c r="Y215" i="2"/>
  <c r="L82" i="1"/>
  <c r="H82" i="1"/>
  <c r="O82" i="1" s="1"/>
  <c r="F214" i="2"/>
  <c r="R214" i="2"/>
  <c r="Y214" i="2" s="1"/>
  <c r="F81" i="1"/>
  <c r="O81" i="1"/>
  <c r="L213" i="2"/>
  <c r="F213" i="2"/>
  <c r="R213" i="2" s="1"/>
  <c r="Y213" i="2" s="1"/>
  <c r="L212" i="2"/>
  <c r="F212" i="2"/>
  <c r="R212" i="2" s="1"/>
  <c r="Q211" i="2"/>
  <c r="K211" i="2"/>
  <c r="L210" i="2"/>
  <c r="R210" i="2" s="1"/>
  <c r="Y210" i="2" s="1"/>
  <c r="K210" i="2"/>
  <c r="J209" i="2"/>
  <c r="K209" i="2"/>
  <c r="K208" i="2"/>
  <c r="R208" i="2" s="1"/>
  <c r="Y208" i="2" s="1"/>
  <c r="E208" i="2"/>
  <c r="D208" i="2"/>
  <c r="L207" i="2"/>
  <c r="K207" i="2"/>
  <c r="R207" i="2"/>
  <c r="F206" i="2"/>
  <c r="R206" i="2" s="1"/>
  <c r="J206" i="2"/>
  <c r="L205" i="2"/>
  <c r="R205" i="2" s="1"/>
  <c r="Y205" i="2" s="1"/>
  <c r="F205" i="2"/>
  <c r="Z195" i="2"/>
  <c r="F195" i="2"/>
  <c r="R195" i="2" s="1"/>
  <c r="Y195" i="2" s="1"/>
  <c r="E195" i="2"/>
  <c r="D195" i="2"/>
  <c r="D276" i="2"/>
  <c r="X194" i="2"/>
  <c r="X195" i="2"/>
  <c r="K194" i="2"/>
  <c r="R194" i="2"/>
  <c r="Y194" i="2" s="1"/>
  <c r="Z194" i="2"/>
  <c r="L204" i="2"/>
  <c r="K204" i="2"/>
  <c r="R204" i="2" s="1"/>
  <c r="Y204" i="2" s="1"/>
  <c r="L203" i="2"/>
  <c r="F203" i="2"/>
  <c r="R203" i="2"/>
  <c r="Y203" i="2" s="1"/>
  <c r="G202" i="2"/>
  <c r="G276" i="2" s="1"/>
  <c r="J202" i="2"/>
  <c r="R202" i="2" s="1"/>
  <c r="Y202" i="2"/>
  <c r="K201" i="2"/>
  <c r="J201" i="2"/>
  <c r="R201" i="2" s="1"/>
  <c r="L200" i="2"/>
  <c r="K200" i="2"/>
  <c r="R200" i="2" s="1"/>
  <c r="Y200" i="2" s="1"/>
  <c r="Q199" i="2"/>
  <c r="J80" i="1"/>
  <c r="O80" i="1" s="1"/>
  <c r="W80" i="1" s="1"/>
  <c r="K99" i="1"/>
  <c r="L198" i="2"/>
  <c r="F198" i="2"/>
  <c r="L197" i="2"/>
  <c r="R197" i="2"/>
  <c r="Y197" i="2" s="1"/>
  <c r="K197" i="2"/>
  <c r="L196" i="2"/>
  <c r="R196" i="2"/>
  <c r="K196" i="2"/>
  <c r="L193" i="2"/>
  <c r="K193" i="2"/>
  <c r="R193" i="2" s="1"/>
  <c r="Y193" i="2" s="1"/>
  <c r="F123" i="4"/>
  <c r="R123" i="4" s="1"/>
  <c r="Y123" i="4" s="1"/>
  <c r="L123" i="4"/>
  <c r="L122" i="4"/>
  <c r="R122" i="4" s="1"/>
  <c r="F122" i="4"/>
  <c r="L121" i="4"/>
  <c r="F121" i="4"/>
  <c r="L120" i="4"/>
  <c r="F120" i="4"/>
  <c r="R120" i="4" s="1"/>
  <c r="Y120" i="4" s="1"/>
  <c r="L119" i="4"/>
  <c r="F119" i="4"/>
  <c r="E118" i="4"/>
  <c r="D118" i="4"/>
  <c r="H79" i="1"/>
  <c r="O79" i="1" s="1"/>
  <c r="W79" i="1" s="1"/>
  <c r="K192" i="2"/>
  <c r="F192" i="2"/>
  <c r="L191" i="2"/>
  <c r="F191" i="2"/>
  <c r="K190" i="2"/>
  <c r="I190" i="2"/>
  <c r="F189" i="2"/>
  <c r="K189" i="2"/>
  <c r="R189" i="2" s="1"/>
  <c r="Y189" i="2" s="1"/>
  <c r="K188" i="2"/>
  <c r="N188" i="2"/>
  <c r="R188" i="2"/>
  <c r="L187" i="2"/>
  <c r="F187" i="2"/>
  <c r="J186" i="2"/>
  <c r="I78" i="1"/>
  <c r="L185" i="2"/>
  <c r="R185" i="2" s="1"/>
  <c r="Y185" i="2" s="1"/>
  <c r="F185" i="2"/>
  <c r="K184" i="2"/>
  <c r="R184" i="2"/>
  <c r="I77" i="1"/>
  <c r="O77" i="1"/>
  <c r="I183" i="2"/>
  <c r="L182" i="2"/>
  <c r="R182" i="2"/>
  <c r="F182" i="2"/>
  <c r="K181" i="2"/>
  <c r="R181" i="2" s="1"/>
  <c r="Y181" i="2" s="1"/>
  <c r="F76" i="1"/>
  <c r="O76" i="1" s="1"/>
  <c r="W76" i="1" s="1"/>
  <c r="L180" i="2"/>
  <c r="F180" i="2"/>
  <c r="R180" i="2" s="1"/>
  <c r="Y180" i="2" s="1"/>
  <c r="F65" i="4"/>
  <c r="F83" i="4" s="1"/>
  <c r="E65" i="4"/>
  <c r="E83" i="4" s="1"/>
  <c r="D65" i="4"/>
  <c r="F91" i="4"/>
  <c r="R91" i="4"/>
  <c r="Y91" i="4" s="1"/>
  <c r="E91" i="4"/>
  <c r="E101" i="4" s="1"/>
  <c r="D91" i="4"/>
  <c r="Z126" i="2"/>
  <c r="D32" i="1"/>
  <c r="O32" i="1" s="1"/>
  <c r="F130" i="2"/>
  <c r="R130" i="2" s="1"/>
  <c r="Y130" i="2" s="1"/>
  <c r="D83" i="4"/>
  <c r="J89" i="4"/>
  <c r="J101" i="4"/>
  <c r="J105" i="4" s="1"/>
  <c r="F89" i="4"/>
  <c r="E89" i="4"/>
  <c r="D89" i="4"/>
  <c r="D101" i="4" s="1"/>
  <c r="R89" i="4"/>
  <c r="Y89" i="4" s="1"/>
  <c r="J88" i="4"/>
  <c r="I88" i="4"/>
  <c r="I101" i="4"/>
  <c r="F88" i="4"/>
  <c r="E88" i="4"/>
  <c r="D88" i="4"/>
  <c r="R88" i="4" s="1"/>
  <c r="F67" i="3"/>
  <c r="O67" i="3" s="1"/>
  <c r="M87" i="4"/>
  <c r="L87" i="4"/>
  <c r="F87" i="4"/>
  <c r="R87" i="4" s="1"/>
  <c r="M86" i="4"/>
  <c r="M101" i="4"/>
  <c r="L86" i="4"/>
  <c r="X85" i="4"/>
  <c r="L85" i="4"/>
  <c r="F85" i="4"/>
  <c r="Z129" i="2"/>
  <c r="H129" i="2"/>
  <c r="X117" i="2"/>
  <c r="Z117" i="2"/>
  <c r="K117" i="2"/>
  <c r="R117" i="2" s="1"/>
  <c r="Y117" i="2" s="1"/>
  <c r="E114" i="2"/>
  <c r="R114" i="2"/>
  <c r="Y114" i="2" s="1"/>
  <c r="D114" i="2"/>
  <c r="E109" i="2"/>
  <c r="E168" i="2"/>
  <c r="D109" i="2"/>
  <c r="L112" i="2"/>
  <c r="R112" i="2" s="1"/>
  <c r="Y112" i="2" s="1"/>
  <c r="F112" i="2"/>
  <c r="J123" i="2"/>
  <c r="K123" i="2"/>
  <c r="R123" i="2"/>
  <c r="Y123" i="2" s="1"/>
  <c r="J122" i="2"/>
  <c r="K122" i="2"/>
  <c r="R122" i="2" s="1"/>
  <c r="I121" i="2"/>
  <c r="F121" i="2"/>
  <c r="F120" i="2"/>
  <c r="L120" i="2"/>
  <c r="R120" i="2" s="1"/>
  <c r="X120" i="2"/>
  <c r="X121" i="2"/>
  <c r="X122" i="2"/>
  <c r="Y122" i="2"/>
  <c r="X123" i="2"/>
  <c r="X112" i="2"/>
  <c r="X119" i="2"/>
  <c r="X113" i="2"/>
  <c r="L113" i="2"/>
  <c r="K113" i="2"/>
  <c r="J108" i="2"/>
  <c r="K108" i="2"/>
  <c r="R108" i="2" s="1"/>
  <c r="Y108" i="2" s="1"/>
  <c r="I107" i="2"/>
  <c r="F107" i="2"/>
  <c r="Q106" i="2"/>
  <c r="K106" i="2"/>
  <c r="K105" i="2"/>
  <c r="R105" i="2"/>
  <c r="K31" i="1"/>
  <c r="O31" i="1" s="1"/>
  <c r="K104" i="2"/>
  <c r="Q104" i="2"/>
  <c r="M103" i="2"/>
  <c r="R103" i="2"/>
  <c r="N30" i="1"/>
  <c r="N61" i="1" s="1"/>
  <c r="F102" i="2"/>
  <c r="R102" i="2"/>
  <c r="H29" i="1"/>
  <c r="O29" i="1" s="1"/>
  <c r="W29" i="1" s="1"/>
  <c r="F101" i="2"/>
  <c r="J101" i="2"/>
  <c r="G100" i="2"/>
  <c r="G168" i="2"/>
  <c r="I28" i="1"/>
  <c r="I61" i="1" s="1"/>
  <c r="U28" i="1"/>
  <c r="U29" i="1"/>
  <c r="U30" i="1"/>
  <c r="U31" i="1"/>
  <c r="H27" i="1"/>
  <c r="O27" i="1" s="1"/>
  <c r="W27" i="1" s="1"/>
  <c r="G61" i="1"/>
  <c r="U27" i="1"/>
  <c r="K99" i="2"/>
  <c r="R99" i="2" s="1"/>
  <c r="F99" i="2"/>
  <c r="J98" i="2"/>
  <c r="K98" i="2"/>
  <c r="X98" i="2"/>
  <c r="X99" i="2"/>
  <c r="X100" i="2"/>
  <c r="X101" i="2"/>
  <c r="X102" i="2"/>
  <c r="Y102" i="2"/>
  <c r="X103" i="2"/>
  <c r="X104" i="2"/>
  <c r="X105" i="2"/>
  <c r="Y105" i="2"/>
  <c r="X106" i="2"/>
  <c r="X107" i="2"/>
  <c r="X108" i="2"/>
  <c r="J97" i="2"/>
  <c r="R97" i="2" s="1"/>
  <c r="Y97" i="2" s="1"/>
  <c r="K97" i="2"/>
  <c r="L96" i="2"/>
  <c r="R96" i="2" s="1"/>
  <c r="Y96" i="2"/>
  <c r="J26" i="1"/>
  <c r="X95" i="2"/>
  <c r="L95" i="2"/>
  <c r="F95" i="2"/>
  <c r="R95" i="2" s="1"/>
  <c r="Y95" i="2"/>
  <c r="D33" i="1"/>
  <c r="O33" i="1"/>
  <c r="Z128" i="2"/>
  <c r="K128" i="2"/>
  <c r="R128" i="2" s="1"/>
  <c r="Y128" i="2" s="1"/>
  <c r="Z127" i="2"/>
  <c r="L127" i="2"/>
  <c r="R127" i="2"/>
  <c r="Z116" i="2"/>
  <c r="X116" i="2"/>
  <c r="K116" i="2"/>
  <c r="R116" i="2"/>
  <c r="Y116" i="2" s="1"/>
  <c r="Z119" i="2"/>
  <c r="F119" i="2"/>
  <c r="R119" i="2"/>
  <c r="X124" i="2"/>
  <c r="Z124" i="2"/>
  <c r="K124" i="2"/>
  <c r="R124" i="2"/>
  <c r="Y124" i="2" s="1"/>
  <c r="Z125" i="2"/>
  <c r="K125" i="2"/>
  <c r="R125" i="2"/>
  <c r="Z118" i="2"/>
  <c r="J118" i="2"/>
  <c r="R118" i="2" s="1"/>
  <c r="Z115" i="2"/>
  <c r="K115" i="2"/>
  <c r="R115" i="2"/>
  <c r="Z114" i="2"/>
  <c r="Z111" i="2"/>
  <c r="X111" i="2"/>
  <c r="Y111" i="2"/>
  <c r="E111" i="2"/>
  <c r="D111" i="2"/>
  <c r="D168" i="2"/>
  <c r="Z110" i="2"/>
  <c r="K110" i="2"/>
  <c r="R110" i="2"/>
  <c r="Z109" i="2"/>
  <c r="J94" i="2"/>
  <c r="F94" i="2"/>
  <c r="Z93" i="2"/>
  <c r="J93" i="2"/>
  <c r="R93" i="2"/>
  <c r="Z92" i="2"/>
  <c r="F92" i="2"/>
  <c r="R92" i="2"/>
  <c r="X36" i="4"/>
  <c r="X231" i="4"/>
  <c r="X230" i="4"/>
  <c r="X228" i="4"/>
  <c r="X227" i="4"/>
  <c r="Y227" i="4" s="1"/>
  <c r="X226" i="4"/>
  <c r="X225" i="4"/>
  <c r="Y225" i="4"/>
  <c r="X224" i="4"/>
  <c r="X223" i="4"/>
  <c r="X222" i="4"/>
  <c r="Y222" i="4" s="1"/>
  <c r="X221" i="4"/>
  <c r="X220" i="4"/>
  <c r="X219" i="4"/>
  <c r="X218" i="4"/>
  <c r="X217" i="4"/>
  <c r="Y217" i="4"/>
  <c r="X216" i="4"/>
  <c r="Y216" i="4"/>
  <c r="X215" i="4"/>
  <c r="X214" i="4"/>
  <c r="X212" i="4"/>
  <c r="X211" i="4"/>
  <c r="X210" i="4"/>
  <c r="X209" i="4"/>
  <c r="X208" i="4"/>
  <c r="X207" i="4"/>
  <c r="X206" i="4"/>
  <c r="X205" i="4"/>
  <c r="X204" i="4"/>
  <c r="X203" i="4"/>
  <c r="X202" i="4"/>
  <c r="X201" i="4"/>
  <c r="X200" i="4"/>
  <c r="X199" i="4"/>
  <c r="X198" i="4"/>
  <c r="Y198" i="4" s="1"/>
  <c r="X197" i="4"/>
  <c r="X196" i="4"/>
  <c r="Y196" i="4" s="1"/>
  <c r="X193" i="4"/>
  <c r="X192" i="4"/>
  <c r="Y192" i="4" s="1"/>
  <c r="X191" i="4"/>
  <c r="X189" i="4"/>
  <c r="X188" i="4"/>
  <c r="X187" i="4"/>
  <c r="X186" i="4"/>
  <c r="X185" i="4"/>
  <c r="X184" i="4"/>
  <c r="X183" i="4"/>
  <c r="X182" i="4"/>
  <c r="X171" i="4"/>
  <c r="X170" i="4"/>
  <c r="X169" i="4"/>
  <c r="X165" i="4"/>
  <c r="X164" i="4"/>
  <c r="X163" i="4"/>
  <c r="X162" i="4"/>
  <c r="X161" i="4"/>
  <c r="X152" i="4"/>
  <c r="X151" i="4"/>
  <c r="X150" i="4"/>
  <c r="X149" i="4"/>
  <c r="X148" i="4"/>
  <c r="X147" i="4"/>
  <c r="X146" i="4"/>
  <c r="X142" i="4"/>
  <c r="X141" i="4"/>
  <c r="X140" i="4"/>
  <c r="Y140" i="4" s="1"/>
  <c r="X139" i="4"/>
  <c r="X138" i="4"/>
  <c r="X123" i="4"/>
  <c r="X122" i="4"/>
  <c r="Y122" i="4" s="1"/>
  <c r="X121" i="4"/>
  <c r="X120" i="4"/>
  <c r="X119" i="4"/>
  <c r="X118" i="4"/>
  <c r="X110" i="4"/>
  <c r="X109" i="4"/>
  <c r="X108" i="4"/>
  <c r="X104" i="4"/>
  <c r="X103" i="4"/>
  <c r="X102" i="4"/>
  <c r="X100" i="4"/>
  <c r="X99" i="4"/>
  <c r="Y99" i="4"/>
  <c r="X98" i="4"/>
  <c r="X97" i="4"/>
  <c r="X96" i="4"/>
  <c r="X95" i="4"/>
  <c r="X94" i="4"/>
  <c r="X93" i="4"/>
  <c r="X92" i="4"/>
  <c r="Y92" i="4" s="1"/>
  <c r="X91" i="4"/>
  <c r="X90" i="4"/>
  <c r="X89" i="4"/>
  <c r="X88" i="4"/>
  <c r="X87" i="4"/>
  <c r="X86" i="4"/>
  <c r="X84" i="4"/>
  <c r="Y84" i="4" s="1"/>
  <c r="X79" i="4"/>
  <c r="X78" i="4"/>
  <c r="X77" i="4"/>
  <c r="X76" i="4"/>
  <c r="X75" i="4"/>
  <c r="X74" i="4"/>
  <c r="X73" i="4"/>
  <c r="X72" i="4"/>
  <c r="X71" i="4"/>
  <c r="X70" i="4"/>
  <c r="X69" i="4"/>
  <c r="X68" i="4"/>
  <c r="X67" i="4"/>
  <c r="X66" i="4"/>
  <c r="X65" i="4"/>
  <c r="X59" i="4"/>
  <c r="X58" i="4"/>
  <c r="X57" i="4"/>
  <c r="X56" i="4"/>
  <c r="X55" i="4"/>
  <c r="X54" i="4"/>
  <c r="X53" i="4"/>
  <c r="Y53" i="4"/>
  <c r="X50" i="4"/>
  <c r="X49" i="4"/>
  <c r="X48" i="4"/>
  <c r="X47" i="4"/>
  <c r="X46" i="4"/>
  <c r="X45" i="4"/>
  <c r="X44" i="4"/>
  <c r="X43" i="4"/>
  <c r="X42" i="4"/>
  <c r="X41" i="4"/>
  <c r="X40" i="4"/>
  <c r="X39" i="4"/>
  <c r="Y39" i="4"/>
  <c r="X38" i="4"/>
  <c r="X37" i="4"/>
  <c r="X29" i="4"/>
  <c r="X28" i="4"/>
  <c r="Y28" i="4"/>
  <c r="X27" i="4"/>
  <c r="X23" i="4"/>
  <c r="X22" i="4"/>
  <c r="X21" i="4"/>
  <c r="X20" i="4"/>
  <c r="X19" i="4"/>
  <c r="X18" i="4"/>
  <c r="X15" i="4"/>
  <c r="R231" i="4"/>
  <c r="Y231" i="4"/>
  <c r="R230" i="4"/>
  <c r="R228" i="4"/>
  <c r="R227" i="4"/>
  <c r="R226" i="4"/>
  <c r="Y226" i="4" s="1"/>
  <c r="R225" i="4"/>
  <c r="R224" i="4"/>
  <c r="Y224" i="4"/>
  <c r="R223" i="4"/>
  <c r="Y223" i="4" s="1"/>
  <c r="R222" i="4"/>
  <c r="R221" i="4"/>
  <c r="Y221" i="4" s="1"/>
  <c r="R220" i="4"/>
  <c r="Y220" i="4" s="1"/>
  <c r="R219" i="4"/>
  <c r="Y219" i="4" s="1"/>
  <c r="R218" i="4"/>
  <c r="Y218" i="4" s="1"/>
  <c r="R217" i="4"/>
  <c r="R216" i="4"/>
  <c r="R215" i="4"/>
  <c r="R214" i="4"/>
  <c r="Y214" i="4" s="1"/>
  <c r="R212" i="4"/>
  <c r="R211" i="4"/>
  <c r="R210" i="4"/>
  <c r="R209" i="4"/>
  <c r="Y209" i="4" s="1"/>
  <c r="R208" i="4"/>
  <c r="R207" i="4"/>
  <c r="Y207" i="4"/>
  <c r="R206" i="4"/>
  <c r="Y206" i="4" s="1"/>
  <c r="R205" i="4"/>
  <c r="R204" i="4"/>
  <c r="Y204" i="4" s="1"/>
  <c r="R203" i="4"/>
  <c r="Y203" i="4" s="1"/>
  <c r="R202" i="4"/>
  <c r="Y202" i="4" s="1"/>
  <c r="R201" i="4"/>
  <c r="Y201" i="4" s="1"/>
  <c r="R200" i="4"/>
  <c r="R199" i="4"/>
  <c r="Y199" i="4" s="1"/>
  <c r="R198" i="4"/>
  <c r="R197" i="4"/>
  <c r="Y197" i="4"/>
  <c r="R196" i="4"/>
  <c r="R193" i="4"/>
  <c r="Y193" i="4"/>
  <c r="R192" i="4"/>
  <c r="R191" i="4"/>
  <c r="R189" i="4"/>
  <c r="R188" i="4"/>
  <c r="Y188" i="4" s="1"/>
  <c r="R187" i="4"/>
  <c r="R186" i="4"/>
  <c r="Y186" i="4" s="1"/>
  <c r="R185" i="4"/>
  <c r="R184" i="4"/>
  <c r="Y184" i="4" s="1"/>
  <c r="R183" i="4"/>
  <c r="Y183" i="4"/>
  <c r="R182" i="4"/>
  <c r="R165" i="4"/>
  <c r="Y165" i="4"/>
  <c r="R164" i="4"/>
  <c r="Y164" i="4" s="1"/>
  <c r="R162" i="4"/>
  <c r="Y162" i="4"/>
  <c r="R161" i="4"/>
  <c r="R156" i="4"/>
  <c r="R155" i="4"/>
  <c r="R153" i="4"/>
  <c r="R152" i="4"/>
  <c r="Y152" i="4" s="1"/>
  <c r="R151" i="4"/>
  <c r="R150" i="4"/>
  <c r="Y150" i="4"/>
  <c r="R149" i="4"/>
  <c r="Y149" i="4" s="1"/>
  <c r="R148" i="4"/>
  <c r="Y147" i="4"/>
  <c r="R145" i="4"/>
  <c r="R143" i="4"/>
  <c r="R142" i="4"/>
  <c r="Y142" i="4" s="1"/>
  <c r="R141" i="4"/>
  <c r="Y141" i="4"/>
  <c r="R140" i="4"/>
  <c r="R139" i="4"/>
  <c r="Y139" i="4"/>
  <c r="R110" i="4"/>
  <c r="Y110" i="4" s="1"/>
  <c r="R104" i="4"/>
  <c r="Y104" i="4" s="1"/>
  <c r="R103" i="4"/>
  <c r="R102" i="4"/>
  <c r="Y102" i="4"/>
  <c r="R100" i="4"/>
  <c r="Y100" i="4"/>
  <c r="R99" i="4"/>
  <c r="R98" i="4"/>
  <c r="Y98" i="4" s="1"/>
  <c r="R97" i="4"/>
  <c r="Y97" i="4"/>
  <c r="R96" i="4"/>
  <c r="Y96" i="4" s="1"/>
  <c r="R95" i="4"/>
  <c r="Y95" i="4" s="1"/>
  <c r="R94" i="4"/>
  <c r="Y94" i="4"/>
  <c r="R93" i="4"/>
  <c r="Y93" i="4"/>
  <c r="R92" i="4"/>
  <c r="R90" i="4"/>
  <c r="Y90" i="4"/>
  <c r="R84" i="4"/>
  <c r="R82" i="4"/>
  <c r="Y82" i="4" s="1"/>
  <c r="Y81" i="4"/>
  <c r="R79" i="4"/>
  <c r="Y79" i="4" s="1"/>
  <c r="R78" i="4"/>
  <c r="Y78" i="4" s="1"/>
  <c r="R77" i="4"/>
  <c r="Y77" i="4" s="1"/>
  <c r="R76" i="4"/>
  <c r="Y76" i="4" s="1"/>
  <c r="R75" i="4"/>
  <c r="R74" i="4"/>
  <c r="Y74" i="4" s="1"/>
  <c r="R73" i="4"/>
  <c r="Y73" i="4" s="1"/>
  <c r="R72" i="4"/>
  <c r="Y72" i="4" s="1"/>
  <c r="R71" i="4"/>
  <c r="Y71" i="4" s="1"/>
  <c r="R70" i="4"/>
  <c r="R69" i="4"/>
  <c r="Y69" i="4"/>
  <c r="R68" i="4"/>
  <c r="Y68" i="4" s="1"/>
  <c r="R67" i="4"/>
  <c r="Y67" i="4" s="1"/>
  <c r="R66" i="4"/>
  <c r="R59" i="4"/>
  <c r="Y59" i="4"/>
  <c r="R58" i="4"/>
  <c r="R57" i="4"/>
  <c r="Y57" i="4" s="1"/>
  <c r="R56" i="4"/>
  <c r="Y56" i="4" s="1"/>
  <c r="R55" i="4"/>
  <c r="Y55" i="4" s="1"/>
  <c r="R54" i="4"/>
  <c r="Y54" i="4"/>
  <c r="R53" i="4"/>
  <c r="R50" i="4"/>
  <c r="Y50" i="4"/>
  <c r="R45" i="4"/>
  <c r="Y45" i="4" s="1"/>
  <c r="R44" i="4"/>
  <c r="Y44" i="4"/>
  <c r="R42" i="4"/>
  <c r="Y42" i="4" s="1"/>
  <c r="R39" i="4"/>
  <c r="R38" i="4"/>
  <c r="Y38" i="4"/>
  <c r="R37" i="4"/>
  <c r="R36" i="4"/>
  <c r="R29" i="4"/>
  <c r="Y29" i="4"/>
  <c r="R28" i="4"/>
  <c r="R27" i="4"/>
  <c r="Y27" i="4"/>
  <c r="R23" i="4"/>
  <c r="Y23" i="4" s="1"/>
  <c r="R22" i="4"/>
  <c r="Y22" i="4"/>
  <c r="R21" i="4"/>
  <c r="Y21" i="4" s="1"/>
  <c r="R20" i="4"/>
  <c r="R19" i="4"/>
  <c r="Y19" i="4"/>
  <c r="R18" i="4"/>
  <c r="Y18" i="4" s="1"/>
  <c r="R15" i="4"/>
  <c r="Y15" i="4"/>
  <c r="X382" i="2"/>
  <c r="X381" i="2"/>
  <c r="X380" i="2"/>
  <c r="X379" i="2"/>
  <c r="X378" i="2"/>
  <c r="Y378" i="2" s="1"/>
  <c r="X377" i="2"/>
  <c r="X376" i="2"/>
  <c r="X375" i="2"/>
  <c r="X374" i="2"/>
  <c r="X373" i="2"/>
  <c r="X372" i="2"/>
  <c r="X371" i="2"/>
  <c r="X370" i="2"/>
  <c r="X369" i="2"/>
  <c r="X368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0" i="2"/>
  <c r="X329" i="2"/>
  <c r="X325" i="2"/>
  <c r="X324" i="2"/>
  <c r="X323" i="2"/>
  <c r="X322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4" i="2"/>
  <c r="X300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78" i="2"/>
  <c r="X277" i="2"/>
  <c r="X298" i="2"/>
  <c r="X232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Y201" i="2" s="1"/>
  <c r="X200" i="2"/>
  <c r="X199" i="2"/>
  <c r="X198" i="2"/>
  <c r="X197" i="2"/>
  <c r="X196" i="2"/>
  <c r="X193" i="2"/>
  <c r="X192" i="2"/>
  <c r="X191" i="2"/>
  <c r="X190" i="2"/>
  <c r="Y190" i="2" s="1"/>
  <c r="X189" i="2"/>
  <c r="X188" i="2"/>
  <c r="Y188" i="2"/>
  <c r="X187" i="2"/>
  <c r="X186" i="2"/>
  <c r="X185" i="2"/>
  <c r="X184" i="2"/>
  <c r="X183" i="2"/>
  <c r="X182" i="2"/>
  <c r="Y182" i="2"/>
  <c r="X181" i="2"/>
  <c r="X180" i="2"/>
  <c r="X176" i="2"/>
  <c r="X175" i="2"/>
  <c r="Y175" i="2" s="1"/>
  <c r="X174" i="2"/>
  <c r="X173" i="2"/>
  <c r="X172" i="2"/>
  <c r="X171" i="2"/>
  <c r="X170" i="2"/>
  <c r="Y170" i="2" s="1"/>
  <c r="X169" i="2"/>
  <c r="X167" i="2"/>
  <c r="X166" i="2"/>
  <c r="X165" i="2"/>
  <c r="X164" i="2"/>
  <c r="X163" i="2"/>
  <c r="X162" i="2"/>
  <c r="X161" i="2"/>
  <c r="Y161" i="2" s="1"/>
  <c r="X160" i="2"/>
  <c r="X159" i="2"/>
  <c r="X158" i="2"/>
  <c r="X157" i="2"/>
  <c r="X156" i="2"/>
  <c r="X155" i="2"/>
  <c r="X154" i="2"/>
  <c r="X153" i="2"/>
  <c r="X152" i="2"/>
  <c r="X151" i="2"/>
  <c r="X150" i="2"/>
  <c r="Y150" i="2" s="1"/>
  <c r="X149" i="2"/>
  <c r="X148" i="2"/>
  <c r="Y148" i="2"/>
  <c r="X147" i="2"/>
  <c r="Y147" i="2" s="1"/>
  <c r="X146" i="2"/>
  <c r="X145" i="2"/>
  <c r="X144" i="2"/>
  <c r="Y144" i="2"/>
  <c r="X143" i="2"/>
  <c r="X142" i="2"/>
  <c r="X141" i="2"/>
  <c r="Y141" i="2"/>
  <c r="X140" i="2"/>
  <c r="X139" i="2"/>
  <c r="X138" i="2"/>
  <c r="X137" i="2"/>
  <c r="Y137" i="2" s="1"/>
  <c r="X136" i="2"/>
  <c r="X135" i="2"/>
  <c r="Y135" i="2" s="1"/>
  <c r="X134" i="2"/>
  <c r="Y134" i="2"/>
  <c r="X133" i="2"/>
  <c r="X132" i="2"/>
  <c r="X131" i="2"/>
  <c r="X130" i="2"/>
  <c r="X129" i="2"/>
  <c r="X128" i="2"/>
  <c r="X127" i="2"/>
  <c r="X126" i="2"/>
  <c r="X125" i="2"/>
  <c r="Y125" i="2"/>
  <c r="X118" i="2"/>
  <c r="Y118" i="2"/>
  <c r="X114" i="2"/>
  <c r="X110" i="2"/>
  <c r="X109" i="2"/>
  <c r="X97" i="2"/>
  <c r="X96" i="2"/>
  <c r="X94" i="2"/>
  <c r="X93" i="2"/>
  <c r="X92" i="2"/>
  <c r="X88" i="2"/>
  <c r="Y88" i="2" s="1"/>
  <c r="X87" i="2"/>
  <c r="Y87" i="2"/>
  <c r="X86" i="2"/>
  <c r="Y86" i="2" s="1"/>
  <c r="X85" i="2"/>
  <c r="Y85" i="2"/>
  <c r="X84" i="2"/>
  <c r="Y84" i="2" s="1"/>
  <c r="X83" i="2"/>
  <c r="Y83" i="2"/>
  <c r="X82" i="2"/>
  <c r="Y82" i="2" s="1"/>
  <c r="X81" i="2"/>
  <c r="Y81" i="2" s="1"/>
  <c r="X80" i="2"/>
  <c r="Y80" i="2" s="1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Y50" i="2"/>
  <c r="X49" i="2"/>
  <c r="X48" i="2"/>
  <c r="X47" i="2"/>
  <c r="X46" i="2"/>
  <c r="X45" i="2"/>
  <c r="X44" i="2"/>
  <c r="X43" i="2"/>
  <c r="X40" i="2"/>
  <c r="Y40" i="2" s="1"/>
  <c r="X39" i="2"/>
  <c r="Y39" i="2"/>
  <c r="X38" i="2"/>
  <c r="Y38" i="2" s="1"/>
  <c r="X37" i="2"/>
  <c r="X36" i="2"/>
  <c r="X35" i="2"/>
  <c r="X34" i="2"/>
  <c r="X33" i="2"/>
  <c r="X32" i="2"/>
  <c r="Y32" i="2"/>
  <c r="X31" i="2"/>
  <c r="X30" i="2"/>
  <c r="X29" i="2"/>
  <c r="Y29" i="2"/>
  <c r="X28" i="2"/>
  <c r="X27" i="2"/>
  <c r="X26" i="2"/>
  <c r="X25" i="2"/>
  <c r="Y25" i="2"/>
  <c r="X24" i="2"/>
  <c r="X23" i="2"/>
  <c r="X22" i="2"/>
  <c r="X21" i="2"/>
  <c r="X20" i="2"/>
  <c r="X19" i="2"/>
  <c r="X18" i="2"/>
  <c r="R382" i="2"/>
  <c r="R381" i="2"/>
  <c r="Y381" i="2" s="1"/>
  <c r="R380" i="2"/>
  <c r="R379" i="2"/>
  <c r="Y379" i="2"/>
  <c r="R378" i="2"/>
  <c r="R377" i="2"/>
  <c r="Y377" i="2" s="1"/>
  <c r="R376" i="2"/>
  <c r="Y376" i="2"/>
  <c r="R375" i="2"/>
  <c r="Y375" i="2" s="1"/>
  <c r="R374" i="2"/>
  <c r="R373" i="2"/>
  <c r="Y373" i="2"/>
  <c r="R372" i="2"/>
  <c r="Y372" i="2" s="1"/>
  <c r="R371" i="2"/>
  <c r="R370" i="2"/>
  <c r="R369" i="2"/>
  <c r="Y369" i="2" s="1"/>
  <c r="R368" i="2"/>
  <c r="Y368" i="2"/>
  <c r="R367" i="2"/>
  <c r="R366" i="2"/>
  <c r="Y366" i="2"/>
  <c r="R365" i="2"/>
  <c r="R364" i="2"/>
  <c r="Y364" i="2" s="1"/>
  <c r="R363" i="2"/>
  <c r="Y363" i="2" s="1"/>
  <c r="R362" i="2"/>
  <c r="Y362" i="2" s="1"/>
  <c r="R361" i="2"/>
  <c r="Y361" i="2"/>
  <c r="R360" i="2"/>
  <c r="Y360" i="2" s="1"/>
  <c r="R359" i="2"/>
  <c r="Y359" i="2"/>
  <c r="R358" i="2"/>
  <c r="Y358" i="2" s="1"/>
  <c r="R357" i="2"/>
  <c r="Y357" i="2"/>
  <c r="R356" i="2"/>
  <c r="R355" i="2"/>
  <c r="Y355" i="2" s="1"/>
  <c r="R354" i="2"/>
  <c r="Y354" i="2" s="1"/>
  <c r="R353" i="2"/>
  <c r="Y353" i="2" s="1"/>
  <c r="R352" i="2"/>
  <c r="Y352" i="2" s="1"/>
  <c r="R351" i="2"/>
  <c r="R350" i="2"/>
  <c r="R349" i="2"/>
  <c r="Y349" i="2"/>
  <c r="R348" i="2"/>
  <c r="Y348" i="2" s="1"/>
  <c r="R347" i="2"/>
  <c r="Y347" i="2" s="1"/>
  <c r="R346" i="2"/>
  <c r="R345" i="2"/>
  <c r="Y345" i="2" s="1"/>
  <c r="R344" i="2"/>
  <c r="Y344" i="2"/>
  <c r="R343" i="2"/>
  <c r="R342" i="2"/>
  <c r="Y342" i="2" s="1"/>
  <c r="R341" i="2"/>
  <c r="Y341" i="2"/>
  <c r="R340" i="2"/>
  <c r="Y340" i="2" s="1"/>
  <c r="R339" i="2"/>
  <c r="Y339" i="2" s="1"/>
  <c r="R338" i="2"/>
  <c r="Y338" i="2"/>
  <c r="R337" i="2"/>
  <c r="R336" i="2"/>
  <c r="Y336" i="2"/>
  <c r="R335" i="2"/>
  <c r="Y335" i="2"/>
  <c r="R334" i="2"/>
  <c r="Y334" i="2"/>
  <c r="R333" i="2"/>
  <c r="Y333" i="2"/>
  <c r="R330" i="2"/>
  <c r="Y330" i="2" s="1"/>
  <c r="R329" i="2"/>
  <c r="Y329" i="2" s="1"/>
  <c r="R325" i="2"/>
  <c r="Y325" i="2"/>
  <c r="R324" i="2"/>
  <c r="R318" i="2"/>
  <c r="Y318" i="2"/>
  <c r="R301" i="2"/>
  <c r="R300" i="2"/>
  <c r="Y300" i="2"/>
  <c r="R299" i="2"/>
  <c r="R297" i="2"/>
  <c r="Y297" i="2" s="1"/>
  <c r="R296" i="2"/>
  <c r="Y296" i="2"/>
  <c r="R295" i="2"/>
  <c r="Y295" i="2" s="1"/>
  <c r="R294" i="2"/>
  <c r="Y294" i="2"/>
  <c r="R293" i="2"/>
  <c r="Y293" i="2" s="1"/>
  <c r="R292" i="2"/>
  <c r="Y292" i="2"/>
  <c r="R291" i="2"/>
  <c r="Y291" i="2" s="1"/>
  <c r="R290" i="2"/>
  <c r="Y290" i="2" s="1"/>
  <c r="R289" i="2"/>
  <c r="Y289" i="2"/>
  <c r="R288" i="2"/>
  <c r="Y288" i="2" s="1"/>
  <c r="R287" i="2"/>
  <c r="Y287" i="2"/>
  <c r="R286" i="2"/>
  <c r="Y286" i="2"/>
  <c r="R285" i="2"/>
  <c r="Y285" i="2"/>
  <c r="R284" i="2"/>
  <c r="Y284" i="2"/>
  <c r="R283" i="2"/>
  <c r="R277" i="2"/>
  <c r="R298" i="2" s="1"/>
  <c r="R176" i="2"/>
  <c r="Y176" i="2"/>
  <c r="R175" i="2"/>
  <c r="R174" i="2"/>
  <c r="Y174" i="2"/>
  <c r="R173" i="2"/>
  <c r="Y173" i="2"/>
  <c r="R172" i="2"/>
  <c r="R171" i="2"/>
  <c r="Y171" i="2" s="1"/>
  <c r="R170" i="2"/>
  <c r="R169" i="2"/>
  <c r="Y169" i="2" s="1"/>
  <c r="R167" i="2"/>
  <c r="Y167" i="2" s="1"/>
  <c r="R166" i="2"/>
  <c r="R165" i="2"/>
  <c r="Y165" i="2"/>
  <c r="R164" i="2"/>
  <c r="Y164" i="2" s="1"/>
  <c r="R163" i="2"/>
  <c r="Y163" i="2"/>
  <c r="R162" i="2"/>
  <c r="Y162" i="2" s="1"/>
  <c r="R161" i="2"/>
  <c r="R160" i="2"/>
  <c r="R159" i="2"/>
  <c r="Y159" i="2" s="1"/>
  <c r="R158" i="2"/>
  <c r="Y158" i="2" s="1"/>
  <c r="R157" i="2"/>
  <c r="Y157" i="2" s="1"/>
  <c r="R156" i="2"/>
  <c r="Y156" i="2" s="1"/>
  <c r="R155" i="2"/>
  <c r="Y155" i="2"/>
  <c r="R154" i="2"/>
  <c r="R153" i="2"/>
  <c r="Y153" i="2"/>
  <c r="R152" i="2"/>
  <c r="Y152" i="2" s="1"/>
  <c r="R151" i="2"/>
  <c r="R150" i="2"/>
  <c r="R149" i="2"/>
  <c r="Y149" i="2" s="1"/>
  <c r="R148" i="2"/>
  <c r="R147" i="2"/>
  <c r="R146" i="2"/>
  <c r="Y146" i="2" s="1"/>
  <c r="R145" i="2"/>
  <c r="Y145" i="2"/>
  <c r="R144" i="2"/>
  <c r="R143" i="2"/>
  <c r="Y143" i="2"/>
  <c r="R142" i="2"/>
  <c r="Y142" i="2" s="1"/>
  <c r="R141" i="2"/>
  <c r="R140" i="2"/>
  <c r="Y140" i="2"/>
  <c r="R139" i="2"/>
  <c r="Y139" i="2" s="1"/>
  <c r="R138" i="2"/>
  <c r="Y138" i="2" s="1"/>
  <c r="R137" i="2"/>
  <c r="R136" i="2"/>
  <c r="R135" i="2"/>
  <c r="R134" i="2"/>
  <c r="R133" i="2"/>
  <c r="Y133" i="2" s="1"/>
  <c r="R132" i="2"/>
  <c r="Y132" i="2" s="1"/>
  <c r="R131" i="2"/>
  <c r="R126" i="2"/>
  <c r="Y126" i="2" s="1"/>
  <c r="R76" i="2"/>
  <c r="Y76" i="2" s="1"/>
  <c r="R75" i="2"/>
  <c r="Y75" i="2" s="1"/>
  <c r="R74" i="2"/>
  <c r="Y74" i="2"/>
  <c r="R73" i="2"/>
  <c r="Y73" i="2" s="1"/>
  <c r="R72" i="2"/>
  <c r="Y72" i="2"/>
  <c r="R66" i="2"/>
  <c r="Y66" i="2" s="1"/>
  <c r="R65" i="2"/>
  <c r="Y65" i="2"/>
  <c r="R64" i="2"/>
  <c r="Y64" i="2" s="1"/>
  <c r="R58" i="2"/>
  <c r="Y58" i="2" s="1"/>
  <c r="R54" i="2"/>
  <c r="Y54" i="2"/>
  <c r="R53" i="2"/>
  <c r="R52" i="2"/>
  <c r="Y52" i="2"/>
  <c r="R50" i="2"/>
  <c r="R48" i="2"/>
  <c r="R46" i="2"/>
  <c r="Y46" i="2"/>
  <c r="R44" i="2"/>
  <c r="Y44" i="2" s="1"/>
  <c r="R39" i="2"/>
  <c r="R38" i="2"/>
  <c r="R37" i="2"/>
  <c r="Y37" i="2" s="1"/>
  <c r="R36" i="2"/>
  <c r="Y36" i="2" s="1"/>
  <c r="R35" i="2"/>
  <c r="R34" i="2"/>
  <c r="R33" i="2"/>
  <c r="Y33" i="2"/>
  <c r="R32" i="2"/>
  <c r="R31" i="2"/>
  <c r="Y31" i="2" s="1"/>
  <c r="R30" i="2"/>
  <c r="Y30" i="2"/>
  <c r="R29" i="2"/>
  <c r="R28" i="2"/>
  <c r="Y28" i="2" s="1"/>
  <c r="R27" i="2"/>
  <c r="Y27" i="2" s="1"/>
  <c r="R26" i="2"/>
  <c r="Y26" i="2" s="1"/>
  <c r="R25" i="2"/>
  <c r="R24" i="2"/>
  <c r="Y24" i="2" s="1"/>
  <c r="R15" i="2"/>
  <c r="Y15" i="2" s="1"/>
  <c r="X15" i="2"/>
  <c r="L68" i="2"/>
  <c r="K43" i="2"/>
  <c r="R35" i="3"/>
  <c r="U35" i="3"/>
  <c r="F45" i="2"/>
  <c r="R45" i="2"/>
  <c r="R23" i="1"/>
  <c r="U23" i="1"/>
  <c r="W23" i="1" s="1"/>
  <c r="L79" i="2"/>
  <c r="F79" i="2"/>
  <c r="R79" i="2" s="1"/>
  <c r="Y79" i="2" s="1"/>
  <c r="L78" i="2"/>
  <c r="F78" i="2"/>
  <c r="L77" i="2"/>
  <c r="F77" i="2"/>
  <c r="R77" i="2" s="1"/>
  <c r="Y77" i="2" s="1"/>
  <c r="F71" i="2"/>
  <c r="L71" i="2"/>
  <c r="M71" i="2"/>
  <c r="M89" i="2" s="1"/>
  <c r="L70" i="2"/>
  <c r="F70" i="2"/>
  <c r="R70" i="2" s="1"/>
  <c r="Y70" i="2" s="1"/>
  <c r="F69" i="2"/>
  <c r="R69" i="2" s="1"/>
  <c r="Y69" i="2" s="1"/>
  <c r="F68" i="2"/>
  <c r="R68" i="2"/>
  <c r="Y68" i="2" s="1"/>
  <c r="L67" i="2"/>
  <c r="M67" i="2"/>
  <c r="R67" i="2"/>
  <c r="Y67" i="2"/>
  <c r="F63" i="2"/>
  <c r="R63" i="2"/>
  <c r="Y63" i="2"/>
  <c r="L62" i="2"/>
  <c r="R62" i="2" s="1"/>
  <c r="Y62" i="2" s="1"/>
  <c r="F62" i="2"/>
  <c r="F61" i="2"/>
  <c r="R61" i="2"/>
  <c r="Y61" i="2" s="1"/>
  <c r="G61" i="2"/>
  <c r="F60" i="2"/>
  <c r="L60" i="2"/>
  <c r="R60" i="2" s="1"/>
  <c r="M60" i="2"/>
  <c r="G59" i="2"/>
  <c r="G89" i="2"/>
  <c r="J59" i="2"/>
  <c r="F59" i="2"/>
  <c r="E59" i="2"/>
  <c r="E89" i="2" s="1"/>
  <c r="D59" i="2"/>
  <c r="F57" i="2"/>
  <c r="R57" i="2" s="1"/>
  <c r="Y57" i="2" s="1"/>
  <c r="F56" i="2"/>
  <c r="R56" i="2"/>
  <c r="Y56" i="2" s="1"/>
  <c r="F55" i="2"/>
  <c r="D55" i="2"/>
  <c r="R55" i="2" s="1"/>
  <c r="Y55" i="2" s="1"/>
  <c r="F51" i="2"/>
  <c r="L51" i="2"/>
  <c r="J49" i="2"/>
  <c r="F47" i="2"/>
  <c r="F49" i="4"/>
  <c r="R49" i="4" s="1"/>
  <c r="Y49" i="4" s="1"/>
  <c r="F48" i="4"/>
  <c r="R48" i="4"/>
  <c r="Y48" i="4" s="1"/>
  <c r="L47" i="4"/>
  <c r="F47" i="4"/>
  <c r="M46" i="4"/>
  <c r="M52" i="4" s="1"/>
  <c r="L46" i="4"/>
  <c r="F46" i="4"/>
  <c r="F43" i="4"/>
  <c r="E41" i="4"/>
  <c r="E52" i="4"/>
  <c r="D41" i="4"/>
  <c r="R41" i="4"/>
  <c r="Y41" i="4" s="1"/>
  <c r="F40" i="4"/>
  <c r="R40" i="4" s="1"/>
  <c r="L21" i="2"/>
  <c r="L41" i="2" s="1"/>
  <c r="K21" i="2"/>
  <c r="M21" i="2"/>
  <c r="M41" i="2"/>
  <c r="M42" i="2" s="1"/>
  <c r="M90" i="2" s="1"/>
  <c r="M91" i="2" s="1"/>
  <c r="M178" i="2" s="1"/>
  <c r="M179" i="2" s="1"/>
  <c r="Z21" i="2"/>
  <c r="G23" i="2"/>
  <c r="G41" i="2" s="1"/>
  <c r="G42" i="2" s="1"/>
  <c r="G90" i="2" s="1"/>
  <c r="G91" i="2" s="1"/>
  <c r="G178" i="2" s="1"/>
  <c r="G179" i="2" s="1"/>
  <c r="G302" i="2" s="1"/>
  <c r="G303" i="2" s="1"/>
  <c r="G385" i="2" s="1"/>
  <c r="G386" i="2" s="1"/>
  <c r="G444" i="2" s="1"/>
  <c r="F23" i="2"/>
  <c r="K22" i="2"/>
  <c r="R22" i="2"/>
  <c r="Y22" i="2" s="1"/>
  <c r="F22" i="2"/>
  <c r="Z20" i="2"/>
  <c r="Z41" i="2"/>
  <c r="K20" i="2"/>
  <c r="R20" i="2" s="1"/>
  <c r="Y20" i="2" s="1"/>
  <c r="D19" i="2"/>
  <c r="D41" i="2"/>
  <c r="H17" i="1"/>
  <c r="K17" i="1"/>
  <c r="K21" i="1" s="1"/>
  <c r="F19" i="2"/>
  <c r="K19" i="2"/>
  <c r="R19" i="2" s="1"/>
  <c r="Y19" i="2" s="1"/>
  <c r="J19" i="2"/>
  <c r="J41" i="2"/>
  <c r="E19" i="2"/>
  <c r="E41" i="2"/>
  <c r="E42" i="2" s="1"/>
  <c r="E90" i="2" s="1"/>
  <c r="E91" i="2" s="1"/>
  <c r="E178" i="2" s="1"/>
  <c r="E179" i="2" s="1"/>
  <c r="F18" i="2"/>
  <c r="L18" i="2"/>
  <c r="K18" i="2"/>
  <c r="K41" i="2" s="1"/>
  <c r="K42" i="2" s="1"/>
  <c r="U89" i="2"/>
  <c r="V89" i="2"/>
  <c r="U41" i="2"/>
  <c r="V41" i="2"/>
  <c r="V42" i="2" s="1"/>
  <c r="V90" i="2" s="1"/>
  <c r="V91" i="2" s="1"/>
  <c r="V178" i="2" s="1"/>
  <c r="V179" i="2" s="1"/>
  <c r="V302" i="2" s="1"/>
  <c r="V303" i="2" s="1"/>
  <c r="V385" i="2" s="1"/>
  <c r="V386" i="2" s="1"/>
  <c r="V444" i="2" s="1"/>
  <c r="U17" i="2"/>
  <c r="U42" i="2" s="1"/>
  <c r="U90" i="2" s="1"/>
  <c r="U91" i="2" s="1"/>
  <c r="U178" i="2" s="1"/>
  <c r="U179" i="2" s="1"/>
  <c r="U302" i="2" s="1"/>
  <c r="U303" i="2" s="1"/>
  <c r="U385" i="2" s="1"/>
  <c r="U386" i="2" s="1"/>
  <c r="U444" i="2" s="1"/>
  <c r="V17" i="2"/>
  <c r="J213" i="4"/>
  <c r="J229" i="4"/>
  <c r="J232" i="4" s="1"/>
  <c r="T229" i="4"/>
  <c r="U229" i="4"/>
  <c r="T213" i="4"/>
  <c r="U213" i="4"/>
  <c r="U232" i="4" s="1"/>
  <c r="T190" i="4"/>
  <c r="U190" i="4"/>
  <c r="T177" i="4"/>
  <c r="U177" i="4"/>
  <c r="X177" i="4" s="1"/>
  <c r="T167" i="4"/>
  <c r="T180" i="4"/>
  <c r="U167" i="4"/>
  <c r="T154" i="4"/>
  <c r="X154" i="4" s="1"/>
  <c r="U154" i="4"/>
  <c r="T144" i="4"/>
  <c r="U144" i="4"/>
  <c r="T52" i="4"/>
  <c r="U52" i="4"/>
  <c r="T60" i="4"/>
  <c r="U60" i="4"/>
  <c r="X60" i="4" s="1"/>
  <c r="T83" i="4"/>
  <c r="U83" i="4"/>
  <c r="T101" i="4"/>
  <c r="U101" i="4"/>
  <c r="T117" i="4"/>
  <c r="U117" i="4"/>
  <c r="T133" i="4"/>
  <c r="U133" i="4"/>
  <c r="T31" i="4"/>
  <c r="X31" i="4" s="1"/>
  <c r="U31" i="4"/>
  <c r="U34" i="4" s="1"/>
  <c r="T25" i="4"/>
  <c r="U25" i="4"/>
  <c r="T17" i="4"/>
  <c r="U17" i="4"/>
  <c r="U276" i="2"/>
  <c r="V276" i="2"/>
  <c r="U177" i="2"/>
  <c r="V177" i="2"/>
  <c r="U168" i="2"/>
  <c r="U384" i="2"/>
  <c r="X384" i="2" s="1"/>
  <c r="V384" i="2"/>
  <c r="X24" i="3"/>
  <c r="X32" i="3" s="1"/>
  <c r="W149" i="3"/>
  <c r="W129" i="3"/>
  <c r="W15" i="3"/>
  <c r="U180" i="3"/>
  <c r="W180" i="3" s="1"/>
  <c r="U179" i="3"/>
  <c r="U178" i="3"/>
  <c r="U177" i="3"/>
  <c r="U173" i="3"/>
  <c r="U172" i="3"/>
  <c r="U171" i="3"/>
  <c r="W171" i="3" s="1"/>
  <c r="U170" i="3"/>
  <c r="U169" i="3"/>
  <c r="U168" i="3"/>
  <c r="U167" i="3"/>
  <c r="U166" i="3"/>
  <c r="W166" i="3" s="1"/>
  <c r="U165" i="3"/>
  <c r="U164" i="3"/>
  <c r="U163" i="3"/>
  <c r="U162" i="3"/>
  <c r="U161" i="3"/>
  <c r="U160" i="3"/>
  <c r="U159" i="3"/>
  <c r="W159" i="3"/>
  <c r="U158" i="3"/>
  <c r="U157" i="3"/>
  <c r="U156" i="3"/>
  <c r="W156" i="3" s="1"/>
  <c r="U152" i="3"/>
  <c r="U148" i="3"/>
  <c r="U147" i="3"/>
  <c r="U146" i="3"/>
  <c r="U150" i="3"/>
  <c r="U145" i="3"/>
  <c r="U144" i="3"/>
  <c r="U143" i="3"/>
  <c r="W143" i="3"/>
  <c r="U142" i="3"/>
  <c r="U135" i="3"/>
  <c r="U133" i="3"/>
  <c r="U137" i="3" s="1"/>
  <c r="W133" i="3"/>
  <c r="U128" i="3"/>
  <c r="U127" i="3"/>
  <c r="U126" i="3"/>
  <c r="U131" i="3" s="1"/>
  <c r="U140" i="3" s="1"/>
  <c r="W126" i="3"/>
  <c r="U125" i="3"/>
  <c r="U124" i="3"/>
  <c r="W124" i="3" s="1"/>
  <c r="U115" i="3"/>
  <c r="U114" i="3"/>
  <c r="U113" i="3"/>
  <c r="U112" i="3"/>
  <c r="U117" i="3" s="1"/>
  <c r="U107" i="3"/>
  <c r="U106" i="3"/>
  <c r="U105" i="3"/>
  <c r="W105" i="3" s="1"/>
  <c r="U104" i="3"/>
  <c r="U110" i="3" s="1"/>
  <c r="U103" i="3"/>
  <c r="U92" i="3"/>
  <c r="U97" i="3" s="1"/>
  <c r="U91" i="3"/>
  <c r="U90" i="3"/>
  <c r="U82" i="3"/>
  <c r="U81" i="3"/>
  <c r="U80" i="3"/>
  <c r="U75" i="3"/>
  <c r="W75" i="3"/>
  <c r="U69" i="3"/>
  <c r="U68" i="3"/>
  <c r="W68" i="3" s="1"/>
  <c r="U67" i="3"/>
  <c r="U73" i="3" s="1"/>
  <c r="U61" i="3"/>
  <c r="U60" i="3"/>
  <c r="U59" i="3"/>
  <c r="U58" i="3"/>
  <c r="W58" i="3" s="1"/>
  <c r="U57" i="3"/>
  <c r="U56" i="3"/>
  <c r="U55" i="3"/>
  <c r="U54" i="3"/>
  <c r="U53" i="3"/>
  <c r="U52" i="3"/>
  <c r="U51" i="3"/>
  <c r="W51" i="3"/>
  <c r="U50" i="3"/>
  <c r="U49" i="3"/>
  <c r="U48" i="3"/>
  <c r="U47" i="3"/>
  <c r="U46" i="3"/>
  <c r="U45" i="3"/>
  <c r="U44" i="3"/>
  <c r="W44" i="3" s="1"/>
  <c r="U43" i="3"/>
  <c r="U42" i="3"/>
  <c r="U37" i="3"/>
  <c r="U28" i="3"/>
  <c r="W28" i="3"/>
  <c r="U27" i="3"/>
  <c r="U26" i="3"/>
  <c r="U22" i="3"/>
  <c r="U21" i="3"/>
  <c r="U20" i="3"/>
  <c r="U19" i="3"/>
  <c r="U18" i="3"/>
  <c r="U17" i="3"/>
  <c r="O17" i="3"/>
  <c r="Q16" i="3"/>
  <c r="Q33" i="3" s="1"/>
  <c r="Q39" i="3" s="1"/>
  <c r="Q40" i="3" s="1"/>
  <c r="R16" i="3"/>
  <c r="S16" i="3"/>
  <c r="S33" i="3" s="1"/>
  <c r="S39" i="3" s="1"/>
  <c r="U14" i="3"/>
  <c r="U16" i="3"/>
  <c r="O180" i="3"/>
  <c r="O179" i="3"/>
  <c r="W179" i="3" s="1"/>
  <c r="O178" i="3"/>
  <c r="W178" i="3"/>
  <c r="O177" i="3"/>
  <c r="O173" i="3"/>
  <c r="W173" i="3"/>
  <c r="O172" i="3"/>
  <c r="W172" i="3" s="1"/>
  <c r="O171" i="3"/>
  <c r="O170" i="3"/>
  <c r="W170" i="3" s="1"/>
  <c r="O169" i="3"/>
  <c r="W169" i="3"/>
  <c r="O168" i="3"/>
  <c r="W168" i="3" s="1"/>
  <c r="O167" i="3"/>
  <c r="W167" i="3"/>
  <c r="O166" i="3"/>
  <c r="O165" i="3"/>
  <c r="W165" i="3"/>
  <c r="O164" i="3"/>
  <c r="O163" i="3"/>
  <c r="W163" i="3" s="1"/>
  <c r="O162" i="3"/>
  <c r="O161" i="3"/>
  <c r="W161" i="3" s="1"/>
  <c r="O160" i="3"/>
  <c r="W160" i="3" s="1"/>
  <c r="O159" i="3"/>
  <c r="O158" i="3"/>
  <c r="W158" i="3" s="1"/>
  <c r="O157" i="3"/>
  <c r="O156" i="3"/>
  <c r="O152" i="3"/>
  <c r="W152" i="3" s="1"/>
  <c r="O148" i="3"/>
  <c r="O147" i="3"/>
  <c r="W147" i="3"/>
  <c r="O146" i="3"/>
  <c r="W146" i="3" s="1"/>
  <c r="O145" i="3"/>
  <c r="O144" i="3"/>
  <c r="W144" i="3" s="1"/>
  <c r="O143" i="3"/>
  <c r="O142" i="3"/>
  <c r="W142" i="3"/>
  <c r="O132" i="3"/>
  <c r="O128" i="3"/>
  <c r="W128" i="3" s="1"/>
  <c r="O127" i="3"/>
  <c r="W127" i="3" s="1"/>
  <c r="O126" i="3"/>
  <c r="O125" i="3"/>
  <c r="O124" i="3"/>
  <c r="O115" i="3"/>
  <c r="W115" i="3" s="1"/>
  <c r="O114" i="3"/>
  <c r="O113" i="3"/>
  <c r="O107" i="3"/>
  <c r="W107" i="3" s="1"/>
  <c r="O106" i="3"/>
  <c r="W106" i="3" s="1"/>
  <c r="O105" i="3"/>
  <c r="O104" i="3"/>
  <c r="O110" i="3" s="1"/>
  <c r="W104" i="3"/>
  <c r="O103" i="3"/>
  <c r="O90" i="3"/>
  <c r="W90" i="3" s="1"/>
  <c r="O82" i="3"/>
  <c r="O88" i="3" s="1"/>
  <c r="W82" i="3"/>
  <c r="O81" i="3"/>
  <c r="O80" i="3"/>
  <c r="W80" i="3"/>
  <c r="O75" i="3"/>
  <c r="O69" i="3"/>
  <c r="W69" i="3"/>
  <c r="O68" i="3"/>
  <c r="O62" i="3"/>
  <c r="O61" i="3"/>
  <c r="W61" i="3"/>
  <c r="O60" i="3"/>
  <c r="W60" i="3"/>
  <c r="O59" i="3"/>
  <c r="W59" i="3"/>
  <c r="O58" i="3"/>
  <c r="O57" i="3"/>
  <c r="W57" i="3" s="1"/>
  <c r="O56" i="3"/>
  <c r="W56" i="3" s="1"/>
  <c r="O55" i="3"/>
  <c r="W55" i="3" s="1"/>
  <c r="O54" i="3"/>
  <c r="O53" i="3"/>
  <c r="W53" i="3"/>
  <c r="O52" i="3"/>
  <c r="W52" i="3" s="1"/>
  <c r="O51" i="3"/>
  <c r="O50" i="3"/>
  <c r="W50" i="3" s="1"/>
  <c r="O49" i="3"/>
  <c r="W49" i="3" s="1"/>
  <c r="O48" i="3"/>
  <c r="W48" i="3"/>
  <c r="O47" i="3"/>
  <c r="O46" i="3"/>
  <c r="W46" i="3"/>
  <c r="O45" i="3"/>
  <c r="W45" i="3" s="1"/>
  <c r="O44" i="3"/>
  <c r="O43" i="3"/>
  <c r="W43" i="3" s="1"/>
  <c r="O42" i="3"/>
  <c r="O37" i="3"/>
  <c r="W37" i="3" s="1"/>
  <c r="O35" i="3"/>
  <c r="W35" i="3" s="1"/>
  <c r="O28" i="3"/>
  <c r="O27" i="3"/>
  <c r="W27" i="3" s="1"/>
  <c r="O26" i="3"/>
  <c r="W26" i="3" s="1"/>
  <c r="O22" i="3"/>
  <c r="O21" i="3"/>
  <c r="W21" i="3" s="1"/>
  <c r="O20" i="3"/>
  <c r="O19" i="3"/>
  <c r="W19" i="3" s="1"/>
  <c r="O18" i="3"/>
  <c r="O14" i="3"/>
  <c r="O16" i="3"/>
  <c r="U135" i="1"/>
  <c r="U150" i="1"/>
  <c r="U149" i="1"/>
  <c r="W149" i="1" s="1"/>
  <c r="U148" i="1"/>
  <c r="U147" i="1"/>
  <c r="U146" i="1"/>
  <c r="U145" i="1"/>
  <c r="U144" i="1"/>
  <c r="U143" i="1"/>
  <c r="W143" i="1" s="1"/>
  <c r="U142" i="1"/>
  <c r="U141" i="1"/>
  <c r="U140" i="1"/>
  <c r="U139" i="1"/>
  <c r="U138" i="1"/>
  <c r="W138" i="1" s="1"/>
  <c r="U137" i="1"/>
  <c r="U136" i="1"/>
  <c r="U134" i="1"/>
  <c r="W134" i="1" s="1"/>
  <c r="U133" i="1"/>
  <c r="U132" i="1"/>
  <c r="U131" i="1"/>
  <c r="U130" i="1"/>
  <c r="U129" i="1"/>
  <c r="U128" i="1"/>
  <c r="U127" i="1"/>
  <c r="U126" i="1"/>
  <c r="U123" i="1"/>
  <c r="U119" i="1"/>
  <c r="U115" i="1"/>
  <c r="U114" i="1"/>
  <c r="U113" i="1"/>
  <c r="W113" i="1" s="1"/>
  <c r="U112" i="1"/>
  <c r="U111" i="1"/>
  <c r="U110" i="1"/>
  <c r="U109" i="1"/>
  <c r="U108" i="1"/>
  <c r="U107" i="1"/>
  <c r="U106" i="1"/>
  <c r="U105" i="1"/>
  <c r="U104" i="1"/>
  <c r="U101" i="1"/>
  <c r="U78" i="1"/>
  <c r="U96" i="1"/>
  <c r="U95" i="1"/>
  <c r="U94" i="1"/>
  <c r="U93" i="1"/>
  <c r="U92" i="1"/>
  <c r="U91" i="1"/>
  <c r="U90" i="1"/>
  <c r="W90" i="1" s="1"/>
  <c r="U89" i="1"/>
  <c r="U85" i="1"/>
  <c r="U86" i="1"/>
  <c r="U84" i="1"/>
  <c r="U82" i="1"/>
  <c r="U81" i="1"/>
  <c r="U80" i="1"/>
  <c r="U79" i="1"/>
  <c r="U77" i="1"/>
  <c r="U76" i="1"/>
  <c r="U72" i="1"/>
  <c r="U71" i="1"/>
  <c r="U70" i="1"/>
  <c r="U69" i="1"/>
  <c r="U68" i="1"/>
  <c r="U67" i="1"/>
  <c r="U66" i="1"/>
  <c r="U65" i="1"/>
  <c r="U64" i="1"/>
  <c r="U63" i="1"/>
  <c r="U62" i="1"/>
  <c r="U59" i="1"/>
  <c r="U58" i="1"/>
  <c r="U57" i="1"/>
  <c r="U56" i="1"/>
  <c r="U55" i="1"/>
  <c r="U54" i="1"/>
  <c r="U53" i="1"/>
  <c r="U52" i="1"/>
  <c r="U51" i="1"/>
  <c r="U50" i="1"/>
  <c r="U49" i="1"/>
  <c r="U48" i="1"/>
  <c r="W48" i="1" s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26" i="1"/>
  <c r="U19" i="1"/>
  <c r="U18" i="1"/>
  <c r="U17" i="1"/>
  <c r="U21" i="1" s="1"/>
  <c r="O108" i="1"/>
  <c r="W108" i="1" s="1"/>
  <c r="O109" i="1"/>
  <c r="O110" i="1"/>
  <c r="W110" i="1" s="1"/>
  <c r="O111" i="1"/>
  <c r="O150" i="1"/>
  <c r="O148" i="1"/>
  <c r="O147" i="1"/>
  <c r="W147" i="1"/>
  <c r="O146" i="1"/>
  <c r="O145" i="1"/>
  <c r="O144" i="1"/>
  <c r="W144" i="1"/>
  <c r="O143" i="1"/>
  <c r="O142" i="1"/>
  <c r="W142" i="1"/>
  <c r="O141" i="1"/>
  <c r="O140" i="1"/>
  <c r="W140" i="1"/>
  <c r="O139" i="1"/>
  <c r="W139" i="1" s="1"/>
  <c r="O138" i="1"/>
  <c r="O137" i="1"/>
  <c r="O136" i="1"/>
  <c r="W136" i="1" s="1"/>
  <c r="O135" i="1"/>
  <c r="W135" i="1" s="1"/>
  <c r="O134" i="1"/>
  <c r="O133" i="1"/>
  <c r="O132" i="1"/>
  <c r="O131" i="1"/>
  <c r="O130" i="1"/>
  <c r="W130" i="1"/>
  <c r="O129" i="1"/>
  <c r="O128" i="1"/>
  <c r="O127" i="1"/>
  <c r="W127" i="1"/>
  <c r="O126" i="1"/>
  <c r="O123" i="1"/>
  <c r="O119" i="1"/>
  <c r="O115" i="1"/>
  <c r="W115" i="1" s="1"/>
  <c r="O114" i="1"/>
  <c r="O113" i="1"/>
  <c r="O112" i="1"/>
  <c r="W112" i="1" s="1"/>
  <c r="O107" i="1"/>
  <c r="W107" i="1" s="1"/>
  <c r="O106" i="1"/>
  <c r="O105" i="1"/>
  <c r="O104" i="1"/>
  <c r="O72" i="1"/>
  <c r="O71" i="1"/>
  <c r="W71" i="1" s="1"/>
  <c r="O70" i="1"/>
  <c r="O69" i="1"/>
  <c r="O68" i="1"/>
  <c r="W68" i="1" s="1"/>
  <c r="O67" i="1"/>
  <c r="O66" i="1"/>
  <c r="O65" i="1"/>
  <c r="O64" i="1"/>
  <c r="W64" i="1" s="1"/>
  <c r="O63" i="1"/>
  <c r="W63" i="1" s="1"/>
  <c r="O62" i="1"/>
  <c r="O59" i="1"/>
  <c r="W59" i="1" s="1"/>
  <c r="O58" i="1"/>
  <c r="W58" i="1" s="1"/>
  <c r="O57" i="1"/>
  <c r="O56" i="1"/>
  <c r="O55" i="1"/>
  <c r="W55" i="1" s="1"/>
  <c r="O54" i="1"/>
  <c r="W54" i="1" s="1"/>
  <c r="O53" i="1"/>
  <c r="W53" i="1" s="1"/>
  <c r="O52" i="1"/>
  <c r="O51" i="1"/>
  <c r="W51" i="1" s="1"/>
  <c r="O50" i="1"/>
  <c r="O49" i="1"/>
  <c r="W49" i="1" s="1"/>
  <c r="O48" i="1"/>
  <c r="O47" i="1"/>
  <c r="O46" i="1"/>
  <c r="W46" i="1" s="1"/>
  <c r="O45" i="1"/>
  <c r="O44" i="1"/>
  <c r="O43" i="1"/>
  <c r="O42" i="1"/>
  <c r="W42" i="1" s="1"/>
  <c r="O41" i="1"/>
  <c r="O40" i="1"/>
  <c r="O39" i="1"/>
  <c r="O38" i="1"/>
  <c r="O37" i="1"/>
  <c r="O36" i="1"/>
  <c r="O35" i="1"/>
  <c r="O34" i="1"/>
  <c r="W34" i="1" s="1"/>
  <c r="O19" i="1"/>
  <c r="O18" i="1"/>
  <c r="W18" i="1"/>
  <c r="W116" i="1"/>
  <c r="W60" i="1"/>
  <c r="W20" i="1"/>
  <c r="W15" i="1"/>
  <c r="U14" i="1"/>
  <c r="O14" i="1"/>
  <c r="D182" i="3"/>
  <c r="F182" i="3"/>
  <c r="F185" i="3" s="1"/>
  <c r="G182" i="3"/>
  <c r="X182" i="3"/>
  <c r="D229" i="4"/>
  <c r="D213" i="4"/>
  <c r="F175" i="3"/>
  <c r="N213" i="4"/>
  <c r="N232" i="4" s="1"/>
  <c r="E213" i="4"/>
  <c r="H384" i="2"/>
  <c r="O213" i="4"/>
  <c r="S152" i="1"/>
  <c r="L117" i="1"/>
  <c r="E117" i="1"/>
  <c r="Y16" i="2"/>
  <c r="M117" i="1"/>
  <c r="I117" i="1"/>
  <c r="J117" i="1"/>
  <c r="G117" i="1"/>
  <c r="F190" i="4"/>
  <c r="O167" i="4"/>
  <c r="F167" i="4"/>
  <c r="D167" i="4"/>
  <c r="W177" i="4"/>
  <c r="V177" i="4"/>
  <c r="Q177" i="4"/>
  <c r="P177" i="4"/>
  <c r="M177" i="4"/>
  <c r="L177" i="4"/>
  <c r="K177" i="4"/>
  <c r="J177" i="4"/>
  <c r="I177" i="4"/>
  <c r="H177" i="4"/>
  <c r="G177" i="4"/>
  <c r="O177" i="4"/>
  <c r="W167" i="4"/>
  <c r="W180" i="4" s="1"/>
  <c r="V167" i="4"/>
  <c r="Q167" i="4"/>
  <c r="Q180" i="4"/>
  <c r="P167" i="4"/>
  <c r="P180" i="4"/>
  <c r="N167" i="4"/>
  <c r="N180" i="4"/>
  <c r="M167" i="4"/>
  <c r="L167" i="4"/>
  <c r="K167" i="4"/>
  <c r="K180" i="4"/>
  <c r="J167" i="4"/>
  <c r="I167" i="4"/>
  <c r="I180" i="4"/>
  <c r="H167" i="4"/>
  <c r="H180" i="4" s="1"/>
  <c r="G167" i="4"/>
  <c r="G180" i="4"/>
  <c r="X137" i="3"/>
  <c r="T137" i="3"/>
  <c r="S137" i="3"/>
  <c r="S140" i="3" s="1"/>
  <c r="R137" i="3"/>
  <c r="Q137" i="3"/>
  <c r="Q140" i="3"/>
  <c r="N137" i="3"/>
  <c r="M137" i="3"/>
  <c r="L137" i="3"/>
  <c r="K137" i="3"/>
  <c r="K140" i="3"/>
  <c r="J137" i="3"/>
  <c r="I137" i="3"/>
  <c r="I140" i="3" s="1"/>
  <c r="F137" i="3"/>
  <c r="F140" i="3" s="1"/>
  <c r="D137" i="3"/>
  <c r="E137" i="3"/>
  <c r="T131" i="3"/>
  <c r="T140" i="3" s="1"/>
  <c r="S131" i="3"/>
  <c r="R131" i="3"/>
  <c r="R140" i="3" s="1"/>
  <c r="Q131" i="3"/>
  <c r="N131" i="3"/>
  <c r="N140" i="3" s="1"/>
  <c r="M131" i="3"/>
  <c r="M140" i="3"/>
  <c r="L131" i="3"/>
  <c r="L140" i="3" s="1"/>
  <c r="K131" i="3"/>
  <c r="J131" i="3"/>
  <c r="J140" i="3" s="1"/>
  <c r="I131" i="3"/>
  <c r="H131" i="3"/>
  <c r="G131" i="3"/>
  <c r="F131" i="3"/>
  <c r="E131" i="3"/>
  <c r="E140" i="3"/>
  <c r="D131" i="3"/>
  <c r="X117" i="3"/>
  <c r="G117" i="3"/>
  <c r="E117" i="3"/>
  <c r="D117" i="3"/>
  <c r="D17" i="2"/>
  <c r="D42" i="2" s="1"/>
  <c r="D177" i="2"/>
  <c r="E17" i="2"/>
  <c r="E177" i="2"/>
  <c r="F17" i="2"/>
  <c r="F177" i="2"/>
  <c r="G17" i="2"/>
  <c r="G177" i="2"/>
  <c r="H17" i="2"/>
  <c r="H42" i="2" s="1"/>
  <c r="H90" i="2" s="1"/>
  <c r="H91" i="2" s="1"/>
  <c r="H178" i="2" s="1"/>
  <c r="H179" i="2" s="1"/>
  <c r="H302" i="2" s="1"/>
  <c r="H303" i="2" s="1"/>
  <c r="H385" i="2" s="1"/>
  <c r="H386" i="2" s="1"/>
  <c r="H444" i="2" s="1"/>
  <c r="H41" i="2"/>
  <c r="H89" i="2"/>
  <c r="H177" i="2"/>
  <c r="I17" i="2"/>
  <c r="I41" i="2"/>
  <c r="I89" i="2"/>
  <c r="I177" i="2"/>
  <c r="J17" i="2"/>
  <c r="J177" i="2"/>
  <c r="K17" i="2"/>
  <c r="K177" i="2"/>
  <c r="L17" i="2"/>
  <c r="L177" i="2"/>
  <c r="M17" i="2"/>
  <c r="M177" i="2"/>
  <c r="N17" i="2"/>
  <c r="N41" i="2"/>
  <c r="N168" i="2"/>
  <c r="N177" i="2"/>
  <c r="O17" i="2"/>
  <c r="O41" i="2"/>
  <c r="O177" i="2"/>
  <c r="P17" i="2"/>
  <c r="P41" i="2"/>
  <c r="P42" i="2"/>
  <c r="P90" i="2" s="1"/>
  <c r="P91" i="2" s="1"/>
  <c r="P178" i="2" s="1"/>
  <c r="P179" i="2" s="1"/>
  <c r="P302" i="2" s="1"/>
  <c r="P303" i="2" s="1"/>
  <c r="P385" i="2" s="1"/>
  <c r="P386" i="2" s="1"/>
  <c r="P444" i="2" s="1"/>
  <c r="P89" i="2"/>
  <c r="P168" i="2"/>
  <c r="P177" i="2"/>
  <c r="P276" i="2"/>
  <c r="Q17" i="2"/>
  <c r="Q42" i="2"/>
  <c r="Q90" i="2"/>
  <c r="Q91" i="2"/>
  <c r="Q41" i="2"/>
  <c r="Q89" i="2"/>
  <c r="Q177" i="2"/>
  <c r="T17" i="2"/>
  <c r="T42" i="2" s="1"/>
  <c r="T41" i="2"/>
  <c r="T89" i="2"/>
  <c r="X89" i="2" s="1"/>
  <c r="T177" i="2"/>
  <c r="X177" i="2" s="1"/>
  <c r="W17" i="2"/>
  <c r="W42" i="2"/>
  <c r="W90" i="2"/>
  <c r="W91" i="2"/>
  <c r="W178" i="2" s="1"/>
  <c r="W179" i="2" s="1"/>
  <c r="W302" i="2" s="1"/>
  <c r="W303" i="2" s="1"/>
  <c r="W385" i="2" s="1"/>
  <c r="W386" i="2" s="1"/>
  <c r="W444" i="2" s="1"/>
  <c r="W41" i="2"/>
  <c r="W89" i="2"/>
  <c r="W168" i="2"/>
  <c r="W177" i="2"/>
  <c r="W276" i="2"/>
  <c r="Z17" i="2"/>
  <c r="Z42" i="2" s="1"/>
  <c r="Z90" i="2" s="1"/>
  <c r="Z91" i="2" s="1"/>
  <c r="Z178" i="2" s="1"/>
  <c r="Z179" i="2" s="1"/>
  <c r="Z302" i="2" s="1"/>
  <c r="Z303" i="2" s="1"/>
  <c r="Z89" i="2"/>
  <c r="Z177" i="2"/>
  <c r="F144" i="4"/>
  <c r="F157" i="4"/>
  <c r="F110" i="3"/>
  <c r="O154" i="4"/>
  <c r="Q17" i="4"/>
  <c r="Q35" i="4" s="1"/>
  <c r="Q62" i="4" s="1"/>
  <c r="Q63" i="4" s="1"/>
  <c r="Q25" i="4"/>
  <c r="Q34" i="4"/>
  <c r="Q31" i="4"/>
  <c r="Q52" i="4"/>
  <c r="Q60" i="4"/>
  <c r="Q83" i="4"/>
  <c r="Q101" i="4"/>
  <c r="Q117" i="4"/>
  <c r="Q133" i="4"/>
  <c r="Q135" i="4" s="1"/>
  <c r="Q144" i="4"/>
  <c r="Q154" i="4"/>
  <c r="Q190" i="4"/>
  <c r="V17" i="4"/>
  <c r="V25" i="4"/>
  <c r="V34" i="4" s="1"/>
  <c r="V35" i="4" s="1"/>
  <c r="V62" i="4" s="1"/>
  <c r="V63" i="4" s="1"/>
  <c r="V31" i="4"/>
  <c r="V52" i="4"/>
  <c r="V60" i="4"/>
  <c r="V83" i="4"/>
  <c r="X83" i="4"/>
  <c r="V101" i="4"/>
  <c r="V105" i="4" s="1"/>
  <c r="V117" i="4"/>
  <c r="V133" i="4"/>
  <c r="V144" i="4"/>
  <c r="V154" i="4"/>
  <c r="V190" i="4"/>
  <c r="W17" i="4"/>
  <c r="W25" i="4"/>
  <c r="W31" i="4"/>
  <c r="W52" i="4"/>
  <c r="W60" i="4"/>
  <c r="W83" i="4"/>
  <c r="W101" i="4"/>
  <c r="W105" i="4" s="1"/>
  <c r="W117" i="4"/>
  <c r="W133" i="4"/>
  <c r="W144" i="4"/>
  <c r="W154" i="4"/>
  <c r="W157" i="4" s="1"/>
  <c r="W190" i="4"/>
  <c r="D17" i="4"/>
  <c r="D25" i="4"/>
  <c r="D34" i="4" s="1"/>
  <c r="D31" i="4"/>
  <c r="E17" i="4"/>
  <c r="E25" i="4"/>
  <c r="E34" i="4" s="1"/>
  <c r="E31" i="4"/>
  <c r="E60" i="4"/>
  <c r="F17" i="4"/>
  <c r="F25" i="4"/>
  <c r="F31" i="4"/>
  <c r="R31" i="4" s="1"/>
  <c r="G17" i="4"/>
  <c r="G25" i="4"/>
  <c r="G31" i="4"/>
  <c r="G34" i="4"/>
  <c r="G52" i="4"/>
  <c r="G60" i="4"/>
  <c r="G83" i="4"/>
  <c r="G101" i="4"/>
  <c r="G105" i="4" s="1"/>
  <c r="H17" i="4"/>
  <c r="H25" i="4"/>
  <c r="H34" i="4"/>
  <c r="H35" i="4" s="1"/>
  <c r="H31" i="4"/>
  <c r="H52" i="4"/>
  <c r="H60" i="4"/>
  <c r="H83" i="4"/>
  <c r="H105" i="4" s="1"/>
  <c r="H101" i="4"/>
  <c r="I17" i="4"/>
  <c r="I25" i="4"/>
  <c r="I31" i="4"/>
  <c r="I52" i="4"/>
  <c r="I60" i="4"/>
  <c r="I83" i="4"/>
  <c r="J17" i="4"/>
  <c r="J34" i="4"/>
  <c r="J35" i="4" s="1"/>
  <c r="J60" i="4"/>
  <c r="J83" i="4"/>
  <c r="K17" i="4"/>
  <c r="K25" i="4"/>
  <c r="K35" i="4"/>
  <c r="K62" i="4" s="1"/>
  <c r="K63" i="4" s="1"/>
  <c r="K106" i="4" s="1"/>
  <c r="K107" i="4" s="1"/>
  <c r="K136" i="4" s="1"/>
  <c r="K137" i="4" s="1"/>
  <c r="K158" i="4" s="1"/>
  <c r="K159" i="4" s="1"/>
  <c r="K181" i="4" s="1"/>
  <c r="K194" i="4" s="1"/>
  <c r="K195" i="4" s="1"/>
  <c r="K31" i="4"/>
  <c r="K34" i="4" s="1"/>
  <c r="K52" i="4"/>
  <c r="K60" i="4"/>
  <c r="K83" i="4"/>
  <c r="K101" i="4"/>
  <c r="L17" i="4"/>
  <c r="L25" i="4"/>
  <c r="L34" i="4" s="1"/>
  <c r="L35" i="4" s="1"/>
  <c r="L62" i="4" s="1"/>
  <c r="L63" i="4" s="1"/>
  <c r="L31" i="4"/>
  <c r="L60" i="4"/>
  <c r="L83" i="4"/>
  <c r="M17" i="4"/>
  <c r="M25" i="4"/>
  <c r="M34" i="4" s="1"/>
  <c r="M31" i="4"/>
  <c r="M60" i="4"/>
  <c r="M83" i="4"/>
  <c r="M105" i="4" s="1"/>
  <c r="N17" i="4"/>
  <c r="N25" i="4"/>
  <c r="N31" i="4"/>
  <c r="N52" i="4"/>
  <c r="N60" i="4"/>
  <c r="N83" i="4"/>
  <c r="N105" i="4" s="1"/>
  <c r="N101" i="4"/>
  <c r="O17" i="4"/>
  <c r="O35" i="4"/>
  <c r="O62" i="4"/>
  <c r="O63" i="4" s="1"/>
  <c r="O106" i="4" s="1"/>
  <c r="O107" i="4" s="1"/>
  <c r="O136" i="4" s="1"/>
  <c r="O137" i="4" s="1"/>
  <c r="O158" i="4" s="1"/>
  <c r="O159" i="4" s="1"/>
  <c r="O181" i="4" s="1"/>
  <c r="O194" i="4" s="1"/>
  <c r="O195" i="4" s="1"/>
  <c r="O233" i="4" s="1"/>
  <c r="O25" i="4"/>
  <c r="O31" i="4"/>
  <c r="O34" i="4" s="1"/>
  <c r="O52" i="4"/>
  <c r="O60" i="4"/>
  <c r="O83" i="4"/>
  <c r="O101" i="4"/>
  <c r="P17" i="4"/>
  <c r="P25" i="4"/>
  <c r="P31" i="4"/>
  <c r="P52" i="4"/>
  <c r="P60" i="4"/>
  <c r="P83" i="4"/>
  <c r="P101" i="4"/>
  <c r="G117" i="4"/>
  <c r="G135" i="4" s="1"/>
  <c r="G133" i="4"/>
  <c r="H117" i="4"/>
  <c r="H135" i="4"/>
  <c r="H133" i="4"/>
  <c r="I117" i="4"/>
  <c r="I133" i="4"/>
  <c r="J117" i="4"/>
  <c r="J135" i="4"/>
  <c r="J133" i="4"/>
  <c r="K117" i="4"/>
  <c r="K133" i="4"/>
  <c r="K135" i="4" s="1"/>
  <c r="L117" i="4"/>
  <c r="L133" i="4"/>
  <c r="L135" i="4" s="1"/>
  <c r="M117" i="4"/>
  <c r="M133" i="4"/>
  <c r="M135" i="4" s="1"/>
  <c r="N117" i="4"/>
  <c r="N135" i="4" s="1"/>
  <c r="N133" i="4"/>
  <c r="O117" i="4"/>
  <c r="O135" i="4"/>
  <c r="O133" i="4"/>
  <c r="P117" i="4"/>
  <c r="P133" i="4"/>
  <c r="P135" i="4" s="1"/>
  <c r="G144" i="4"/>
  <c r="H144" i="4"/>
  <c r="H157" i="4" s="1"/>
  <c r="I144" i="4"/>
  <c r="J144" i="4"/>
  <c r="K144" i="4"/>
  <c r="L144" i="4"/>
  <c r="M144" i="4"/>
  <c r="N144" i="4"/>
  <c r="O144" i="4"/>
  <c r="P144" i="4"/>
  <c r="P157" i="4" s="1"/>
  <c r="G154" i="4"/>
  <c r="H154" i="4"/>
  <c r="I154" i="4"/>
  <c r="J154" i="4"/>
  <c r="J157" i="4" s="1"/>
  <c r="K154" i="4"/>
  <c r="M154" i="4"/>
  <c r="P154" i="4"/>
  <c r="K190" i="4"/>
  <c r="L190" i="4"/>
  <c r="M190" i="4"/>
  <c r="N190" i="4"/>
  <c r="O190" i="4"/>
  <c r="P190" i="4"/>
  <c r="E190" i="4"/>
  <c r="G190" i="4"/>
  <c r="H190" i="4"/>
  <c r="I190" i="4"/>
  <c r="J190" i="4"/>
  <c r="D190" i="4"/>
  <c r="E16" i="3"/>
  <c r="E24" i="3"/>
  <c r="E32" i="3" s="1"/>
  <c r="E33" i="3"/>
  <c r="E39" i="3"/>
  <c r="E40" i="3" s="1"/>
  <c r="E30" i="3"/>
  <c r="E65" i="3"/>
  <c r="E73" i="3"/>
  <c r="E88" i="3"/>
  <c r="E100" i="3" s="1"/>
  <c r="F16" i="3"/>
  <c r="F24" i="3"/>
  <c r="F30" i="3"/>
  <c r="F65" i="3"/>
  <c r="F88" i="3"/>
  <c r="D16" i="3"/>
  <c r="D24" i="3"/>
  <c r="D32" i="3"/>
  <c r="D65" i="3"/>
  <c r="D73" i="3"/>
  <c r="D88" i="3"/>
  <c r="D100" i="3" s="1"/>
  <c r="D97" i="3"/>
  <c r="D110" i="3"/>
  <c r="D120" i="3"/>
  <c r="G16" i="3"/>
  <c r="G24" i="3"/>
  <c r="G32" i="3"/>
  <c r="G33" i="3"/>
  <c r="G39" i="3" s="1"/>
  <c r="G40" i="3" s="1"/>
  <c r="G30" i="3"/>
  <c r="G65" i="3"/>
  <c r="G77" i="3" s="1"/>
  <c r="G73" i="3"/>
  <c r="G88" i="3"/>
  <c r="G100" i="3" s="1"/>
  <c r="G97" i="3"/>
  <c r="G110" i="3"/>
  <c r="G120" i="3" s="1"/>
  <c r="H16" i="3"/>
  <c r="H24" i="3"/>
  <c r="H32" i="3" s="1"/>
  <c r="H30" i="3"/>
  <c r="H33" i="3"/>
  <c r="H39" i="3" s="1"/>
  <c r="H40" i="3" s="1"/>
  <c r="H65" i="3"/>
  <c r="H73" i="3"/>
  <c r="H77" i="3" s="1"/>
  <c r="H88" i="3"/>
  <c r="H110" i="3"/>
  <c r="H117" i="3"/>
  <c r="H120" i="3" s="1"/>
  <c r="I16" i="3"/>
  <c r="I24" i="3"/>
  <c r="I32" i="3"/>
  <c r="I33" i="3" s="1"/>
  <c r="I39" i="3" s="1"/>
  <c r="I40" i="3" s="1"/>
  <c r="I30" i="3"/>
  <c r="I65" i="3"/>
  <c r="I73" i="3"/>
  <c r="I88" i="3"/>
  <c r="I97" i="3"/>
  <c r="I110" i="3"/>
  <c r="I117" i="3"/>
  <c r="J16" i="3"/>
  <c r="J24" i="3"/>
  <c r="J30" i="3"/>
  <c r="J65" i="3"/>
  <c r="J77" i="3" s="1"/>
  <c r="J73" i="3"/>
  <c r="J88" i="3"/>
  <c r="J97" i="3"/>
  <c r="J100" i="3" s="1"/>
  <c r="J110" i="3"/>
  <c r="J120" i="3" s="1"/>
  <c r="J117" i="3"/>
  <c r="K16" i="3"/>
  <c r="K24" i="3"/>
  <c r="K32" i="3" s="1"/>
  <c r="K33" i="3" s="1"/>
  <c r="K39" i="3" s="1"/>
  <c r="K40" i="3" s="1"/>
  <c r="K30" i="3"/>
  <c r="K65" i="3"/>
  <c r="K73" i="3"/>
  <c r="K88" i="3"/>
  <c r="K100" i="3" s="1"/>
  <c r="K97" i="3"/>
  <c r="K110" i="3"/>
  <c r="K117" i="3"/>
  <c r="L16" i="3"/>
  <c r="L33" i="3" s="1"/>
  <c r="L39" i="3" s="1"/>
  <c r="L40" i="3" s="1"/>
  <c r="L24" i="3"/>
  <c r="L30" i="3"/>
  <c r="L32" i="3" s="1"/>
  <c r="L65" i="3"/>
  <c r="L73" i="3"/>
  <c r="L88" i="3"/>
  <c r="L100" i="3"/>
  <c r="L97" i="3"/>
  <c r="L110" i="3"/>
  <c r="L117" i="3"/>
  <c r="M16" i="3"/>
  <c r="M33" i="3" s="1"/>
  <c r="M24" i="3"/>
  <c r="M30" i="3"/>
  <c r="M65" i="3"/>
  <c r="M77" i="3"/>
  <c r="M73" i="3"/>
  <c r="M88" i="3"/>
  <c r="M97" i="3"/>
  <c r="M100" i="3" s="1"/>
  <c r="M110" i="3"/>
  <c r="M117" i="3"/>
  <c r="M120" i="3" s="1"/>
  <c r="N16" i="3"/>
  <c r="N24" i="3"/>
  <c r="N30" i="3"/>
  <c r="N65" i="3"/>
  <c r="N77" i="3" s="1"/>
  <c r="N73" i="3"/>
  <c r="N88" i="3"/>
  <c r="N97" i="3"/>
  <c r="N100" i="3"/>
  <c r="N110" i="3"/>
  <c r="Q32" i="3"/>
  <c r="Q65" i="3"/>
  <c r="Q77" i="3"/>
  <c r="Q73" i="3"/>
  <c r="Q88" i="3"/>
  <c r="Q100" i="3" s="1"/>
  <c r="Q97" i="3"/>
  <c r="Q110" i="3"/>
  <c r="Q120" i="3" s="1"/>
  <c r="Q117" i="3"/>
  <c r="R32" i="3"/>
  <c r="R33" i="3"/>
  <c r="R39" i="3" s="1"/>
  <c r="R40" i="3"/>
  <c r="R65" i="3"/>
  <c r="R73" i="3"/>
  <c r="R88" i="3"/>
  <c r="R97" i="3"/>
  <c r="R100" i="3" s="1"/>
  <c r="R110" i="3"/>
  <c r="R120" i="3" s="1"/>
  <c r="R117" i="3"/>
  <c r="S24" i="3"/>
  <c r="S32" i="3" s="1"/>
  <c r="S30" i="3"/>
  <c r="S65" i="3"/>
  <c r="S73" i="3"/>
  <c r="S88" i="3"/>
  <c r="S100" i="3" s="1"/>
  <c r="S97" i="3"/>
  <c r="S110" i="3"/>
  <c r="S120" i="3"/>
  <c r="S117" i="3"/>
  <c r="T16" i="3"/>
  <c r="T24" i="3"/>
  <c r="T30" i="3"/>
  <c r="T65" i="3"/>
  <c r="T77" i="3" s="1"/>
  <c r="T73" i="3"/>
  <c r="T88" i="3"/>
  <c r="T100" i="3"/>
  <c r="T97" i="3"/>
  <c r="T110" i="3"/>
  <c r="T117" i="3"/>
  <c r="T120" i="3" s="1"/>
  <c r="D150" i="3"/>
  <c r="E150" i="3"/>
  <c r="F150" i="3"/>
  <c r="G150" i="3"/>
  <c r="H150" i="3"/>
  <c r="I150" i="3"/>
  <c r="J150" i="3"/>
  <c r="K150" i="3"/>
  <c r="L150" i="3"/>
  <c r="M150" i="3"/>
  <c r="N150" i="3"/>
  <c r="Q150" i="3"/>
  <c r="R150" i="3"/>
  <c r="S150" i="3"/>
  <c r="T150" i="3"/>
  <c r="X16" i="3"/>
  <c r="X30" i="3"/>
  <c r="X73" i="3"/>
  <c r="X97" i="3"/>
  <c r="X150" i="3"/>
  <c r="S99" i="1"/>
  <c r="S121" i="1" s="1"/>
  <c r="S122" i="1" s="1"/>
  <c r="S153" i="1" s="1"/>
  <c r="S154" i="1" s="1"/>
  <c r="N99" i="1"/>
  <c r="T99" i="1"/>
  <c r="S16" i="1"/>
  <c r="S22" i="1" s="1"/>
  <c r="S24" i="1" s="1"/>
  <c r="S25" i="1" s="1"/>
  <c r="S74" i="1" s="1"/>
  <c r="S21" i="1"/>
  <c r="S61" i="1"/>
  <c r="M16" i="1"/>
  <c r="M21" i="1"/>
  <c r="M61" i="1"/>
  <c r="M73" i="1"/>
  <c r="N16" i="1"/>
  <c r="N21" i="1"/>
  <c r="N22" i="1" s="1"/>
  <c r="N24" i="1" s="1"/>
  <c r="N25" i="1" s="1"/>
  <c r="N73" i="1"/>
  <c r="R99" i="1"/>
  <c r="R16" i="1"/>
  <c r="R21" i="1"/>
  <c r="R61" i="1"/>
  <c r="R73" i="1"/>
  <c r="T16" i="1"/>
  <c r="T21" i="1"/>
  <c r="T61" i="1"/>
  <c r="T73" i="1"/>
  <c r="E16" i="1"/>
  <c r="E21" i="1"/>
  <c r="E22" i="1" s="1"/>
  <c r="E24" i="1" s="1"/>
  <c r="E25" i="1" s="1"/>
  <c r="E61" i="1"/>
  <c r="E73" i="1"/>
  <c r="F16" i="1"/>
  <c r="F21" i="1"/>
  <c r="F61" i="1"/>
  <c r="F73" i="1"/>
  <c r="L16" i="1"/>
  <c r="L21" i="1"/>
  <c r="L22" i="1" s="1"/>
  <c r="L24" i="1" s="1"/>
  <c r="L25" i="1" s="1"/>
  <c r="L61" i="1"/>
  <c r="L73" i="1"/>
  <c r="J16" i="1"/>
  <c r="J21" i="1"/>
  <c r="J73" i="1"/>
  <c r="D16" i="1"/>
  <c r="D21" i="1"/>
  <c r="D73" i="1"/>
  <c r="G16" i="1"/>
  <c r="G21" i="1"/>
  <c r="G73" i="1"/>
  <c r="H16" i="1"/>
  <c r="H73" i="1"/>
  <c r="I16" i="1"/>
  <c r="I21" i="1"/>
  <c r="I73" i="1"/>
  <c r="K16" i="1"/>
  <c r="K73" i="1"/>
  <c r="Q16" i="1"/>
  <c r="Q21" i="1"/>
  <c r="Q61" i="1"/>
  <c r="Q73" i="1"/>
  <c r="Q99" i="1"/>
  <c r="W87" i="3"/>
  <c r="Q175" i="3"/>
  <c r="Q185" i="3" s="1"/>
  <c r="Q182" i="3"/>
  <c r="R175" i="3"/>
  <c r="R185" i="3"/>
  <c r="R182" i="3"/>
  <c r="Y16" i="4"/>
  <c r="Y17" i="4" s="1"/>
  <c r="I152" i="1"/>
  <c r="D175" i="3"/>
  <c r="D185" i="3" s="1"/>
  <c r="G175" i="3"/>
  <c r="G185" i="3" s="1"/>
  <c r="L182" i="3"/>
  <c r="G213" i="4"/>
  <c r="G229" i="4"/>
  <c r="G232" i="4"/>
  <c r="H213" i="4"/>
  <c r="R213" i="4" s="1"/>
  <c r="H229" i="4"/>
  <c r="I229" i="4"/>
  <c r="K213" i="4"/>
  <c r="K232" i="4" s="1"/>
  <c r="K229" i="4"/>
  <c r="L213" i="4"/>
  <c r="L229" i="4"/>
  <c r="M213" i="4"/>
  <c r="M229" i="4"/>
  <c r="M232" i="4" s="1"/>
  <c r="N229" i="4"/>
  <c r="O229" i="4"/>
  <c r="P213" i="4"/>
  <c r="P232" i="4" s="1"/>
  <c r="P229" i="4"/>
  <c r="Q213" i="4"/>
  <c r="Q229" i="4"/>
  <c r="Q232" i="4"/>
  <c r="V213" i="4"/>
  <c r="V232" i="4" s="1"/>
  <c r="V229" i="4"/>
  <c r="W213" i="4"/>
  <c r="W229" i="4"/>
  <c r="W232" i="4" s="1"/>
  <c r="L175" i="3"/>
  <c r="L185" i="3"/>
  <c r="H175" i="3"/>
  <c r="H185" i="3" s="1"/>
  <c r="H182" i="3"/>
  <c r="I175" i="3"/>
  <c r="I182" i="3"/>
  <c r="I185" i="3" s="1"/>
  <c r="J175" i="3"/>
  <c r="J182" i="3"/>
  <c r="J185" i="3"/>
  <c r="K175" i="3"/>
  <c r="K185" i="3" s="1"/>
  <c r="K182" i="3"/>
  <c r="M175" i="3"/>
  <c r="M182" i="3"/>
  <c r="N175" i="3"/>
  <c r="S175" i="3"/>
  <c r="S182" i="3"/>
  <c r="S185" i="3" s="1"/>
  <c r="T175" i="3"/>
  <c r="T182" i="3"/>
  <c r="T185" i="3"/>
  <c r="G152" i="1"/>
  <c r="H152" i="1"/>
  <c r="J152" i="1"/>
  <c r="K117" i="1"/>
  <c r="K152" i="1"/>
  <c r="N117" i="1"/>
  <c r="Q152" i="1"/>
  <c r="R117" i="1"/>
  <c r="R152" i="1"/>
  <c r="T117" i="1"/>
  <c r="T152" i="1"/>
  <c r="P384" i="2"/>
  <c r="W384" i="2"/>
  <c r="W98" i="3"/>
  <c r="I483" i="3"/>
  <c r="I467" i="1"/>
  <c r="F152" i="1"/>
  <c r="O168" i="2"/>
  <c r="N177" i="4"/>
  <c r="D144" i="4"/>
  <c r="F229" i="4"/>
  <c r="N154" i="4"/>
  <c r="N157" i="4" s="1"/>
  <c r="F60" i="4"/>
  <c r="D60" i="4"/>
  <c r="F154" i="4"/>
  <c r="E229" i="4"/>
  <c r="D117" i="4"/>
  <c r="O276" i="2"/>
  <c r="N89" i="2"/>
  <c r="T276" i="2"/>
  <c r="X276" i="2" s="1"/>
  <c r="T168" i="2"/>
  <c r="X168" i="2" s="1"/>
  <c r="O89" i="2"/>
  <c r="N384" i="2"/>
  <c r="I384" i="2"/>
  <c r="M99" i="1"/>
  <c r="E110" i="3"/>
  <c r="E120" i="3" s="1"/>
  <c r="N117" i="3"/>
  <c r="N120" i="3"/>
  <c r="X175" i="3"/>
  <c r="X185" i="3" s="1"/>
  <c r="N182" i="3"/>
  <c r="N185" i="3" s="1"/>
  <c r="E97" i="3"/>
  <c r="E182" i="3"/>
  <c r="E185" i="3" s="1"/>
  <c r="X65" i="3"/>
  <c r="E175" i="3"/>
  <c r="Q117" i="1"/>
  <c r="N152" i="1"/>
  <c r="F117" i="1"/>
  <c r="M152" i="1"/>
  <c r="E99" i="1"/>
  <c r="L152" i="1"/>
  <c r="E152" i="1"/>
  <c r="S117" i="1"/>
  <c r="I213" i="4"/>
  <c r="I232" i="4" s="1"/>
  <c r="F213" i="4"/>
  <c r="T384" i="2"/>
  <c r="M384" i="2"/>
  <c r="G384" i="2"/>
  <c r="M32" i="3"/>
  <c r="M39" i="3"/>
  <c r="M40" i="3" s="1"/>
  <c r="O30" i="3"/>
  <c r="W30" i="3" s="1"/>
  <c r="V168" i="2"/>
  <c r="X115" i="2"/>
  <c r="Y115" i="2"/>
  <c r="L52" i="4"/>
  <c r="Y80" i="4"/>
  <c r="L101" i="4"/>
  <c r="Y40" i="4"/>
  <c r="H62" i="4"/>
  <c r="H63" i="4" s="1"/>
  <c r="H106" i="4" s="1"/>
  <c r="H107" i="4" s="1"/>
  <c r="H136" i="4" s="1"/>
  <c r="H137" i="4" s="1"/>
  <c r="H158" i="4" s="1"/>
  <c r="H159" i="4" s="1"/>
  <c r="H181" i="4" s="1"/>
  <c r="H194" i="4" s="1"/>
  <c r="H195" i="4" s="1"/>
  <c r="H233" i="4" s="1"/>
  <c r="D52" i="4"/>
  <c r="R77" i="3"/>
  <c r="W14" i="3"/>
  <c r="W16" i="3"/>
  <c r="F73" i="3"/>
  <c r="I34" i="4"/>
  <c r="I35" i="4" s="1"/>
  <c r="I62" i="4" s="1"/>
  <c r="I63" i="4" s="1"/>
  <c r="I106" i="4" s="1"/>
  <c r="I107" i="4" s="1"/>
  <c r="P34" i="4"/>
  <c r="E35" i="4"/>
  <c r="E62" i="4"/>
  <c r="E63" i="4" s="1"/>
  <c r="T34" i="4"/>
  <c r="R86" i="4"/>
  <c r="T35" i="4"/>
  <c r="T62" i="4" s="1"/>
  <c r="T63" i="4" s="1"/>
  <c r="O105" i="4"/>
  <c r="P105" i="4"/>
  <c r="K105" i="4"/>
  <c r="I105" i="4"/>
  <c r="U105" i="4"/>
  <c r="T105" i="4"/>
  <c r="T157" i="4"/>
  <c r="J180" i="4"/>
  <c r="L77" i="3"/>
  <c r="Y36" i="4"/>
  <c r="R100" i="2"/>
  <c r="Y100" i="2"/>
  <c r="O101" i="1"/>
  <c r="W101" i="1" s="1"/>
  <c r="Q22" i="1"/>
  <c r="Q24" i="1" s="1"/>
  <c r="Q25" i="1" s="1"/>
  <c r="Q74" i="1" s="1"/>
  <c r="Q75" i="1" s="1"/>
  <c r="Q121" i="1" s="1"/>
  <c r="Q122" i="1" s="1"/>
  <c r="Q153" i="1" s="1"/>
  <c r="Q154" i="1" s="1"/>
  <c r="Q172" i="1" s="1"/>
  <c r="D61" i="1"/>
  <c r="O16" i="1"/>
  <c r="E117" i="4"/>
  <c r="V135" i="4"/>
  <c r="X117" i="4"/>
  <c r="T135" i="4"/>
  <c r="Y230" i="4"/>
  <c r="O180" i="4"/>
  <c r="W148" i="3"/>
  <c r="W145" i="3"/>
  <c r="R18" i="2"/>
  <c r="Y18" i="2" s="1"/>
  <c r="R78" i="2"/>
  <c r="Y78" i="2" s="1"/>
  <c r="R191" i="2"/>
  <c r="Y191" i="2"/>
  <c r="R211" i="2"/>
  <c r="Y211" i="2" s="1"/>
  <c r="R312" i="2"/>
  <c r="R306" i="2"/>
  <c r="Y306" i="2"/>
  <c r="R190" i="2"/>
  <c r="R225" i="2"/>
  <c r="Y225" i="2"/>
  <c r="R242" i="2"/>
  <c r="Y242" i="2"/>
  <c r="R71" i="2"/>
  <c r="Y71" i="2" s="1"/>
  <c r="F41" i="2"/>
  <c r="M168" i="2"/>
  <c r="R94" i="2"/>
  <c r="Y94" i="2"/>
  <c r="R216" i="2"/>
  <c r="Y216" i="2" s="1"/>
  <c r="R258" i="2"/>
  <c r="Y258" i="2" s="1"/>
  <c r="R260" i="2"/>
  <c r="Y260" i="2" s="1"/>
  <c r="I42" i="2"/>
  <c r="I90" i="2" s="1"/>
  <c r="I91" i="2" s="1"/>
  <c r="D89" i="2"/>
  <c r="Z168" i="2"/>
  <c r="R106" i="2"/>
  <c r="Y106" i="2" s="1"/>
  <c r="R209" i="2"/>
  <c r="Y209" i="2"/>
  <c r="R248" i="2"/>
  <c r="Y248" i="2"/>
  <c r="R250" i="2"/>
  <c r="Y250" i="2" s="1"/>
  <c r="R261" i="2"/>
  <c r="Y261" i="2" s="1"/>
  <c r="Y313" i="2"/>
  <c r="J168" i="2"/>
  <c r="R101" i="2"/>
  <c r="Y101" i="2" s="1"/>
  <c r="Q168" i="2"/>
  <c r="R104" i="2"/>
  <c r="Y104" i="2"/>
  <c r="R278" i="2"/>
  <c r="Y278" i="2"/>
  <c r="R304" i="2"/>
  <c r="R111" i="2"/>
  <c r="K168" i="2"/>
  <c r="R198" i="2"/>
  <c r="R272" i="2"/>
  <c r="Y272" i="2"/>
  <c r="J42" i="2"/>
  <c r="L384" i="2"/>
  <c r="H168" i="2"/>
  <c r="R129" i="2"/>
  <c r="Y129" i="2"/>
  <c r="F298" i="2"/>
  <c r="K384" i="2"/>
  <c r="R23" i="2"/>
  <c r="Y23" i="2" s="1"/>
  <c r="N276" i="2"/>
  <c r="H276" i="2"/>
  <c r="O384" i="2"/>
  <c r="Y92" i="2"/>
  <c r="R229" i="2"/>
  <c r="Y229" i="2"/>
  <c r="W146" i="1"/>
  <c r="M157" i="4"/>
  <c r="I157" i="4"/>
  <c r="O157" i="4"/>
  <c r="K157" i="4"/>
  <c r="G157" i="4"/>
  <c r="Y228" i="4"/>
  <c r="L232" i="4"/>
  <c r="E232" i="4"/>
  <c r="X229" i="4"/>
  <c r="O232" i="4"/>
  <c r="H232" i="4"/>
  <c r="T232" i="4"/>
  <c r="F232" i="4"/>
  <c r="X190" i="4"/>
  <c r="R190" i="4"/>
  <c r="Y190" i="4"/>
  <c r="D232" i="4"/>
  <c r="O150" i="3"/>
  <c r="W150" i="3" s="1"/>
  <c r="W164" i="3"/>
  <c r="W125" i="3"/>
  <c r="W157" i="3"/>
  <c r="Y235" i="2"/>
  <c r="Y234" i="2"/>
  <c r="Y172" i="2"/>
  <c r="Y332" i="2"/>
  <c r="Y103" i="2"/>
  <c r="Y337" i="2"/>
  <c r="Y314" i="2"/>
  <c r="Y308" i="2"/>
  <c r="Y346" i="2"/>
  <c r="Y35" i="2"/>
  <c r="Y60" i="2"/>
  <c r="Y356" i="2"/>
  <c r="Y207" i="2"/>
  <c r="Y370" i="2"/>
  <c r="Y382" i="2"/>
  <c r="Y219" i="2"/>
  <c r="Y127" i="2"/>
  <c r="Y253" i="2"/>
  <c r="Y310" i="2"/>
  <c r="Y304" i="2"/>
  <c r="Y324" i="2"/>
  <c r="Y212" i="2"/>
  <c r="Y343" i="2"/>
  <c r="Y367" i="2"/>
  <c r="Y119" i="2"/>
  <c r="Y239" i="2"/>
  <c r="Y251" i="2"/>
  <c r="Y266" i="2"/>
  <c r="Y241" i="2"/>
  <c r="Y136" i="2"/>
  <c r="Y160" i="2"/>
  <c r="Y316" i="2"/>
  <c r="Y432" i="2"/>
  <c r="Y45" i="2"/>
  <c r="Y350" i="2"/>
  <c r="R398" i="2"/>
  <c r="Y398" i="2" s="1"/>
  <c r="R403" i="2"/>
  <c r="Y403" i="2"/>
  <c r="R408" i="2"/>
  <c r="Y408" i="2" s="1"/>
  <c r="Y48" i="2"/>
  <c r="Y206" i="2"/>
  <c r="Y315" i="2"/>
  <c r="Y405" i="2"/>
  <c r="Y312" i="2"/>
  <c r="Y365" i="2"/>
  <c r="Y371" i="2"/>
  <c r="Y380" i="2"/>
  <c r="Y321" i="2"/>
  <c r="Y326" i="2"/>
  <c r="Y413" i="2"/>
  <c r="Y20" i="4"/>
  <c r="Y103" i="4"/>
  <c r="Y205" i="4"/>
  <c r="Y212" i="4"/>
  <c r="Y210" i="4"/>
  <c r="Y87" i="4"/>
  <c r="Y185" i="4"/>
  <c r="Y108" i="4"/>
  <c r="Y187" i="4"/>
  <c r="Y70" i="4"/>
  <c r="Y215" i="4"/>
  <c r="Y161" i="4"/>
  <c r="Y125" i="4"/>
  <c r="Y66" i="4"/>
  <c r="Y151" i="4"/>
  <c r="Y191" i="4"/>
  <c r="Y58" i="4"/>
  <c r="Y86" i="4"/>
  <c r="Y75" i="4"/>
  <c r="Y200" i="4"/>
  <c r="G443" i="2"/>
  <c r="V443" i="2"/>
  <c r="W166" i="1"/>
  <c r="D180" i="4"/>
  <c r="F120" i="3"/>
  <c r="M78" i="3"/>
  <c r="M79" i="3" s="1"/>
  <c r="U120" i="3"/>
  <c r="F97" i="3"/>
  <c r="F100" i="3" s="1"/>
  <c r="O91" i="3"/>
  <c r="H100" i="3"/>
  <c r="W114" i="3"/>
  <c r="X131" i="3"/>
  <c r="U182" i="3"/>
  <c r="K77" i="3"/>
  <c r="I100" i="3"/>
  <c r="O73" i="3"/>
  <c r="W73" i="3" s="1"/>
  <c r="X77" i="3"/>
  <c r="S40" i="3"/>
  <c r="U30" i="3"/>
  <c r="N32" i="3"/>
  <c r="W103" i="3"/>
  <c r="R163" i="4"/>
  <c r="Y163" i="4"/>
  <c r="R431" i="2"/>
  <c r="Y431" i="2" s="1"/>
  <c r="W91" i="3"/>
  <c r="Q101" i="3"/>
  <c r="Q102" i="3" s="1"/>
  <c r="Q121" i="3" s="1"/>
  <c r="V180" i="4"/>
  <c r="U180" i="4"/>
  <c r="X180" i="4" s="1"/>
  <c r="X167" i="4"/>
  <c r="X140" i="3"/>
  <c r="X443" i="2"/>
  <c r="U35" i="4" l="1"/>
  <c r="U62" i="4" s="1"/>
  <c r="D105" i="4"/>
  <c r="X232" i="4"/>
  <c r="R232" i="4"/>
  <c r="Y232" i="4" s="1"/>
  <c r="T106" i="4"/>
  <c r="K233" i="4"/>
  <c r="D135" i="4"/>
  <c r="Y31" i="4"/>
  <c r="D35" i="4"/>
  <c r="V106" i="4"/>
  <c r="V107" i="4" s="1"/>
  <c r="V136" i="4" s="1"/>
  <c r="V137" i="4" s="1"/>
  <c r="R167" i="4"/>
  <c r="Y167" i="4" s="1"/>
  <c r="E180" i="4"/>
  <c r="R180" i="4" s="1"/>
  <c r="Y180" i="4" s="1"/>
  <c r="Y177" i="4"/>
  <c r="L157" i="4"/>
  <c r="L105" i="4"/>
  <c r="L106" i="4" s="1"/>
  <c r="L107" i="4" s="1"/>
  <c r="L136" i="4" s="1"/>
  <c r="L137" i="4" s="1"/>
  <c r="L158" i="4" s="1"/>
  <c r="L159" i="4" s="1"/>
  <c r="L181" i="4" s="1"/>
  <c r="L194" i="4" s="1"/>
  <c r="L195" i="4" s="1"/>
  <c r="L233" i="4" s="1"/>
  <c r="R118" i="4"/>
  <c r="Y118" i="4" s="1"/>
  <c r="D133" i="4"/>
  <c r="J62" i="4"/>
  <c r="J63" i="4" s="1"/>
  <c r="J106" i="4" s="1"/>
  <c r="J107" i="4" s="1"/>
  <c r="J136" i="4" s="1"/>
  <c r="J137" i="4" s="1"/>
  <c r="J158" i="4" s="1"/>
  <c r="J159" i="4" s="1"/>
  <c r="J181" i="4" s="1"/>
  <c r="J194" i="4" s="1"/>
  <c r="J195" i="4" s="1"/>
  <c r="J233" i="4" s="1"/>
  <c r="X101" i="4"/>
  <c r="X144" i="4"/>
  <c r="U157" i="4"/>
  <c r="R46" i="4"/>
  <c r="Y46" i="4" s="1"/>
  <c r="R146" i="4"/>
  <c r="Y146" i="4" s="1"/>
  <c r="E133" i="4"/>
  <c r="E135" i="4" s="1"/>
  <c r="R171" i="4"/>
  <c r="Y171" i="4" s="1"/>
  <c r="X105" i="4"/>
  <c r="R60" i="4"/>
  <c r="Y60" i="4" s="1"/>
  <c r="I135" i="4"/>
  <c r="I136" i="4" s="1"/>
  <c r="I137" i="4" s="1"/>
  <c r="I158" i="4" s="1"/>
  <c r="I159" i="4" s="1"/>
  <c r="I181" i="4" s="1"/>
  <c r="I194" i="4" s="1"/>
  <c r="I195" i="4" s="1"/>
  <c r="I233" i="4" s="1"/>
  <c r="G35" i="4"/>
  <c r="G62" i="4" s="1"/>
  <c r="G63" i="4" s="1"/>
  <c r="G106" i="4" s="1"/>
  <c r="G107" i="4" s="1"/>
  <c r="G136" i="4" s="1"/>
  <c r="G137" i="4" s="1"/>
  <c r="G158" i="4" s="1"/>
  <c r="G159" i="4" s="1"/>
  <c r="G181" i="4" s="1"/>
  <c r="G194" i="4" s="1"/>
  <c r="G195" i="4" s="1"/>
  <c r="G233" i="4" s="1"/>
  <c r="D154" i="4"/>
  <c r="R154" i="4" s="1"/>
  <c r="Y154" i="4" s="1"/>
  <c r="X25" i="4"/>
  <c r="Y208" i="4"/>
  <c r="R65" i="4"/>
  <c r="Y65" i="4" s="1"/>
  <c r="R121" i="4"/>
  <c r="Y121" i="4" s="1"/>
  <c r="R43" i="4"/>
  <c r="Y43" i="4" s="1"/>
  <c r="F52" i="4"/>
  <c r="R52" i="4" s="1"/>
  <c r="E105" i="4"/>
  <c r="E106" i="4" s="1"/>
  <c r="E107" i="4" s="1"/>
  <c r="E136" i="4" s="1"/>
  <c r="E137" i="4" s="1"/>
  <c r="R83" i="4"/>
  <c r="Y83" i="4" s="1"/>
  <c r="R229" i="4"/>
  <c r="Y229" i="4" s="1"/>
  <c r="R25" i="4"/>
  <c r="Y25" i="4" s="1"/>
  <c r="Y128" i="4"/>
  <c r="R175" i="4"/>
  <c r="Y175" i="4" s="1"/>
  <c r="X213" i="4"/>
  <c r="Y213" i="4" s="1"/>
  <c r="R117" i="4"/>
  <c r="Y117" i="4" s="1"/>
  <c r="E144" i="4"/>
  <c r="P35" i="4"/>
  <c r="P62" i="4" s="1"/>
  <c r="P63" i="4" s="1"/>
  <c r="P106" i="4" s="1"/>
  <c r="P107" i="4" s="1"/>
  <c r="P136" i="4" s="1"/>
  <c r="P137" i="4" s="1"/>
  <c r="P158" i="4" s="1"/>
  <c r="P159" i="4" s="1"/>
  <c r="P181" i="4" s="1"/>
  <c r="P194" i="4" s="1"/>
  <c r="P195" i="4" s="1"/>
  <c r="P233" i="4" s="1"/>
  <c r="V157" i="4"/>
  <c r="X157" i="4" s="1"/>
  <c r="Y211" i="4"/>
  <c r="Y88" i="4"/>
  <c r="R170" i="4"/>
  <c r="Y170" i="4" s="1"/>
  <c r="W135" i="4"/>
  <c r="Q105" i="4"/>
  <c r="Q106" i="4" s="1"/>
  <c r="Q107" i="4" s="1"/>
  <c r="Q136" i="4" s="1"/>
  <c r="Q137" i="4" s="1"/>
  <c r="Q158" i="4" s="1"/>
  <c r="Q159" i="4" s="1"/>
  <c r="Q181" i="4" s="1"/>
  <c r="Q194" i="4" s="1"/>
  <c r="Q195" i="4" s="1"/>
  <c r="Q233" i="4" s="1"/>
  <c r="M180" i="4"/>
  <c r="U135" i="4"/>
  <c r="X52" i="4"/>
  <c r="Y37" i="4"/>
  <c r="Y182" i="4"/>
  <c r="Y189" i="4"/>
  <c r="R85" i="4"/>
  <c r="Y85" i="4" s="1"/>
  <c r="F101" i="4"/>
  <c r="F105" i="4" s="1"/>
  <c r="R119" i="4"/>
  <c r="Y119" i="4" s="1"/>
  <c r="F133" i="4"/>
  <c r="F135" i="4" s="1"/>
  <c r="Y174" i="4"/>
  <c r="N34" i="4"/>
  <c r="N35" i="4" s="1"/>
  <c r="N62" i="4" s="1"/>
  <c r="N63" i="4" s="1"/>
  <c r="N106" i="4" s="1"/>
  <c r="N107" i="4" s="1"/>
  <c r="N136" i="4" s="1"/>
  <c r="N137" i="4" s="1"/>
  <c r="N158" i="4" s="1"/>
  <c r="N159" i="4" s="1"/>
  <c r="N181" i="4" s="1"/>
  <c r="N194" i="4" s="1"/>
  <c r="N195" i="4" s="1"/>
  <c r="N233" i="4" s="1"/>
  <c r="M35" i="4"/>
  <c r="M62" i="4" s="1"/>
  <c r="M63" i="4" s="1"/>
  <c r="M106" i="4" s="1"/>
  <c r="M107" i="4" s="1"/>
  <c r="M136" i="4" s="1"/>
  <c r="M137" i="4" s="1"/>
  <c r="M158" i="4" s="1"/>
  <c r="M159" i="4" s="1"/>
  <c r="M181" i="4" s="1"/>
  <c r="M194" i="4" s="1"/>
  <c r="M195" i="4" s="1"/>
  <c r="M233" i="4" s="1"/>
  <c r="F34" i="4"/>
  <c r="F35" i="4" s="1"/>
  <c r="F62" i="4" s="1"/>
  <c r="F63" i="4" s="1"/>
  <c r="F106" i="4" s="1"/>
  <c r="F107" i="4" s="1"/>
  <c r="F136" i="4" s="1"/>
  <c r="F137" i="4" s="1"/>
  <c r="F158" i="4" s="1"/>
  <c r="F159" i="4" s="1"/>
  <c r="F181" i="4" s="1"/>
  <c r="F194" i="4" s="1"/>
  <c r="F195" i="4" s="1"/>
  <c r="F233" i="4" s="1"/>
  <c r="W34" i="4"/>
  <c r="W35" i="4" s="1"/>
  <c r="W62" i="4" s="1"/>
  <c r="W63" i="4" s="1"/>
  <c r="W106" i="4" s="1"/>
  <c r="W107" i="4" s="1"/>
  <c r="W136" i="4" s="1"/>
  <c r="W137" i="4" s="1"/>
  <c r="W158" i="4" s="1"/>
  <c r="W159" i="4" s="1"/>
  <c r="W181" i="4" s="1"/>
  <c r="W194" i="4" s="1"/>
  <c r="W195" i="4" s="1"/>
  <c r="W233" i="4" s="1"/>
  <c r="Q157" i="4"/>
  <c r="L180" i="4"/>
  <c r="X133" i="4"/>
  <c r="R47" i="4"/>
  <c r="Y47" i="4" s="1"/>
  <c r="Y148" i="4"/>
  <c r="L101" i="3"/>
  <c r="L102" i="3" s="1"/>
  <c r="L78" i="3"/>
  <c r="L79" i="3" s="1"/>
  <c r="K78" i="3"/>
  <c r="K79" i="3" s="1"/>
  <c r="K101" i="3"/>
  <c r="K102" i="3" s="1"/>
  <c r="Q154" i="3"/>
  <c r="Q155" i="3" s="1"/>
  <c r="Q186" i="3" s="1"/>
  <c r="Q122" i="3"/>
  <c r="Q141" i="3" s="1"/>
  <c r="W131" i="3"/>
  <c r="H78" i="3"/>
  <c r="H79" i="3" s="1"/>
  <c r="H101" i="3"/>
  <c r="H102" i="3" s="1"/>
  <c r="H121" i="3" s="1"/>
  <c r="G137" i="3"/>
  <c r="O134" i="3"/>
  <c r="R101" i="3"/>
  <c r="R102" i="3" s="1"/>
  <c r="R121" i="3" s="1"/>
  <c r="I101" i="3"/>
  <c r="I102" i="3" s="1"/>
  <c r="I121" i="3" s="1"/>
  <c r="F77" i="3"/>
  <c r="W81" i="3"/>
  <c r="U88" i="3"/>
  <c r="U100" i="3" s="1"/>
  <c r="I78" i="3"/>
  <c r="I79" i="3" s="1"/>
  <c r="W110" i="3"/>
  <c r="M101" i="3"/>
  <c r="M102" i="3" s="1"/>
  <c r="M121" i="3" s="1"/>
  <c r="W42" i="3"/>
  <c r="O65" i="3"/>
  <c r="W177" i="3"/>
  <c r="W182" i="3" s="1"/>
  <c r="O182" i="3"/>
  <c r="W92" i="3"/>
  <c r="M185" i="3"/>
  <c r="X33" i="3"/>
  <c r="X39" i="3" s="1"/>
  <c r="X40" i="3" s="1"/>
  <c r="I120" i="3"/>
  <c r="I77" i="3"/>
  <c r="G101" i="3"/>
  <c r="G102" i="3" s="1"/>
  <c r="G121" i="3" s="1"/>
  <c r="U33" i="3"/>
  <c r="U39" i="3" s="1"/>
  <c r="U40" i="3" s="1"/>
  <c r="Q78" i="3"/>
  <c r="Q79" i="3" s="1"/>
  <c r="U24" i="3"/>
  <c r="U32" i="3" s="1"/>
  <c r="U65" i="3"/>
  <c r="U77" i="3" s="1"/>
  <c r="W83" i="3"/>
  <c r="G78" i="3"/>
  <c r="G79" i="3" s="1"/>
  <c r="U175" i="3"/>
  <c r="U185" i="3" s="1"/>
  <c r="R78" i="3"/>
  <c r="R79" i="3" s="1"/>
  <c r="T32" i="3"/>
  <c r="T33" i="3" s="1"/>
  <c r="T39" i="3" s="1"/>
  <c r="T40" i="3" s="1"/>
  <c r="N33" i="3"/>
  <c r="N39" i="3" s="1"/>
  <c r="N40" i="3" s="1"/>
  <c r="J32" i="3"/>
  <c r="J33" i="3" s="1"/>
  <c r="J39" i="3" s="1"/>
  <c r="J40" i="3" s="1"/>
  <c r="D77" i="3"/>
  <c r="F32" i="3"/>
  <c r="F33" i="3" s="1"/>
  <c r="F39" i="3" s="1"/>
  <c r="F40" i="3" s="1"/>
  <c r="E77" i="3"/>
  <c r="W18" i="3"/>
  <c r="O24" i="3"/>
  <c r="W22" i="3"/>
  <c r="O131" i="3"/>
  <c r="W162" i="3"/>
  <c r="W175" i="3" s="1"/>
  <c r="W185" i="3" s="1"/>
  <c r="O112" i="3"/>
  <c r="S77" i="3"/>
  <c r="S78" i="3" s="1"/>
  <c r="S79" i="3" s="1"/>
  <c r="L120" i="3"/>
  <c r="K120" i="3"/>
  <c r="D33" i="3"/>
  <c r="D39" i="3" s="1"/>
  <c r="D40" i="3" s="1"/>
  <c r="D140" i="3"/>
  <c r="W20" i="3"/>
  <c r="W54" i="3"/>
  <c r="O175" i="3"/>
  <c r="W17" i="3"/>
  <c r="O94" i="3"/>
  <c r="W94" i="3" s="1"/>
  <c r="G140" i="3"/>
  <c r="W47" i="3"/>
  <c r="W113" i="3"/>
  <c r="W67" i="3"/>
  <c r="L42" i="2"/>
  <c r="M302" i="2"/>
  <c r="M303" i="2" s="1"/>
  <c r="M385" i="2" s="1"/>
  <c r="M386" i="2" s="1"/>
  <c r="M444" i="2" s="1"/>
  <c r="R394" i="2"/>
  <c r="Y394" i="2" s="1"/>
  <c r="Q443" i="2"/>
  <c r="J90" i="2"/>
  <c r="J91" i="2" s="1"/>
  <c r="J178" i="2" s="1"/>
  <c r="J179" i="2" s="1"/>
  <c r="J302" i="2" s="1"/>
  <c r="J303" i="2" s="1"/>
  <c r="J385" i="2" s="1"/>
  <c r="J386" i="2" s="1"/>
  <c r="J444" i="2" s="1"/>
  <c r="N42" i="2"/>
  <c r="N90" i="2" s="1"/>
  <c r="N91" i="2" s="1"/>
  <c r="N178" i="2" s="1"/>
  <c r="N179" i="2" s="1"/>
  <c r="N302" i="2" s="1"/>
  <c r="N303" i="2" s="1"/>
  <c r="N385" i="2" s="1"/>
  <c r="N386" i="2" s="1"/>
  <c r="N444" i="2" s="1"/>
  <c r="D90" i="2"/>
  <c r="Y17" i="2"/>
  <c r="R186" i="2"/>
  <c r="Y186" i="2" s="1"/>
  <c r="J276" i="2"/>
  <c r="R192" i="2"/>
  <c r="Y192" i="2" s="1"/>
  <c r="F276" i="2"/>
  <c r="L168" i="2"/>
  <c r="L276" i="2"/>
  <c r="R21" i="2"/>
  <c r="Y21" i="2" s="1"/>
  <c r="X41" i="2"/>
  <c r="F89" i="2"/>
  <c r="R89" i="2" s="1"/>
  <c r="Y89" i="2" s="1"/>
  <c r="R47" i="2"/>
  <c r="Y47" i="2" s="1"/>
  <c r="J89" i="2"/>
  <c r="R49" i="2"/>
  <c r="Y49" i="2" s="1"/>
  <c r="K89" i="2"/>
  <c r="K90" i="2" s="1"/>
  <c r="K91" i="2" s="1"/>
  <c r="K178" i="2" s="1"/>
  <c r="K179" i="2" s="1"/>
  <c r="K302" i="2" s="1"/>
  <c r="K303" i="2" s="1"/>
  <c r="K385" i="2" s="1"/>
  <c r="K386" i="2" s="1"/>
  <c r="K444" i="2" s="1"/>
  <c r="R43" i="2"/>
  <c r="Y43" i="2" s="1"/>
  <c r="Y99" i="2"/>
  <c r="Y319" i="2"/>
  <c r="K443" i="2"/>
  <c r="R392" i="2"/>
  <c r="Y392" i="2" s="1"/>
  <c r="R177" i="2"/>
  <c r="Y177" i="2" s="1"/>
  <c r="Q178" i="2"/>
  <c r="Q179" i="2" s="1"/>
  <c r="O42" i="2"/>
  <c r="O90" i="2" s="1"/>
  <c r="O91" i="2" s="1"/>
  <c r="O178" i="2" s="1"/>
  <c r="O179" i="2" s="1"/>
  <c r="O302" i="2" s="1"/>
  <c r="O303" i="2" s="1"/>
  <c r="O385" i="2" s="1"/>
  <c r="O386" i="2" s="1"/>
  <c r="O444" i="2" s="1"/>
  <c r="F42" i="2"/>
  <c r="R41" i="2"/>
  <c r="Y41" i="2" s="1"/>
  <c r="I168" i="2"/>
  <c r="I178" i="2" s="1"/>
  <c r="I179" i="2" s="1"/>
  <c r="I302" i="2" s="1"/>
  <c r="I303" i="2" s="1"/>
  <c r="I385" i="2" s="1"/>
  <c r="I386" i="2" s="1"/>
  <c r="I444" i="2" s="1"/>
  <c r="R107" i="2"/>
  <c r="Y107" i="2" s="1"/>
  <c r="R271" i="2"/>
  <c r="Y271" i="2" s="1"/>
  <c r="E276" i="2"/>
  <c r="E302" i="2" s="1"/>
  <c r="E303" i="2" s="1"/>
  <c r="E385" i="2" s="1"/>
  <c r="E386" i="2" s="1"/>
  <c r="E444" i="2" s="1"/>
  <c r="F443" i="2"/>
  <c r="R436" i="2"/>
  <c r="Y436" i="2" s="1"/>
  <c r="F168" i="2"/>
  <c r="R168" i="2" s="1"/>
  <c r="Y168" i="2" s="1"/>
  <c r="K276" i="2"/>
  <c r="M276" i="2"/>
  <c r="X42" i="2"/>
  <c r="T90" i="2"/>
  <c r="L89" i="2"/>
  <c r="R51" i="2"/>
  <c r="Y51" i="2" s="1"/>
  <c r="R59" i="2"/>
  <c r="Y59" i="2" s="1"/>
  <c r="Y53" i="2"/>
  <c r="Y93" i="2"/>
  <c r="Y427" i="2"/>
  <c r="Y120" i="2"/>
  <c r="Y184" i="2"/>
  <c r="R317" i="2"/>
  <c r="Y317" i="2" s="1"/>
  <c r="D384" i="2"/>
  <c r="Y416" i="2"/>
  <c r="Y198" i="2"/>
  <c r="Y131" i="2"/>
  <c r="Y154" i="2"/>
  <c r="Y351" i="2"/>
  <c r="R98" i="2"/>
  <c r="Y98" i="2" s="1"/>
  <c r="R121" i="2"/>
  <c r="Y121" i="2" s="1"/>
  <c r="Q276" i="2"/>
  <c r="R199" i="2"/>
  <c r="Y199" i="2" s="1"/>
  <c r="Y232" i="2"/>
  <c r="Y243" i="2"/>
  <c r="Y255" i="2"/>
  <c r="F384" i="2"/>
  <c r="Y407" i="2"/>
  <c r="L443" i="2"/>
  <c r="J443" i="2"/>
  <c r="R389" i="2"/>
  <c r="Y389" i="2" s="1"/>
  <c r="R311" i="2"/>
  <c r="Y311" i="2" s="1"/>
  <c r="Y34" i="2"/>
  <c r="Y166" i="2"/>
  <c r="I276" i="2"/>
  <c r="R183" i="2"/>
  <c r="Y183" i="2" s="1"/>
  <c r="Y196" i="2"/>
  <c r="Y246" i="2"/>
  <c r="Y249" i="2"/>
  <c r="E384" i="2"/>
  <c r="Z384" i="2"/>
  <c r="Z385" i="2" s="1"/>
  <c r="Z386" i="2" s="1"/>
  <c r="Z443" i="2" s="1"/>
  <c r="Z444" i="2" s="1"/>
  <c r="Y151" i="2"/>
  <c r="Y283" i="2"/>
  <c r="Y298" i="2" s="1"/>
  <c r="Y110" i="2"/>
  <c r="R109" i="2"/>
  <c r="Y109" i="2" s="1"/>
  <c r="R226" i="2"/>
  <c r="Y226" i="2" s="1"/>
  <c r="Y244" i="2"/>
  <c r="Y262" i="2"/>
  <c r="Y414" i="2"/>
  <c r="Y437" i="2"/>
  <c r="R393" i="2"/>
  <c r="Y393" i="2" s="1"/>
  <c r="D443" i="2"/>
  <c r="R418" i="2"/>
  <c r="Y418" i="2" s="1"/>
  <c r="Y374" i="2"/>
  <c r="R113" i="2"/>
  <c r="Y113" i="2" s="1"/>
  <c r="R187" i="2"/>
  <c r="Y187" i="2" s="1"/>
  <c r="R224" i="2"/>
  <c r="Y224" i="2" s="1"/>
  <c r="Y227" i="2"/>
  <c r="Y409" i="2"/>
  <c r="R388" i="2"/>
  <c r="Y388" i="2" s="1"/>
  <c r="R391" i="2"/>
  <c r="Y391" i="2" s="1"/>
  <c r="R397" i="2"/>
  <c r="Y397" i="2" s="1"/>
  <c r="F99" i="1"/>
  <c r="O159" i="1"/>
  <c r="W159" i="1" s="1"/>
  <c r="E74" i="1"/>
  <c r="E75" i="1" s="1"/>
  <c r="E121" i="1" s="1"/>
  <c r="E122" i="1" s="1"/>
  <c r="E153" i="1" s="1"/>
  <c r="E154" i="1" s="1"/>
  <c r="E172" i="1" s="1"/>
  <c r="W106" i="1"/>
  <c r="J99" i="1"/>
  <c r="J22" i="1"/>
  <c r="J24" i="1" s="1"/>
  <c r="J25" i="1" s="1"/>
  <c r="F22" i="1"/>
  <c r="F24" i="1" s="1"/>
  <c r="F25" i="1" s="1"/>
  <c r="F74" i="1" s="1"/>
  <c r="F75" i="1" s="1"/>
  <c r="F121" i="1" s="1"/>
  <c r="F122" i="1" s="1"/>
  <c r="F153" i="1" s="1"/>
  <c r="F154" i="1" s="1"/>
  <c r="T22" i="1"/>
  <c r="T24" i="1" s="1"/>
  <c r="T25" i="1" s="1"/>
  <c r="T74" i="1" s="1"/>
  <c r="T75" i="1" s="1"/>
  <c r="T121" i="1" s="1"/>
  <c r="T122" i="1" s="1"/>
  <c r="T153" i="1" s="1"/>
  <c r="T154" i="1" s="1"/>
  <c r="T172" i="1" s="1"/>
  <c r="R22" i="1"/>
  <c r="R24" i="1" s="1"/>
  <c r="R25" i="1" s="1"/>
  <c r="R74" i="1" s="1"/>
  <c r="R75" i="1" s="1"/>
  <c r="R121" i="1" s="1"/>
  <c r="R122" i="1" s="1"/>
  <c r="R153" i="1" s="1"/>
  <c r="R154" i="1" s="1"/>
  <c r="R172" i="1" s="1"/>
  <c r="M22" i="1"/>
  <c r="M24" i="1" s="1"/>
  <c r="M25" i="1" s="1"/>
  <c r="M74" i="1" s="1"/>
  <c r="M75" i="1" s="1"/>
  <c r="M121" i="1" s="1"/>
  <c r="M122" i="1" s="1"/>
  <c r="M153" i="1" s="1"/>
  <c r="M154" i="1" s="1"/>
  <c r="M172" i="1" s="1"/>
  <c r="W36" i="1"/>
  <c r="W40" i="1"/>
  <c r="W44" i="1"/>
  <c r="W31" i="1"/>
  <c r="W82" i="1"/>
  <c r="W155" i="1"/>
  <c r="W133" i="1"/>
  <c r="W164" i="1"/>
  <c r="O117" i="1"/>
  <c r="W117" i="1" s="1"/>
  <c r="K61" i="1"/>
  <c r="W19" i="1"/>
  <c r="W37" i="1"/>
  <c r="W41" i="1"/>
  <c r="W45" i="1"/>
  <c r="W52" i="1"/>
  <c r="W56" i="1"/>
  <c r="O73" i="1"/>
  <c r="W105" i="1"/>
  <c r="W131" i="1"/>
  <c r="W150" i="1"/>
  <c r="U61" i="1"/>
  <c r="W35" i="1"/>
  <c r="W39" i="1"/>
  <c r="W81" i="1"/>
  <c r="W85" i="1"/>
  <c r="W104" i="1"/>
  <c r="W128" i="1"/>
  <c r="W132" i="1"/>
  <c r="W141" i="1"/>
  <c r="W86" i="1"/>
  <c r="W87" i="1"/>
  <c r="L99" i="1"/>
  <c r="W124" i="1"/>
  <c r="N74" i="1"/>
  <c r="N75" i="1" s="1"/>
  <c r="N121" i="1" s="1"/>
  <c r="N122" i="1" s="1"/>
  <c r="N153" i="1" s="1"/>
  <c r="N154" i="1" s="1"/>
  <c r="N172" i="1" s="1"/>
  <c r="O125" i="1"/>
  <c r="W125" i="1" s="1"/>
  <c r="W69" i="1"/>
  <c r="W119" i="1"/>
  <c r="W137" i="1"/>
  <c r="W89" i="1"/>
  <c r="U152" i="1"/>
  <c r="W32" i="1"/>
  <c r="O92" i="1"/>
  <c r="W92" i="1" s="1"/>
  <c r="W160" i="1"/>
  <c r="H61" i="1"/>
  <c r="I22" i="1"/>
  <c r="I24" i="1" s="1"/>
  <c r="I25" i="1" s="1"/>
  <c r="I74" i="1" s="1"/>
  <c r="I75" i="1" s="1"/>
  <c r="D22" i="1"/>
  <c r="D24" i="1" s="1"/>
  <c r="D25" i="1" s="1"/>
  <c r="D74" i="1" s="1"/>
  <c r="D75" i="1" s="1"/>
  <c r="W66" i="1"/>
  <c r="W70" i="1"/>
  <c r="W145" i="1"/>
  <c r="W33" i="1"/>
  <c r="W84" i="1"/>
  <c r="O30" i="1"/>
  <c r="W30" i="1" s="1"/>
  <c r="K22" i="1"/>
  <c r="K24" i="1" s="1"/>
  <c r="K25" i="1" s="1"/>
  <c r="W43" i="1"/>
  <c r="W47" i="1"/>
  <c r="W67" i="1"/>
  <c r="W114" i="1"/>
  <c r="W126" i="1"/>
  <c r="W129" i="1"/>
  <c r="W109" i="1"/>
  <c r="W38" i="1"/>
  <c r="W50" i="1"/>
  <c r="U117" i="1"/>
  <c r="W111" i="1"/>
  <c r="F171" i="1"/>
  <c r="W162" i="1"/>
  <c r="U16" i="1"/>
  <c r="U22" i="1" s="1"/>
  <c r="U24" i="1" s="1"/>
  <c r="U25" i="1" s="1"/>
  <c r="W14" i="1"/>
  <c r="W16" i="1" s="1"/>
  <c r="H21" i="1"/>
  <c r="H22" i="1" s="1"/>
  <c r="H24" i="1" s="1"/>
  <c r="H25" i="1" s="1"/>
  <c r="O17" i="1"/>
  <c r="O78" i="1"/>
  <c r="I99" i="1"/>
  <c r="I121" i="1" s="1"/>
  <c r="I122" i="1" s="1"/>
  <c r="I153" i="1" s="1"/>
  <c r="I154" i="1" s="1"/>
  <c r="I172" i="1" s="1"/>
  <c r="O169" i="1"/>
  <c r="H171" i="1"/>
  <c r="L74" i="1"/>
  <c r="L75" i="1" s="1"/>
  <c r="L121" i="1" s="1"/>
  <c r="L122" i="1" s="1"/>
  <c r="L153" i="1" s="1"/>
  <c r="L154" i="1" s="1"/>
  <c r="L172" i="1" s="1"/>
  <c r="U99" i="1"/>
  <c r="S171" i="1"/>
  <c r="S172" i="1" s="1"/>
  <c r="U167" i="1"/>
  <c r="W167" i="1" s="1"/>
  <c r="W77" i="1"/>
  <c r="O94" i="1"/>
  <c r="W94" i="1" s="1"/>
  <c r="W65" i="1"/>
  <c r="W123" i="1"/>
  <c r="W148" i="1"/>
  <c r="W157" i="1"/>
  <c r="U73" i="1"/>
  <c r="W62" i="1"/>
  <c r="G22" i="1"/>
  <c r="G24" i="1" s="1"/>
  <c r="G25" i="1" s="1"/>
  <c r="G74" i="1" s="1"/>
  <c r="G75" i="1" s="1"/>
  <c r="G121" i="1" s="1"/>
  <c r="G122" i="1" s="1"/>
  <c r="G153" i="1" s="1"/>
  <c r="G154" i="1" s="1"/>
  <c r="G172" i="1" s="1"/>
  <c r="O83" i="1"/>
  <c r="W83" i="1" s="1"/>
  <c r="D99" i="1"/>
  <c r="W57" i="1"/>
  <c r="O26" i="1"/>
  <c r="J61" i="1"/>
  <c r="O28" i="1"/>
  <c r="W28" i="1" s="1"/>
  <c r="O91" i="1"/>
  <c r="W91" i="1" s="1"/>
  <c r="H99" i="1"/>
  <c r="W103" i="1"/>
  <c r="D62" i="4" l="1"/>
  <c r="R35" i="4"/>
  <c r="Y35" i="4" s="1"/>
  <c r="R135" i="4"/>
  <c r="Y135" i="4" s="1"/>
  <c r="R101" i="4"/>
  <c r="Y101" i="4" s="1"/>
  <c r="D157" i="4"/>
  <c r="R157" i="4" s="1"/>
  <c r="Y157" i="4" s="1"/>
  <c r="X35" i="4"/>
  <c r="V158" i="4"/>
  <c r="V159" i="4" s="1"/>
  <c r="V181" i="4" s="1"/>
  <c r="V194" i="4" s="1"/>
  <c r="V195" i="4" s="1"/>
  <c r="V233" i="4" s="1"/>
  <c r="R34" i="4"/>
  <c r="X34" i="4"/>
  <c r="X135" i="4"/>
  <c r="Y52" i="4"/>
  <c r="R133" i="4"/>
  <c r="Y133" i="4" s="1"/>
  <c r="U63" i="4"/>
  <c r="X62" i="4"/>
  <c r="R144" i="4"/>
  <c r="Y144" i="4" s="1"/>
  <c r="E157" i="4"/>
  <c r="E158" i="4" s="1"/>
  <c r="E159" i="4" s="1"/>
  <c r="E181" i="4" s="1"/>
  <c r="E194" i="4" s="1"/>
  <c r="E195" i="4" s="1"/>
  <c r="E233" i="4" s="1"/>
  <c r="T107" i="4"/>
  <c r="R105" i="4"/>
  <c r="Y105" i="4" s="1"/>
  <c r="J101" i="3"/>
  <c r="J102" i="3" s="1"/>
  <c r="J121" i="3" s="1"/>
  <c r="J78" i="3"/>
  <c r="J79" i="3" s="1"/>
  <c r="U78" i="3"/>
  <c r="U79" i="3" s="1"/>
  <c r="U101" i="3"/>
  <c r="U102" i="3" s="1"/>
  <c r="U121" i="3" s="1"/>
  <c r="I154" i="3"/>
  <c r="I155" i="3" s="1"/>
  <c r="I186" i="3" s="1"/>
  <c r="I122" i="3"/>
  <c r="I141" i="3" s="1"/>
  <c r="N101" i="3"/>
  <c r="N102" i="3" s="1"/>
  <c r="N121" i="3" s="1"/>
  <c r="N78" i="3"/>
  <c r="N79" i="3" s="1"/>
  <c r="G154" i="3"/>
  <c r="G155" i="3" s="1"/>
  <c r="G186" i="3" s="1"/>
  <c r="G122" i="3"/>
  <c r="G141" i="3" s="1"/>
  <c r="R154" i="3"/>
  <c r="R155" i="3" s="1"/>
  <c r="R186" i="3" s="1"/>
  <c r="R122" i="3"/>
  <c r="R141" i="3" s="1"/>
  <c r="F101" i="3"/>
  <c r="F102" i="3" s="1"/>
  <c r="F121" i="3" s="1"/>
  <c r="F78" i="3"/>
  <c r="F79" i="3" s="1"/>
  <c r="T101" i="3"/>
  <c r="T102" i="3" s="1"/>
  <c r="T121" i="3" s="1"/>
  <c r="T78" i="3"/>
  <c r="T79" i="3" s="1"/>
  <c r="O97" i="3"/>
  <c r="O100" i="3" s="1"/>
  <c r="W97" i="3"/>
  <c r="W65" i="3"/>
  <c r="W77" i="3" s="1"/>
  <c r="O77" i="3"/>
  <c r="W88" i="3"/>
  <c r="W100" i="3" s="1"/>
  <c r="O137" i="3"/>
  <c r="W134" i="3"/>
  <c r="W137" i="3" s="1"/>
  <c r="W140" i="3" s="1"/>
  <c r="L121" i="3"/>
  <c r="X101" i="3"/>
  <c r="X78" i="3"/>
  <c r="X79" i="3" s="1"/>
  <c r="H122" i="3"/>
  <c r="H141" i="3" s="1"/>
  <c r="H154" i="3"/>
  <c r="H155" i="3" s="1"/>
  <c r="H186" i="3" s="1"/>
  <c r="O140" i="3"/>
  <c r="E101" i="3"/>
  <c r="E102" i="3" s="1"/>
  <c r="E121" i="3" s="1"/>
  <c r="E78" i="3"/>
  <c r="E79" i="3" s="1"/>
  <c r="M122" i="3"/>
  <c r="M141" i="3" s="1"/>
  <c r="M154" i="3"/>
  <c r="M155" i="3" s="1"/>
  <c r="M186" i="3" s="1"/>
  <c r="O185" i="3"/>
  <c r="D101" i="3"/>
  <c r="D102" i="3" s="1"/>
  <c r="D121" i="3" s="1"/>
  <c r="D78" i="3"/>
  <c r="D79" i="3" s="1"/>
  <c r="W112" i="3"/>
  <c r="W117" i="3" s="1"/>
  <c r="W120" i="3" s="1"/>
  <c r="O117" i="3"/>
  <c r="O120" i="3" s="1"/>
  <c r="O32" i="3"/>
  <c r="O33" i="3" s="1"/>
  <c r="W24" i="3"/>
  <c r="W32" i="3" s="1"/>
  <c r="S101" i="3"/>
  <c r="S102" i="3" s="1"/>
  <c r="S121" i="3" s="1"/>
  <c r="K121" i="3"/>
  <c r="F90" i="2"/>
  <c r="F91" i="2" s="1"/>
  <c r="F178" i="2" s="1"/>
  <c r="F179" i="2" s="1"/>
  <c r="F302" i="2" s="1"/>
  <c r="F303" i="2" s="1"/>
  <c r="F385" i="2" s="1"/>
  <c r="F386" i="2" s="1"/>
  <c r="F444" i="2" s="1"/>
  <c r="R42" i="2"/>
  <c r="Y42" i="2" s="1"/>
  <c r="AB42" i="2" s="1"/>
  <c r="R276" i="2"/>
  <c r="Y276" i="2" s="1"/>
  <c r="R443" i="2"/>
  <c r="Y443" i="2" s="1"/>
  <c r="T91" i="2"/>
  <c r="X90" i="2"/>
  <c r="L90" i="2"/>
  <c r="L91" i="2" s="1"/>
  <c r="L178" i="2" s="1"/>
  <c r="L179" i="2" s="1"/>
  <c r="L302" i="2" s="1"/>
  <c r="L303" i="2" s="1"/>
  <c r="L385" i="2" s="1"/>
  <c r="L386" i="2" s="1"/>
  <c r="L444" i="2" s="1"/>
  <c r="R384" i="2"/>
  <c r="Y384" i="2" s="1"/>
  <c r="Q302" i="2"/>
  <c r="Q303" i="2" s="1"/>
  <c r="Q385" i="2" s="1"/>
  <c r="Q386" i="2" s="1"/>
  <c r="Q444" i="2" s="1"/>
  <c r="D91" i="2"/>
  <c r="J74" i="1"/>
  <c r="J75" i="1" s="1"/>
  <c r="J121" i="1" s="1"/>
  <c r="J122" i="1" s="1"/>
  <c r="J153" i="1" s="1"/>
  <c r="J154" i="1" s="1"/>
  <c r="J172" i="1" s="1"/>
  <c r="H74" i="1"/>
  <c r="H75" i="1" s="1"/>
  <c r="H121" i="1" s="1"/>
  <c r="H122" i="1" s="1"/>
  <c r="H153" i="1" s="1"/>
  <c r="H154" i="1" s="1"/>
  <c r="H172" i="1" s="1"/>
  <c r="F172" i="1"/>
  <c r="K74" i="1"/>
  <c r="K75" i="1" s="1"/>
  <c r="K121" i="1" s="1"/>
  <c r="K122" i="1" s="1"/>
  <c r="K153" i="1" s="1"/>
  <c r="K154" i="1" s="1"/>
  <c r="K172" i="1" s="1"/>
  <c r="O152" i="1"/>
  <c r="W152" i="1" s="1"/>
  <c r="D121" i="1"/>
  <c r="D122" i="1" s="1"/>
  <c r="D153" i="1" s="1"/>
  <c r="D154" i="1" s="1"/>
  <c r="D172" i="1" s="1"/>
  <c r="W17" i="1"/>
  <c r="W21" i="1" s="1"/>
  <c r="O21" i="1"/>
  <c r="O22" i="1" s="1"/>
  <c r="U171" i="1"/>
  <c r="W73" i="1"/>
  <c r="W169" i="1"/>
  <c r="W171" i="1" s="1"/>
  <c r="O171" i="1"/>
  <c r="O61" i="1"/>
  <c r="W26" i="1"/>
  <c r="W61" i="1" s="1"/>
  <c r="W78" i="1"/>
  <c r="O99" i="1"/>
  <c r="W99" i="1" s="1"/>
  <c r="U74" i="1"/>
  <c r="U75" i="1" s="1"/>
  <c r="U121" i="1" s="1"/>
  <c r="U122" i="1" s="1"/>
  <c r="U153" i="1" s="1"/>
  <c r="U154" i="1" s="1"/>
  <c r="U172" i="1" s="1"/>
  <c r="U106" i="4" l="1"/>
  <c r="X63" i="4"/>
  <c r="D63" i="4"/>
  <c r="R62" i="4"/>
  <c r="Y62" i="4" s="1"/>
  <c r="T136" i="4"/>
  <c r="Y34" i="4"/>
  <c r="K154" i="3"/>
  <c r="K155" i="3" s="1"/>
  <c r="K186" i="3" s="1"/>
  <c r="K122" i="3"/>
  <c r="K141" i="3" s="1"/>
  <c r="E122" i="3"/>
  <c r="E141" i="3" s="1"/>
  <c r="E154" i="3"/>
  <c r="E155" i="3" s="1"/>
  <c r="E186" i="3" s="1"/>
  <c r="S122" i="3"/>
  <c r="S141" i="3" s="1"/>
  <c r="S154" i="3"/>
  <c r="S155" i="3" s="1"/>
  <c r="S186" i="3" s="1"/>
  <c r="L154" i="3"/>
  <c r="L155" i="3" s="1"/>
  <c r="L186" i="3" s="1"/>
  <c r="L122" i="3"/>
  <c r="L141" i="3" s="1"/>
  <c r="U122" i="3"/>
  <c r="U141" i="3" s="1"/>
  <c r="U154" i="3"/>
  <c r="U155" i="3" s="1"/>
  <c r="U186" i="3" s="1"/>
  <c r="X121" i="3"/>
  <c r="X102" i="3"/>
  <c r="T122" i="3"/>
  <c r="T141" i="3" s="1"/>
  <c r="T154" i="3"/>
  <c r="T155" i="3" s="1"/>
  <c r="T186" i="3" s="1"/>
  <c r="N122" i="3"/>
  <c r="N141" i="3" s="1"/>
  <c r="N154" i="3"/>
  <c r="N155" i="3" s="1"/>
  <c r="N186" i="3" s="1"/>
  <c r="W33" i="3"/>
  <c r="W39" i="3" s="1"/>
  <c r="O39" i="3"/>
  <c r="O40" i="3" s="1"/>
  <c r="D154" i="3"/>
  <c r="D155" i="3" s="1"/>
  <c r="D186" i="3" s="1"/>
  <c r="D122" i="3"/>
  <c r="D141" i="3" s="1"/>
  <c r="F122" i="3"/>
  <c r="F141" i="3" s="1"/>
  <c r="F154" i="3"/>
  <c r="F155" i="3" s="1"/>
  <c r="F186" i="3" s="1"/>
  <c r="J122" i="3"/>
  <c r="J141" i="3" s="1"/>
  <c r="J154" i="3"/>
  <c r="J155" i="3" s="1"/>
  <c r="J186" i="3" s="1"/>
  <c r="R91" i="2"/>
  <c r="D178" i="2"/>
  <c r="R90" i="2"/>
  <c r="Y90" i="2" s="1"/>
  <c r="AB90" i="2" s="1"/>
  <c r="X91" i="2"/>
  <c r="T178" i="2"/>
  <c r="W22" i="1"/>
  <c r="O24" i="1"/>
  <c r="D106" i="4" l="1"/>
  <c r="R63" i="4"/>
  <c r="Y63" i="4" s="1"/>
  <c r="T137" i="4"/>
  <c r="U107" i="4"/>
  <c r="X106" i="4"/>
  <c r="X122" i="3"/>
  <c r="X141" i="3"/>
  <c r="X154" i="3" s="1"/>
  <c r="O78" i="3"/>
  <c r="O79" i="3" s="1"/>
  <c r="W79" i="3" s="1"/>
  <c r="O101" i="3"/>
  <c r="O102" i="3" s="1"/>
  <c r="W40" i="3"/>
  <c r="D179" i="2"/>
  <c r="R178" i="2"/>
  <c r="T179" i="2"/>
  <c r="X178" i="2"/>
  <c r="Y91" i="2"/>
  <c r="W24" i="1"/>
  <c r="O25" i="1"/>
  <c r="T158" i="4" l="1"/>
  <c r="U136" i="4"/>
  <c r="X107" i="4"/>
  <c r="D107" i="4"/>
  <c r="R106" i="4"/>
  <c r="Y106" i="4" s="1"/>
  <c r="X186" i="3"/>
  <c r="X155" i="3"/>
  <c r="W102" i="3"/>
  <c r="O121" i="3"/>
  <c r="W101" i="3"/>
  <c r="W78" i="3"/>
  <c r="X179" i="2"/>
  <c r="X302" i="2" s="1"/>
  <c r="T302" i="2"/>
  <c r="T303" i="2" s="1"/>
  <c r="Y178" i="2"/>
  <c r="D302" i="2"/>
  <c r="D303" i="2" s="1"/>
  <c r="R179" i="2"/>
  <c r="W25" i="1"/>
  <c r="W74" i="1" s="1"/>
  <c r="O74" i="1"/>
  <c r="O75" i="1" s="1"/>
  <c r="T159" i="4" l="1"/>
  <c r="U137" i="4"/>
  <c r="X136" i="4"/>
  <c r="R107" i="4"/>
  <c r="Y107" i="4" s="1"/>
  <c r="D136" i="4"/>
  <c r="W121" i="3"/>
  <c r="W154" i="3" s="1"/>
  <c r="O154" i="3"/>
  <c r="O155" i="3" s="1"/>
  <c r="O122" i="3"/>
  <c r="T385" i="2"/>
  <c r="X303" i="2"/>
  <c r="D385" i="2"/>
  <c r="R303" i="2"/>
  <c r="Y303" i="2" s="1"/>
  <c r="R302" i="2"/>
  <c r="Y179" i="2"/>
  <c r="Y302" i="2" s="1"/>
  <c r="AB302" i="2" s="1"/>
  <c r="W75" i="1"/>
  <c r="W121" i="1" s="1"/>
  <c r="O121" i="1"/>
  <c r="O122" i="1" s="1"/>
  <c r="U158" i="4" l="1"/>
  <c r="X137" i="4"/>
  <c r="R136" i="4"/>
  <c r="Y136" i="4" s="1"/>
  <c r="D137" i="4"/>
  <c r="T181" i="4"/>
  <c r="W155" i="3"/>
  <c r="O186" i="3"/>
  <c r="W186" i="3" s="1"/>
  <c r="W122" i="3"/>
  <c r="O141" i="3"/>
  <c r="W141" i="3" s="1"/>
  <c r="R385" i="2"/>
  <c r="D386" i="2"/>
  <c r="T386" i="2"/>
  <c r="X385" i="2"/>
  <c r="O153" i="1"/>
  <c r="O154" i="1" s="1"/>
  <c r="W122" i="1"/>
  <c r="W153" i="1" s="1"/>
  <c r="D158" i="4" l="1"/>
  <c r="R137" i="4"/>
  <c r="Y137" i="4" s="1"/>
  <c r="T194" i="4"/>
  <c r="U159" i="4"/>
  <c r="X158" i="4"/>
  <c r="T444" i="2"/>
  <c r="X444" i="2" s="1"/>
  <c r="X386" i="2"/>
  <c r="D444" i="2"/>
  <c r="R444" i="2" s="1"/>
  <c r="R386" i="2"/>
  <c r="Y386" i="2" s="1"/>
  <c r="Y385" i="2"/>
  <c r="O172" i="1"/>
  <c r="W154" i="1"/>
  <c r="W172" i="1" s="1"/>
  <c r="T195" i="4" l="1"/>
  <c r="U181" i="4"/>
  <c r="X159" i="4"/>
  <c r="R158" i="4"/>
  <c r="Y158" i="4" s="1"/>
  <c r="Z158" i="4" s="1"/>
  <c r="D159" i="4"/>
  <c r="Y444" i="2"/>
  <c r="U194" i="4" l="1"/>
  <c r="X181" i="4"/>
  <c r="R159" i="4"/>
  <c r="Y159" i="4" s="1"/>
  <c r="D181" i="4"/>
  <c r="T233" i="4"/>
  <c r="D194" i="4" l="1"/>
  <c r="R181" i="4"/>
  <c r="Y181" i="4" s="1"/>
  <c r="U195" i="4"/>
  <c r="X194" i="4"/>
  <c r="U233" i="4" l="1"/>
  <c r="X233" i="4" s="1"/>
  <c r="X195" i="4"/>
  <c r="R194" i="4"/>
  <c r="Y194" i="4" s="1"/>
  <c r="D195" i="4"/>
  <c r="R195" i="4" l="1"/>
  <c r="Y195" i="4" s="1"/>
  <c r="D233" i="4"/>
  <c r="R233" i="4" s="1"/>
  <c r="Y233" i="4" s="1"/>
</calcChain>
</file>

<file path=xl/sharedStrings.xml><?xml version="1.0" encoding="utf-8"?>
<sst xmlns="http://schemas.openxmlformats.org/spreadsheetml/2006/main" count="1400" uniqueCount="641">
  <si>
    <t>K I M U T A T Á S</t>
  </si>
  <si>
    <t>ezer Ft-ban</t>
  </si>
  <si>
    <t xml:space="preserve"> </t>
  </si>
  <si>
    <t>Szöveges indoklás a</t>
  </si>
  <si>
    <t>Egyéb</t>
  </si>
  <si>
    <t>Működési</t>
  </si>
  <si>
    <t>Felhalmozási</t>
  </si>
  <si>
    <t>Bevételek</t>
  </si>
  <si>
    <t>Ssz.</t>
  </si>
  <si>
    <t>forrás származására és a kiadás</t>
  </si>
  <si>
    <t>bevételek</t>
  </si>
  <si>
    <t>célú</t>
  </si>
  <si>
    <t>összesen</t>
  </si>
  <si>
    <t>felhasználási  jogcimére</t>
  </si>
  <si>
    <t>visszatérül.</t>
  </si>
  <si>
    <t>működési</t>
  </si>
  <si>
    <t>bevételei</t>
  </si>
  <si>
    <t>pénzeszköz</t>
  </si>
  <si>
    <t>Érvényes előirányzatok:</t>
  </si>
  <si>
    <t>Módosítás</t>
  </si>
  <si>
    <t>Módosított előirányzat</t>
  </si>
  <si>
    <t>Féléves</t>
  </si>
  <si>
    <t>000</t>
  </si>
  <si>
    <t>Felülvizsgálat</t>
  </si>
  <si>
    <t>010</t>
  </si>
  <si>
    <t>030</t>
  </si>
  <si>
    <t>070</t>
  </si>
  <si>
    <t>080</t>
  </si>
  <si>
    <t>090</t>
  </si>
  <si>
    <t>120</t>
  </si>
  <si>
    <t>121</t>
  </si>
  <si>
    <t>180</t>
  </si>
  <si>
    <t>Felülvizsgálati módosítások összesen:</t>
  </si>
  <si>
    <t>Módosítások összesen:</t>
  </si>
  <si>
    <t>K I A D Á S O K</t>
  </si>
  <si>
    <t>Ellátottak</t>
  </si>
  <si>
    <t>Intézmény-</t>
  </si>
  <si>
    <t>Kiadások</t>
  </si>
  <si>
    <t>Személyi</t>
  </si>
  <si>
    <t>Munkaadót</t>
  </si>
  <si>
    <t xml:space="preserve">Dologi </t>
  </si>
  <si>
    <t>pénzbeli</t>
  </si>
  <si>
    <t>kiadások</t>
  </si>
  <si>
    <t>kölcsönök</t>
  </si>
  <si>
    <t>Tartalékok</t>
  </si>
  <si>
    <t>finan-</t>
  </si>
  <si>
    <t>juttatás</t>
  </si>
  <si>
    <t>juttatásai</t>
  </si>
  <si>
    <t>nyújtása</t>
  </si>
  <si>
    <t>kiadásai</t>
  </si>
  <si>
    <t>szírozás</t>
  </si>
  <si>
    <t>járulékok</t>
  </si>
  <si>
    <t>támogatás</t>
  </si>
  <si>
    <t>pénzmaradvány</t>
  </si>
  <si>
    <t>020</t>
  </si>
  <si>
    <t>021</t>
  </si>
  <si>
    <t>025</t>
  </si>
  <si>
    <t>026</t>
  </si>
  <si>
    <t>028</t>
  </si>
  <si>
    <t>032</t>
  </si>
  <si>
    <t>033</t>
  </si>
  <si>
    <t>034</t>
  </si>
  <si>
    <t>051</t>
  </si>
  <si>
    <t>052</t>
  </si>
  <si>
    <t>060</t>
  </si>
  <si>
    <t>101</t>
  </si>
  <si>
    <t xml:space="preserve">Pénzmaradvány </t>
  </si>
  <si>
    <t>Pénzmaradvány</t>
  </si>
  <si>
    <t>Vonal alattiak</t>
  </si>
  <si>
    <t>019</t>
  </si>
  <si>
    <t>1</t>
  </si>
  <si>
    <t>001</t>
  </si>
  <si>
    <t>022</t>
  </si>
  <si>
    <t>Hivatalhoz rendelt intézmények pénzmaradványa</t>
  </si>
  <si>
    <t>Eredeti előirányzatok:</t>
  </si>
  <si>
    <t>Kerekítés miatt</t>
  </si>
  <si>
    <t>002</t>
  </si>
  <si>
    <t>013</t>
  </si>
  <si>
    <t>085</t>
  </si>
  <si>
    <t>102</t>
  </si>
  <si>
    <t>105</t>
  </si>
  <si>
    <t>112</t>
  </si>
  <si>
    <t>150</t>
  </si>
  <si>
    <t>190</t>
  </si>
  <si>
    <t>terhelő</t>
  </si>
  <si>
    <t>Szociális adó</t>
  </si>
  <si>
    <t>támogatások</t>
  </si>
  <si>
    <t>024</t>
  </si>
  <si>
    <t>037</t>
  </si>
  <si>
    <t>054</t>
  </si>
  <si>
    <t>1/H-1</t>
  </si>
  <si>
    <t>003</t>
  </si>
  <si>
    <t>H010</t>
  </si>
  <si>
    <t>Előző évi maradvány átvétel</t>
  </si>
  <si>
    <t>FELÜGYELETI HATÁSKÖRŰ MÓDOSÍTÁSOK</t>
  </si>
  <si>
    <t>SAJÁT HATÁSKÖRŰ MÓDOSÍTÁSOK</t>
  </si>
  <si>
    <t>A</t>
  </si>
  <si>
    <t>B</t>
  </si>
  <si>
    <t>Módosítások összesen (A+B)</t>
  </si>
  <si>
    <t>H151</t>
  </si>
  <si>
    <t>1. sz. melléklet</t>
  </si>
  <si>
    <t>2. sz. melléklet</t>
  </si>
  <si>
    <t>3. sz. melléklet</t>
  </si>
  <si>
    <t>4. sz. melléklet</t>
  </si>
  <si>
    <t>Felülvizs.</t>
  </si>
  <si>
    <t>ő151</t>
  </si>
  <si>
    <t>ő180</t>
  </si>
  <si>
    <t>Rendelet 5. sz. tábla</t>
  </si>
  <si>
    <t>belülről</t>
  </si>
  <si>
    <t>átvett</t>
  </si>
  <si>
    <t>Felhal-</t>
  </si>
  <si>
    <t>mozási</t>
  </si>
  <si>
    <t>felhalm.</t>
  </si>
  <si>
    <t>első</t>
  </si>
  <si>
    <t>Csak szöveges módosítás volt</t>
  </si>
  <si>
    <t>Csak szöveges módosítás volt!</t>
  </si>
  <si>
    <t xml:space="preserve">Irányító </t>
  </si>
  <si>
    <t>szervtől</t>
  </si>
  <si>
    <t>kapott</t>
  </si>
  <si>
    <t>H090</t>
  </si>
  <si>
    <t>H105</t>
  </si>
  <si>
    <t>H180</t>
  </si>
  <si>
    <t xml:space="preserve">Előirányzat maradvány átvétel terhére </t>
  </si>
  <si>
    <t>…</t>
  </si>
  <si>
    <t>111</t>
  </si>
  <si>
    <t>418</t>
  </si>
  <si>
    <t>419</t>
  </si>
  <si>
    <t>utólag feladásnál</t>
  </si>
  <si>
    <t>nyolcadik</t>
  </si>
  <si>
    <t>Műk. célú támogatások áht-n belülről</t>
  </si>
  <si>
    <t>Önkorm.</t>
  </si>
  <si>
    <t>Elvonások</t>
  </si>
  <si>
    <t>Egyéb műk.c.</t>
  </si>
  <si>
    <t xml:space="preserve">és </t>
  </si>
  <si>
    <t>támogatása</t>
  </si>
  <si>
    <t>befizetések</t>
  </si>
  <si>
    <t>áht-n</t>
  </si>
  <si>
    <t>Felh.c.tám.áht-n belülről</t>
  </si>
  <si>
    <t>Felh.c.átvett pénzeszközök</t>
  </si>
  <si>
    <t>Közhatalmi</t>
  </si>
  <si>
    <t>Egyéb felh.c.</t>
  </si>
  <si>
    <t>Felh.c.</t>
  </si>
  <si>
    <t>támogatások,</t>
  </si>
  <si>
    <t>önk-i</t>
  </si>
  <si>
    <t>célú átvett</t>
  </si>
  <si>
    <t>Költség-</t>
  </si>
  <si>
    <t>vetési</t>
  </si>
  <si>
    <t>Finanszírozási bevételek</t>
  </si>
  <si>
    <t xml:space="preserve">Belföldi </t>
  </si>
  <si>
    <t>Előző év</t>
  </si>
  <si>
    <t>Központi,</t>
  </si>
  <si>
    <t>Betétek</t>
  </si>
  <si>
    <t>érték-</t>
  </si>
  <si>
    <t>költségv-i</t>
  </si>
  <si>
    <t>irányító</t>
  </si>
  <si>
    <t>megszün-</t>
  </si>
  <si>
    <t>papírok</t>
  </si>
  <si>
    <t>maradvány</t>
  </si>
  <si>
    <t>szervi</t>
  </si>
  <si>
    <t>tetése</t>
  </si>
  <si>
    <t>igénybevét.</t>
  </si>
  <si>
    <t>(3+…+13)</t>
  </si>
  <si>
    <t>Finan-</t>
  </si>
  <si>
    <t>szírozási</t>
  </si>
  <si>
    <t>(15+18)</t>
  </si>
  <si>
    <t>(14 + 19)</t>
  </si>
  <si>
    <t>Módosított előirányzatok</t>
  </si>
  <si>
    <t>Módosított előirányzatok:</t>
  </si>
  <si>
    <t>Felh.c.vtérít.</t>
  </si>
  <si>
    <t>Lakás-</t>
  </si>
  <si>
    <t>Hosszú lej.</t>
  </si>
  <si>
    <t>Belföldi</t>
  </si>
  <si>
    <t>Pénzeszk.</t>
  </si>
  <si>
    <t>Beruházások</t>
  </si>
  <si>
    <t>Felújítások</t>
  </si>
  <si>
    <t>felhalm.célú</t>
  </si>
  <si>
    <t>tám.,kölcsön</t>
  </si>
  <si>
    <t>hitelek,</t>
  </si>
  <si>
    <t>betétként</t>
  </si>
  <si>
    <t xml:space="preserve"> kölcsönök</t>
  </si>
  <si>
    <t>szervi tám.</t>
  </si>
  <si>
    <t>elhelye-</t>
  </si>
  <si>
    <t>belülre</t>
  </si>
  <si>
    <t>kívülre</t>
  </si>
  <si>
    <t>áht-n belülre</t>
  </si>
  <si>
    <t>áht-n kívülre</t>
  </si>
  <si>
    <t>törlesztése</t>
  </si>
  <si>
    <t>folyósítása</t>
  </si>
  <si>
    <t>zése</t>
  </si>
  <si>
    <t>Működési költségvetési kiadások</t>
  </si>
  <si>
    <t>Felhalmozási költségvetési kiadások</t>
  </si>
  <si>
    <t>Finanszírozási kiadások</t>
  </si>
  <si>
    <t>Pénzmaradvánnyal módosított előirányzatok</t>
  </si>
  <si>
    <t>MSZP Frakciókeret</t>
  </si>
  <si>
    <t>FIDESZ-KDNP Frakciókeret</t>
  </si>
  <si>
    <t>Tvész úti Bölcsőde bőv.KMOP-4.5.2-11.</t>
  </si>
  <si>
    <t>EIM-2</t>
  </si>
  <si>
    <t>EIM-3</t>
  </si>
  <si>
    <t>EIM-6</t>
  </si>
  <si>
    <t>EIM-4</t>
  </si>
  <si>
    <t>Intézményfinanszírozás</t>
  </si>
  <si>
    <t>EIM-5</t>
  </si>
  <si>
    <t>EIM-7</t>
  </si>
  <si>
    <t>Gyermekek átmeneti gondozása - készenléti díj</t>
  </si>
  <si>
    <t>EIM-8</t>
  </si>
  <si>
    <t>Hidegkúti temetkezési emlékhely kialakítás előkészítése</t>
  </si>
  <si>
    <t>Első</t>
  </si>
  <si>
    <t>(3+16)</t>
  </si>
  <si>
    <t>(18+21)</t>
  </si>
  <si>
    <t>(17+22)</t>
  </si>
  <si>
    <t>Szoc. adó</t>
  </si>
  <si>
    <t>Második</t>
  </si>
  <si>
    <t>Féléves 2.</t>
  </si>
  <si>
    <t>Irányító szervi támogatás/ Eü.Szolg.</t>
  </si>
  <si>
    <t>EIM-11</t>
  </si>
  <si>
    <t>EIM-33</t>
  </si>
  <si>
    <t>EIM-12</t>
  </si>
  <si>
    <t>EIM-13</t>
  </si>
  <si>
    <t>EIM-14</t>
  </si>
  <si>
    <t>EIM-16</t>
  </si>
  <si>
    <t>EIM-17</t>
  </si>
  <si>
    <t>EIM-18</t>
  </si>
  <si>
    <t>EIM-19</t>
  </si>
  <si>
    <t>Irányító szervi támogatás</t>
  </si>
  <si>
    <t>Oktatási intézmények működtetése, fejlesztése</t>
  </si>
  <si>
    <t>EIM-30</t>
  </si>
  <si>
    <t>EIM-31</t>
  </si>
  <si>
    <t>EIM-32</t>
  </si>
  <si>
    <t>EIM-35</t>
  </si>
  <si>
    <t>EIM-36</t>
  </si>
  <si>
    <t>EIM-39</t>
  </si>
  <si>
    <t>EIM-48</t>
  </si>
  <si>
    <t>EIM-47</t>
  </si>
  <si>
    <t>EIM-40</t>
  </si>
  <si>
    <t>EIM-37</t>
  </si>
  <si>
    <t>EIM-51</t>
  </si>
  <si>
    <t>EIM-52</t>
  </si>
  <si>
    <t>EIM-53</t>
  </si>
  <si>
    <t>EIM-54</t>
  </si>
  <si>
    <t>Csapadékvíz elvezetés vízjogi eng.díja</t>
  </si>
  <si>
    <t>Belterületi utak szilárd burkolattal való ellátása</t>
  </si>
  <si>
    <t>Polgármesteri Keret felhasználása</t>
  </si>
  <si>
    <t>Alpolgármesteri Keret felhasználása</t>
  </si>
  <si>
    <t>Várakozóhely megváltás</t>
  </si>
  <si>
    <t>EIM-20</t>
  </si>
  <si>
    <t>Bursa Hungarica -  fel nem használt ösztöndíj</t>
  </si>
  <si>
    <t>EIM-21</t>
  </si>
  <si>
    <t>Budai Díj - Lovas szobrok</t>
  </si>
  <si>
    <t>EIM-23</t>
  </si>
  <si>
    <t>Völgy u.1-3. Óvoda felúj-ihoz kapcs.továbbszla</t>
  </si>
  <si>
    <t>EIM-25</t>
  </si>
  <si>
    <t>Megváltott lakások felújítása</t>
  </si>
  <si>
    <t>Kényszerbérlet megszüntetése</t>
  </si>
  <si>
    <t>EIM-26</t>
  </si>
  <si>
    <t>Lakás bérleti jogviszony megváltása</t>
  </si>
  <si>
    <t>EIM-27</t>
  </si>
  <si>
    <t xml:space="preserve">HAVARIA Keret </t>
  </si>
  <si>
    <t>EIM-28</t>
  </si>
  <si>
    <t>Nemzetiségeink támogatása - Kerület  Napja</t>
  </si>
  <si>
    <t>EIM-29</t>
  </si>
  <si>
    <t>EIM-34</t>
  </si>
  <si>
    <t>Hidegkúti sportpályák kivitelezésee</t>
  </si>
  <si>
    <t>EIM-41</t>
  </si>
  <si>
    <t>Beruh.közbesz.lebonyolítási díja</t>
  </si>
  <si>
    <t>EIM-43</t>
  </si>
  <si>
    <t>KEF  drogprevenciós szabadidős programok támogatása</t>
  </si>
  <si>
    <t>EIM-45</t>
  </si>
  <si>
    <t>EIM-46</t>
  </si>
  <si>
    <t>Parkolási ellenőrőök részére mobiltelefon beszerzés</t>
  </si>
  <si>
    <t>EIM-38</t>
  </si>
  <si>
    <t>EIM-H-5</t>
  </si>
  <si>
    <t>Dokumentumszkenner vásárlás</t>
  </si>
  <si>
    <t>EIM-H-6</t>
  </si>
  <si>
    <t>Klíma szellőzőrács és kapulégfüggöny szűrő beép.</t>
  </si>
  <si>
    <t>EIM-H-7</t>
  </si>
  <si>
    <t>Széf beszerzésre, felújításra átcsop</t>
  </si>
  <si>
    <t>EIM-H-10</t>
  </si>
  <si>
    <t xml:space="preserve">Országgyűlési képviselő választás - központi keret </t>
  </si>
  <si>
    <t>EIM-H-11</t>
  </si>
  <si>
    <t>EIM-H-1</t>
  </si>
  <si>
    <t>EIM-1</t>
  </si>
  <si>
    <t>EIM-49</t>
  </si>
  <si>
    <t>Szennyvízcsatorna gerincvezeték vízjogi lét.eng.terv</t>
  </si>
  <si>
    <t>EIM-H-12</t>
  </si>
  <si>
    <t xml:space="preserve">Európai Parlamenti képviselő választás - központi keret </t>
  </si>
  <si>
    <t>Önk.szennyvízcsat. gerincvezeték vízjogi lét.eng.tervre</t>
  </si>
  <si>
    <t xml:space="preserve">Önk.szennyvízcsat. gerincvez.vízjogi lét.eng.terv miatt </t>
  </si>
  <si>
    <t>EIM-56</t>
  </si>
  <si>
    <t>EIM-H-13</t>
  </si>
  <si>
    <t xml:space="preserve">Országgyűlési képviselő választás - saját keret </t>
  </si>
  <si>
    <t>Bérkompenzáció 2014.01-05.hóra</t>
  </si>
  <si>
    <t>Szociális és gyermekvédelmi ágazati pótlék</t>
  </si>
  <si>
    <t>EIM-57</t>
  </si>
  <si>
    <t xml:space="preserve">Európai Parlamenti képviselő választás - saját keret </t>
  </si>
  <si>
    <t>EIM-H-14</t>
  </si>
  <si>
    <t>EIM-51 58</t>
  </si>
  <si>
    <t>EIM-H-16</t>
  </si>
  <si>
    <t>Önk.műk.tám.normatíva többlet beem.</t>
  </si>
  <si>
    <t>EIM-59</t>
  </si>
  <si>
    <t>Rovatrend tartalma miatt szükséges módosítások</t>
  </si>
  <si>
    <t>harmadik</t>
  </si>
  <si>
    <t>Harmadik</t>
  </si>
  <si>
    <t>Szept. 30.</t>
  </si>
  <si>
    <t>EIM-61</t>
  </si>
  <si>
    <t>EIM-62</t>
  </si>
  <si>
    <t>EIM-63</t>
  </si>
  <si>
    <t>EIM-64</t>
  </si>
  <si>
    <t>EIM-66</t>
  </si>
  <si>
    <t>Frankel L. u. 1. belső átalakítása</t>
  </si>
  <si>
    <t>EIM-67</t>
  </si>
  <si>
    <t>EIM-69</t>
  </si>
  <si>
    <t>Turizmusfejlesztési támogatás</t>
  </si>
  <si>
    <t>Zászlórudak telepítése</t>
  </si>
  <si>
    <t>Közbiztonsági feladatok ösztönzése</t>
  </si>
  <si>
    <t>Fellebbezési díj - Mikes K. u. fennmaradási eng.</t>
  </si>
  <si>
    <t>HungaroControll Zrt.tám.nagycsaládos fesztiválra</t>
  </si>
  <si>
    <t>EIM-70</t>
  </si>
  <si>
    <t>Közl.cspont, Hvölgyi-Kelemen kereszteződés</t>
  </si>
  <si>
    <t>EIM-71</t>
  </si>
  <si>
    <t>EIM-72</t>
  </si>
  <si>
    <t>Hidegkúti sportpályák kivitelezésére</t>
  </si>
  <si>
    <t>EIM-74</t>
  </si>
  <si>
    <t>EIM-76</t>
  </si>
  <si>
    <t>Konténer bérlés közbeszerzése</t>
  </si>
  <si>
    <t>EIM-78</t>
  </si>
  <si>
    <t>EIM-H-18</t>
  </si>
  <si>
    <t>Közfoglalkozás támogatása</t>
  </si>
  <si>
    <t>EIM-H-19</t>
  </si>
  <si>
    <t>Kazáncsere - Margit krt. 25/c.</t>
  </si>
  <si>
    <t>EIM-H-20</t>
  </si>
  <si>
    <t>Frankel Leó út 5. irodabútor beszerzés</t>
  </si>
  <si>
    <t>EIM-H-21</t>
  </si>
  <si>
    <t>Mobil telefon beszerzés</t>
  </si>
  <si>
    <t>EIM-H-22</t>
  </si>
  <si>
    <t>PH főépületében acél tartószerkezet készítése</t>
  </si>
  <si>
    <t>EIM-H-23</t>
  </si>
  <si>
    <t>PH főépületében acél tartószerkezet tervezése</t>
  </si>
  <si>
    <t>EIM-79</t>
  </si>
  <si>
    <t>Hidegkúti sportpályák kivitelezése</t>
  </si>
  <si>
    <t>EIM-83</t>
  </si>
  <si>
    <t>Közlekedési csomópont áteresztő kép.növ-re</t>
  </si>
  <si>
    <t>EIM-85</t>
  </si>
  <si>
    <t>EIM-86</t>
  </si>
  <si>
    <t>Gyalogátkelőhelyek fénymérése</t>
  </si>
  <si>
    <t>EIM-87</t>
  </si>
  <si>
    <t>Közművelődési érdekeltségnövelő tám.</t>
  </si>
  <si>
    <t>EIM-88</t>
  </si>
  <si>
    <t>EIM-89</t>
  </si>
  <si>
    <t>EIM-91</t>
  </si>
  <si>
    <t>Bursa Hungarica - visszautalt fel nem használt ösztöndíj</t>
  </si>
  <si>
    <t>EIM-92</t>
  </si>
  <si>
    <t>Pesthidegkúti gyalogos közlekedés fejlesztése</t>
  </si>
  <si>
    <t>EIM-102</t>
  </si>
  <si>
    <t>EIM-81</t>
  </si>
  <si>
    <t>EIM-82</t>
  </si>
  <si>
    <t>EIM-103</t>
  </si>
  <si>
    <t>Egészségközpont építés hatósági díjai</t>
  </si>
  <si>
    <t>EIM-104</t>
  </si>
  <si>
    <t>Kutyaürülék gyűjtő edények beszerzése</t>
  </si>
  <si>
    <t>EIM-106</t>
  </si>
  <si>
    <t>EIM-107</t>
  </si>
  <si>
    <t xml:space="preserve">Internet kortalanul 2. tanfolyam </t>
  </si>
  <si>
    <t>EIM-110</t>
  </si>
  <si>
    <t>Közszolgáltatási Megállapodás sportfeladatokra</t>
  </si>
  <si>
    <t>Völgy u.1-3. Óvoda felúj-i munkák</t>
  </si>
  <si>
    <t>EIM-112</t>
  </si>
  <si>
    <t>EIM-113</t>
  </si>
  <si>
    <t>EIM-114</t>
  </si>
  <si>
    <t>MLSZ sportpálya kivitelezése</t>
  </si>
  <si>
    <t>EIM-115</t>
  </si>
  <si>
    <t>Idősbarát Önkormányzat Díj</t>
  </si>
  <si>
    <t>EIM-116</t>
  </si>
  <si>
    <t>EIM-117</t>
  </si>
  <si>
    <t>MOGÜRT részvénycsomag értékesítése</t>
  </si>
  <si>
    <t>EIM-120</t>
  </si>
  <si>
    <t>Közbeszerzési bírság</t>
  </si>
  <si>
    <t>EIM-122</t>
  </si>
  <si>
    <t>EIM-123</t>
  </si>
  <si>
    <t>EIM-126</t>
  </si>
  <si>
    <t>EIM-127</t>
  </si>
  <si>
    <t>Szelektív szigetek átalakítása</t>
  </si>
  <si>
    <t>EIM-128</t>
  </si>
  <si>
    <t>Szoc.lakás felújításhoz kapcs.engedélyezési díj</t>
  </si>
  <si>
    <t>EIM-131</t>
  </si>
  <si>
    <t>Drogprevenciós szabadidős programok támogatása</t>
  </si>
  <si>
    <t>EIM-145</t>
  </si>
  <si>
    <t>EIM-146</t>
  </si>
  <si>
    <t>EIM-148</t>
  </si>
  <si>
    <t>EIM-144</t>
  </si>
  <si>
    <t>Irányító szervi támogatás - Eü.Szolg.</t>
  </si>
  <si>
    <t>EIM-132</t>
  </si>
  <si>
    <t>EIM-147</t>
  </si>
  <si>
    <t>EIM-134</t>
  </si>
  <si>
    <t>Parkfenntartás</t>
  </si>
  <si>
    <t>EIM-137</t>
  </si>
  <si>
    <t>EIM-138</t>
  </si>
  <si>
    <t>e-útdíj bev.kiesés ellentételezése</t>
  </si>
  <si>
    <t>EIM-139</t>
  </si>
  <si>
    <t>EIM-140</t>
  </si>
  <si>
    <t>Csatornaépítéshez kapcs.útépítés</t>
  </si>
  <si>
    <t>dr.Györgyi Géza emléktábla készítés</t>
  </si>
  <si>
    <t>EIM-130</t>
  </si>
  <si>
    <t>EIM-149</t>
  </si>
  <si>
    <t>EIM-150</t>
  </si>
  <si>
    <t>Közterületek örökbefogadása pr.</t>
  </si>
  <si>
    <t>EIM-151</t>
  </si>
  <si>
    <t xml:space="preserve">Adójutalék - tartalék felhasználása </t>
  </si>
  <si>
    <t>EIM-155</t>
  </si>
  <si>
    <t>EIM-156</t>
  </si>
  <si>
    <t>EIM-157</t>
  </si>
  <si>
    <t>EIM-160</t>
  </si>
  <si>
    <t>PH. Bérkompenzáció</t>
  </si>
  <si>
    <t>EIM-161</t>
  </si>
  <si>
    <t>Idősek napja</t>
  </si>
  <si>
    <t>EIM-143</t>
  </si>
  <si>
    <t>Keleti K.u.15/a iroda átalakítás</t>
  </si>
  <si>
    <t>EIM-158</t>
  </si>
  <si>
    <t>EIM-159</t>
  </si>
  <si>
    <t>Irányító szervi támogatás - Bérkompenzáció</t>
  </si>
  <si>
    <t>Bérkompenzáció - Eü.Szolg</t>
  </si>
  <si>
    <t>EIM-162</t>
  </si>
  <si>
    <t>EIM-164</t>
  </si>
  <si>
    <t>Itthon vagy-Magyarország, szeretlek!</t>
  </si>
  <si>
    <t>EIM-165</t>
  </si>
  <si>
    <t>Megszűnt nemzetiségi önk.</t>
  </si>
  <si>
    <t>EIM-166</t>
  </si>
  <si>
    <t>Ker.kártya,Településképi bírság,E.bev.</t>
  </si>
  <si>
    <t>EIM-168</t>
  </si>
  <si>
    <t>Közös tulajdon megszüntetése Kuruclesi út 16.</t>
  </si>
  <si>
    <t>EIM-169</t>
  </si>
  <si>
    <t>Bérleti jog átruházás áfa bevétele</t>
  </si>
  <si>
    <t>EIM-170</t>
  </si>
  <si>
    <t>Kiadás átcsoportosítás</t>
  </si>
  <si>
    <t>Bevételek átcsoportosítása</t>
  </si>
  <si>
    <t>EIM-H-32</t>
  </si>
  <si>
    <t>EIM-H-33</t>
  </si>
  <si>
    <t>EIM-151/
H-29</t>
  </si>
  <si>
    <t>EIM-160/
H-31</t>
  </si>
  <si>
    <t>EIM-161/
H-28</t>
  </si>
  <si>
    <t>EIM-171</t>
  </si>
  <si>
    <t>Többletbevétel beemelése</t>
  </si>
  <si>
    <t>EIM-185</t>
  </si>
  <si>
    <t>EIM-186</t>
  </si>
  <si>
    <t>EIM-187</t>
  </si>
  <si>
    <t>EIM-188</t>
  </si>
  <si>
    <t>EIM-194</t>
  </si>
  <si>
    <t>Fogyatékos személyek nappali ellátása</t>
  </si>
  <si>
    <t>EIM-172</t>
  </si>
  <si>
    <t>Bozay Attila emléktábla készítés</t>
  </si>
  <si>
    <t>EIM-173</t>
  </si>
  <si>
    <t>EIM-174</t>
  </si>
  <si>
    <t>Kerület kártyához kártyaolvasó beszerzés</t>
  </si>
  <si>
    <t>EIM-176</t>
  </si>
  <si>
    <t>Frankel Leó út 1. kéménybélelés</t>
  </si>
  <si>
    <t>EIM-176/
H-36</t>
  </si>
  <si>
    <t>EIM-177</t>
  </si>
  <si>
    <t>EIM-181</t>
  </si>
  <si>
    <t>EIM-182</t>
  </si>
  <si>
    <t>EIM-184</t>
  </si>
  <si>
    <t>EIM-191</t>
  </si>
  <si>
    <t>Gyermeküdültetés étkeztetési kedvezményeire</t>
  </si>
  <si>
    <t>EIM-193</t>
  </si>
  <si>
    <t>EIM-195</t>
  </si>
  <si>
    <t>Előző évi bevételek visszafizetése</t>
  </si>
  <si>
    <t>EIM-H-35</t>
  </si>
  <si>
    <t>PH főépületében elektromos szerelési munkák</t>
  </si>
  <si>
    <t>EIM-H-39</t>
  </si>
  <si>
    <t>Telefonkészülékek és kapcsolódó licenszek beszerzése</t>
  </si>
  <si>
    <t>EIM-H-40</t>
  </si>
  <si>
    <t>EIM-H-41</t>
  </si>
  <si>
    <t>Telefonközpont bővítése GSM adapterrel</t>
  </si>
  <si>
    <t>EIM-H-38</t>
  </si>
  <si>
    <t>Önkormányzati képviselő választás - központi keret</t>
  </si>
  <si>
    <t>Óvodákban felmentési időre járó kifizetés</t>
  </si>
  <si>
    <t>EIM-H-44</t>
  </si>
  <si>
    <t>Képviselők költségtérítése</t>
  </si>
  <si>
    <t>EIM-192</t>
  </si>
  <si>
    <t>Önkormányzati képviselő v.saját keret</t>
  </si>
  <si>
    <t>EIM-192/
H-42</t>
  </si>
  <si>
    <t>Működtetett intézmények többletbevétele</t>
  </si>
  <si>
    <t>Polgármesteri Kabinet dologi kiadásra</t>
  </si>
  <si>
    <t>Okt.31.</t>
  </si>
  <si>
    <t>Ker.kártya,Településképi bírság, Egyéb bev.</t>
  </si>
  <si>
    <t>negyedik</t>
  </si>
  <si>
    <t>nov.30.</t>
  </si>
  <si>
    <t>Okt. 31.</t>
  </si>
  <si>
    <t>Hvölgyi-Kelemen u. kereszteződés</t>
  </si>
  <si>
    <t>EIM-202</t>
  </si>
  <si>
    <t>EIM-203</t>
  </si>
  <si>
    <t>EIM-204</t>
  </si>
  <si>
    <t>Útépítésre - ideigl.támfal szakértői díj</t>
  </si>
  <si>
    <t>EIM-205</t>
  </si>
  <si>
    <t>Szemlőhegy Óvoda - gázterv felülvizsgálata</t>
  </si>
  <si>
    <t>EIM-206</t>
  </si>
  <si>
    <t>EIM-209</t>
  </si>
  <si>
    <t>Labanc u-i Óvoda fa gallyazásához forg.techn.terv</t>
  </si>
  <si>
    <t>EIM-210</t>
  </si>
  <si>
    <t>EIM-200</t>
  </si>
  <si>
    <t>EIM-199</t>
  </si>
  <si>
    <t>EIM-201</t>
  </si>
  <si>
    <t>EIM-212</t>
  </si>
  <si>
    <t>EIM-213</t>
  </si>
  <si>
    <t>Intézményfinanszírozás - Eü.Szolg.</t>
  </si>
  <si>
    <t>EIM-214</t>
  </si>
  <si>
    <t>EIM-215</t>
  </si>
  <si>
    <t>EIM-216</t>
  </si>
  <si>
    <t>EIM-218</t>
  </si>
  <si>
    <t>Szociális támogatások átcsoportosítása</t>
  </si>
  <si>
    <t>EIM-222</t>
  </si>
  <si>
    <t>EIM-219</t>
  </si>
  <si>
    <t>EIM-220</t>
  </si>
  <si>
    <t>EIM-223</t>
  </si>
  <si>
    <t>EIM-H-48</t>
  </si>
  <si>
    <t>Hálózati kábelek cseréje</t>
  </si>
  <si>
    <t>EIM-H-49</t>
  </si>
  <si>
    <t>Közcélú foglalkoztatás</t>
  </si>
  <si>
    <t>EIM-226</t>
  </si>
  <si>
    <t>EIM-229</t>
  </si>
  <si>
    <t>Bérkompenzáció</t>
  </si>
  <si>
    <t>EIM-229/
EIM-H-50</t>
  </si>
  <si>
    <t>EIM-230</t>
  </si>
  <si>
    <t>Internet kortalanul tanf. lebonyolítására</t>
  </si>
  <si>
    <t>EIM-227</t>
  </si>
  <si>
    <t>Bérkompenzáció - Eü.Szolg.</t>
  </si>
  <si>
    <t>EIM-228</t>
  </si>
  <si>
    <t>EIM-235</t>
  </si>
  <si>
    <t>Intézményfinanszírozás-Eü.Szolg. Egészségnap-szűrővizsg.</t>
  </si>
  <si>
    <t>EIM-233</t>
  </si>
  <si>
    <t>Gyalogátkelő helyek kial.-fénymérés</t>
  </si>
  <si>
    <t>Nem intézmények által ellátott önkormányzati feladatok bevételi előirányzatain végrehajtott saját hatáskörű változtatások kiemelt előirányzatonként 
2014. december 1 - től   2014. december 31 - ig</t>
  </si>
  <si>
    <t>Nem intézmények által ellátott önkormányzati feladatok kiadási előirányzatain végrehajtott saját hatáskörű változtatások kiemelt előirányzatonként 
2014. december 1 - től   2014. december 31 - ig</t>
  </si>
  <si>
    <t>A Polgármesteri Hivatal által ellátott feladatok bevételi előirányzatain végrehajtott változtatások kiemelt előirányzatonként 
2014. december 1 - től   2014. december 31 - ig</t>
  </si>
  <si>
    <t>A Polgármesteri Hivatal által ellátott feladatok kiadási előirányzatain végrehajtott változtatások kiemelt előirányzatonként 
2014. december 1 - től   2014. december 31 - ig</t>
  </si>
  <si>
    <t>dec.31.</t>
  </si>
  <si>
    <t>ötödik</t>
  </si>
  <si>
    <t>EIM-247</t>
  </si>
  <si>
    <t>EIM-248</t>
  </si>
  <si>
    <t>EIM-237</t>
  </si>
  <si>
    <t>Szemlőhegy u-i Ó. B típusú tábla legyártása, kihelyezése</t>
  </si>
  <si>
    <t>EIM-239</t>
  </si>
  <si>
    <t>Parkolóőrök részére telefon beszerzés</t>
  </si>
  <si>
    <t>EIM-240</t>
  </si>
  <si>
    <t>EIM-243</t>
  </si>
  <si>
    <t>Közbeszezési irodai díjak</t>
  </si>
  <si>
    <t>Phkúti gyalogos közl.fejl. műsz.ell-re</t>
  </si>
  <si>
    <t>EIM-245</t>
  </si>
  <si>
    <t>EIM-251</t>
  </si>
  <si>
    <t>HAVARIA Keret</t>
  </si>
  <si>
    <t>EIM-252</t>
  </si>
  <si>
    <t>Társasházak felújítása</t>
  </si>
  <si>
    <t>EIM-253</t>
  </si>
  <si>
    <t>Bp-i Szent Ferenc Kórház támogatása</t>
  </si>
  <si>
    <t>EIM-254</t>
  </si>
  <si>
    <t>Közvilágítás fejlesztése</t>
  </si>
  <si>
    <t>EIM-255</t>
  </si>
  <si>
    <t>MLSZ pályák infrasrukt.fejl.közbesz.</t>
  </si>
  <si>
    <t>EIM-H-57</t>
  </si>
  <si>
    <t>EIM-258</t>
  </si>
  <si>
    <t>II.Bátori u.17. veszélyelhárítási munka</t>
  </si>
  <si>
    <t>EIM-259</t>
  </si>
  <si>
    <t>EIM-260</t>
  </si>
  <si>
    <t>Parkoló automaták modem cseréje</t>
  </si>
  <si>
    <t>Itthon vagy-Magyarország, szeretlek!tám.vfiz.</t>
  </si>
  <si>
    <t>EIM-261</t>
  </si>
  <si>
    <t>EIM-262</t>
  </si>
  <si>
    <t>Szociális lakás felújítása, karbantartása</t>
  </si>
  <si>
    <t>EIM-263</t>
  </si>
  <si>
    <t>EIM-265</t>
  </si>
  <si>
    <t>Kamatmentes szociális kölcsön</t>
  </si>
  <si>
    <t>EIM-267</t>
  </si>
  <si>
    <t>EIM-270</t>
  </si>
  <si>
    <t>EIM-271</t>
  </si>
  <si>
    <t>EIM-272</t>
  </si>
  <si>
    <t>Bp. Fővárosi Önkormányzat - e-útdíj kompenzáció</t>
  </si>
  <si>
    <t>EIM-275</t>
  </si>
  <si>
    <t>Intézményfinanszírozás - Eü.Szolg. Bérkompenzáció</t>
  </si>
  <si>
    <t>Intézményfinanszírozás - Eü.Szolg. Bérkomp.</t>
  </si>
  <si>
    <t>EIM-276</t>
  </si>
  <si>
    <t xml:space="preserve">Intézményfinanszírozás - Eü.Szolg. </t>
  </si>
  <si>
    <t>EIM-277</t>
  </si>
  <si>
    <t>EIM-278</t>
  </si>
  <si>
    <t xml:space="preserve">Intézményfinanszírozás </t>
  </si>
  <si>
    <t>Áldás u-i Iskola sportpálya</t>
  </si>
  <si>
    <t>EIM-273</t>
  </si>
  <si>
    <t>EIM-279</t>
  </si>
  <si>
    <t>EIM-279
H-58</t>
  </si>
  <si>
    <t>EIM-280</t>
  </si>
  <si>
    <t>Társasházak felújítási támogatása</t>
  </si>
  <si>
    <t>EIM-281</t>
  </si>
  <si>
    <t>EIM-60</t>
  </si>
  <si>
    <t>Közcélú foglalkoztatás támogatása</t>
  </si>
  <si>
    <t>EIM-H-60</t>
  </si>
  <si>
    <t>Önk. működési támogatásai</t>
  </si>
  <si>
    <t>EIM-282</t>
  </si>
  <si>
    <t>EIM-284</t>
  </si>
  <si>
    <t>Továbbszámlázott kiadások és bevételek</t>
  </si>
  <si>
    <t>Választásokhoz kapcsolódó átcsoportosítások</t>
  </si>
  <si>
    <t>EIM-H-61</t>
  </si>
  <si>
    <t xml:space="preserve">Gyermekekért Díj </t>
  </si>
  <si>
    <t>EIM-286</t>
  </si>
  <si>
    <t>EIM-H-62</t>
  </si>
  <si>
    <t>EIM-H-63</t>
  </si>
  <si>
    <t>EIM-287</t>
  </si>
  <si>
    <t>Futóverseny program hangosítása</t>
  </si>
  <si>
    <t>EIM-289</t>
  </si>
  <si>
    <t>FIDESZ frakció keret átcsoportosítás</t>
  </si>
  <si>
    <t>EIM-290</t>
  </si>
  <si>
    <t>MSZP frakció keret átcsoportosítás</t>
  </si>
  <si>
    <t>EIM-291</t>
  </si>
  <si>
    <t>Szoc. kiadások és bevételek év végi rendezése</t>
  </si>
  <si>
    <t>EIM-291
H-64</t>
  </si>
  <si>
    <t>Informatikai feladatok közötti átcsoportosítás</t>
  </si>
  <si>
    <t>EIM-H-65</t>
  </si>
  <si>
    <t>EIM-292</t>
  </si>
  <si>
    <t>"Kerület sportjáért" elimerés</t>
  </si>
  <si>
    <t>EIM-295</t>
  </si>
  <si>
    <t>Bérlő kijelölési jog vételárrész</t>
  </si>
  <si>
    <t>EIM-296</t>
  </si>
  <si>
    <t>Pénzbeli kártérítés és baleseti járadék</t>
  </si>
  <si>
    <t>EIM-297</t>
  </si>
  <si>
    <t>Háziorvosi ügyeleti ellátás finanszírozás</t>
  </si>
  <si>
    <t>EIM-299</t>
  </si>
  <si>
    <t>EIM-300</t>
  </si>
  <si>
    <t>2015. évi nettó fin.előleg előirányzatosítása</t>
  </si>
  <si>
    <t>EIM-301</t>
  </si>
  <si>
    <t>EIM-301
H-66</t>
  </si>
  <si>
    <t>PH Bevételek beemelése int.fin.csökkentéssel</t>
  </si>
  <si>
    <t>EIM-302</t>
  </si>
  <si>
    <t>EIM-302
H-70</t>
  </si>
  <si>
    <t>EIM-H-69</t>
  </si>
  <si>
    <t>EIM-H-67</t>
  </si>
  <si>
    <t>Személyi jutt. és járulék</t>
  </si>
  <si>
    <t>Közbeszerzésekhez kapcsolódó kötelezettségek fedezete</t>
  </si>
  <si>
    <t>EIM-304</t>
  </si>
  <si>
    <t>Közbeszerzésekhez kapcs. kötelezettségek fedezete</t>
  </si>
  <si>
    <t>Iskolai intézményi étkeztetés többletbev. beemelése</t>
  </si>
  <si>
    <t>EIM-305</t>
  </si>
  <si>
    <t>Többletbevétel tartalékból átcsop.</t>
  </si>
  <si>
    <t>EIM-306</t>
  </si>
  <si>
    <t>EIM-307</t>
  </si>
  <si>
    <t xml:space="preserve">Átcsoportosítás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</si>
</sst>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6" formatCode="#,##0\ _F_t"/>
    <numFmt numFmtId="173" formatCode="#,##0.000"/>
    <numFmt numFmtId="181" formatCode="0.000"/>
  </numFmts>
  <fonts count="32" x14ac:knownFonts="1">
    <font>
      <sz val="10"/>
      <name val="Arial"/>
      <charset val="238"/>
    </font>
    <font>
      <sz val="10"/>
      <name val="MS Sans Serif"/>
      <charset val="238"/>
    </font>
    <font>
      <sz val="8"/>
      <name val="Arial"/>
      <family val="2"/>
      <charset val="238"/>
    </font>
    <font>
      <sz val="13"/>
      <name val="Times New Roman CE"/>
      <family val="1"/>
      <charset val="238"/>
    </font>
    <font>
      <sz val="10"/>
      <name val="Times New Roman CE"/>
      <family val="1"/>
      <charset val="238"/>
    </font>
    <font>
      <b/>
      <sz val="13"/>
      <name val="Times New Roman CE"/>
      <family val="1"/>
      <charset val="238"/>
    </font>
    <font>
      <sz val="9"/>
      <name val="Times New Roman CE"/>
      <family val="1"/>
      <charset val="238"/>
    </font>
    <font>
      <sz val="13"/>
      <name val="Times New Roman CE"/>
      <charset val="238"/>
    </font>
    <font>
      <i/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b/>
      <i/>
      <sz val="13"/>
      <name val="Times New Roman CE"/>
      <charset val="238"/>
    </font>
    <font>
      <sz val="12"/>
      <name val="Times New Roman CE"/>
      <family val="1"/>
      <charset val="238"/>
    </font>
    <font>
      <i/>
      <sz val="13"/>
      <name val="Times New Roman CE"/>
      <charset val="238"/>
    </font>
    <font>
      <sz val="11"/>
      <name val="Times New Roman CE"/>
      <family val="1"/>
      <charset val="238"/>
    </font>
    <font>
      <i/>
      <sz val="10"/>
      <name val="Times New Roman CE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sz val="12"/>
      <color indexed="10"/>
      <name val="Times New Roman CE"/>
      <charset val="238"/>
    </font>
    <font>
      <b/>
      <i/>
      <sz val="12"/>
      <name val="Times New Roman CE"/>
      <charset val="238"/>
    </font>
    <font>
      <b/>
      <i/>
      <sz val="12"/>
      <name val="Times New Roman CE"/>
      <family val="1"/>
      <charset val="238"/>
    </font>
    <font>
      <sz val="13"/>
      <color indexed="10"/>
      <name val="Times New Roman CE"/>
      <family val="1"/>
      <charset val="238"/>
    </font>
    <font>
      <i/>
      <sz val="12"/>
      <name val="Times New Roman CE"/>
      <charset val="238"/>
    </font>
    <font>
      <b/>
      <i/>
      <sz val="10"/>
      <name val="Times New Roman CE"/>
      <charset val="238"/>
    </font>
    <font>
      <sz val="11"/>
      <name val="Times New Roman CE"/>
      <charset val="238"/>
    </font>
    <font>
      <b/>
      <i/>
      <sz val="11"/>
      <name val="Times New Roman CE"/>
      <charset val="238"/>
    </font>
    <font>
      <sz val="14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12"/>
      <color rgb="FFFF0000"/>
      <name val="Times New Roman CE"/>
      <family val="1"/>
      <charset val="238"/>
    </font>
    <font>
      <b/>
      <sz val="13"/>
      <color rgb="FFFF0000"/>
      <name val="Times New Roman CE"/>
      <charset val="238"/>
    </font>
    <font>
      <sz val="13"/>
      <color theme="1"/>
      <name val="Times New Roman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67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0" fontId="3" fillId="0" borderId="1" xfId="1" applyFont="1" applyBorder="1" applyAlignment="1">
      <alignment horizontal="right" vertical="top"/>
    </xf>
    <xf numFmtId="0" fontId="3" fillId="0" borderId="2" xfId="1" applyFont="1" applyBorder="1"/>
    <xf numFmtId="0" fontId="3" fillId="0" borderId="3" xfId="1" applyFont="1" applyBorder="1"/>
    <xf numFmtId="0" fontId="3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5" xfId="1" applyFont="1" applyBorder="1"/>
    <xf numFmtId="0" fontId="3" fillId="0" borderId="6" xfId="1" applyFont="1" applyBorder="1"/>
    <xf numFmtId="0" fontId="3" fillId="0" borderId="6" xfId="1" applyFont="1" applyBorder="1" applyAlignment="1">
      <alignment horizontal="center"/>
    </xf>
    <xf numFmtId="0" fontId="3" fillId="0" borderId="7" xfId="1" applyFont="1" applyBorder="1" applyAlignment="1"/>
    <xf numFmtId="0" fontId="5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right"/>
    </xf>
    <xf numFmtId="0" fontId="3" fillId="0" borderId="14" xfId="1" applyFont="1" applyBorder="1" applyAlignment="1">
      <alignment horizontal="right"/>
    </xf>
    <xf numFmtId="0" fontId="8" fillId="0" borderId="15" xfId="1" applyFont="1" applyBorder="1" applyAlignment="1">
      <alignment horizontal="right" vertical="center"/>
    </xf>
    <xf numFmtId="3" fontId="8" fillId="0" borderId="15" xfId="1" applyNumberFormat="1" applyFont="1" applyBorder="1" applyAlignment="1">
      <alignment horizontal="right" vertical="center" wrapText="1"/>
    </xf>
    <xf numFmtId="0" fontId="3" fillId="0" borderId="5" xfId="1" applyFont="1" applyBorder="1" applyAlignment="1">
      <alignment horizontal="center" vertical="top"/>
    </xf>
    <xf numFmtId="49" fontId="7" fillId="0" borderId="15" xfId="1" applyNumberFormat="1" applyFont="1" applyBorder="1" applyAlignment="1">
      <alignment horizontal="center" vertical="center" wrapText="1"/>
    </xf>
    <xf numFmtId="0" fontId="7" fillId="0" borderId="10" xfId="1" applyFont="1" applyBorder="1" applyAlignment="1">
      <alignment vertical="center" wrapText="1"/>
    </xf>
    <xf numFmtId="3" fontId="4" fillId="0" borderId="0" xfId="1" applyNumberFormat="1" applyFont="1"/>
    <xf numFmtId="1" fontId="7" fillId="0" borderId="15" xfId="1" applyNumberFormat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6" xfId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166" fontId="10" fillId="0" borderId="17" xfId="1" applyNumberFormat="1" applyFont="1" applyBorder="1" applyAlignment="1">
      <alignment vertical="center" wrapText="1"/>
    </xf>
    <xf numFmtId="166" fontId="10" fillId="0" borderId="18" xfId="1" applyNumberFormat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3" fillId="0" borderId="5" xfId="1" applyFont="1" applyBorder="1" applyAlignment="1">
      <alignment horizontal="center" vertical="center"/>
    </xf>
    <xf numFmtId="0" fontId="7" fillId="0" borderId="0" xfId="1" applyFont="1" applyBorder="1" applyAlignment="1">
      <alignment vertical="center" wrapText="1"/>
    </xf>
    <xf numFmtId="0" fontId="4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9" fillId="0" borderId="17" xfId="1" applyFont="1" applyBorder="1" applyAlignment="1">
      <alignment vertical="center"/>
    </xf>
    <xf numFmtId="1" fontId="3" fillId="0" borderId="15" xfId="1" applyNumberFormat="1" applyFont="1" applyBorder="1" applyAlignment="1">
      <alignment horizontal="center" vertical="center" wrapText="1"/>
    </xf>
    <xf numFmtId="16" fontId="4" fillId="0" borderId="16" xfId="1" quotePrefix="1" applyNumberFormat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166" fontId="7" fillId="0" borderId="10" xfId="1" applyNumberFormat="1" applyFont="1" applyBorder="1" applyAlignment="1">
      <alignment vertical="center" wrapText="1"/>
    </xf>
    <xf numFmtId="0" fontId="11" fillId="0" borderId="10" xfId="1" applyFont="1" applyBorder="1" applyAlignment="1">
      <alignment horizontal="center" vertical="center" wrapText="1"/>
    </xf>
    <xf numFmtId="0" fontId="7" fillId="0" borderId="10" xfId="1" applyFont="1" applyBorder="1" applyAlignment="1">
      <alignment vertical="center"/>
    </xf>
    <xf numFmtId="3" fontId="11" fillId="0" borderId="10" xfId="1" applyNumberFormat="1" applyFont="1" applyBorder="1" applyAlignment="1">
      <alignment vertical="center" wrapText="1"/>
    </xf>
    <xf numFmtId="0" fontId="4" fillId="0" borderId="0" xfId="1" applyFont="1" applyBorder="1"/>
    <xf numFmtId="0" fontId="3" fillId="0" borderId="1" xfId="1" applyFont="1" applyBorder="1" applyAlignment="1">
      <alignment vertical="top"/>
    </xf>
    <xf numFmtId="0" fontId="3" fillId="0" borderId="2" xfId="1" applyFont="1" applyBorder="1" applyAlignment="1">
      <alignment vertical="top"/>
    </xf>
    <xf numFmtId="0" fontId="5" fillId="0" borderId="0" xfId="1" applyFont="1" applyBorder="1" applyAlignment="1">
      <alignment horizontal="center"/>
    </xf>
    <xf numFmtId="0" fontId="3" fillId="0" borderId="5" xfId="1" applyFont="1" applyBorder="1" applyAlignment="1">
      <alignment vertical="top"/>
    </xf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0" xfId="0" applyFont="1" applyFill="1" applyBorder="1"/>
    <xf numFmtId="0" fontId="3" fillId="2" borderId="6" xfId="0" applyFont="1" applyFill="1" applyBorder="1" applyAlignment="1">
      <alignment horizontal="center"/>
    </xf>
    <xf numFmtId="0" fontId="12" fillId="0" borderId="13" xfId="1" applyFont="1" applyBorder="1" applyAlignment="1">
      <alignment vertical="top"/>
    </xf>
    <xf numFmtId="0" fontId="12" fillId="0" borderId="15" xfId="1" applyFont="1" applyBorder="1" applyAlignment="1">
      <alignment horizontal="right" vertical="center"/>
    </xf>
    <xf numFmtId="3" fontId="12" fillId="0" borderId="0" xfId="1" applyNumberFormat="1" applyFont="1" applyBorder="1"/>
    <xf numFmtId="3" fontId="10" fillId="0" borderId="0" xfId="1" applyNumberFormat="1" applyFont="1" applyBorder="1"/>
    <xf numFmtId="0" fontId="14" fillId="0" borderId="0" xfId="1" applyFont="1"/>
    <xf numFmtId="0" fontId="7" fillId="0" borderId="5" xfId="1" applyFont="1" applyBorder="1" applyAlignment="1">
      <alignment horizontal="center" vertical="top"/>
    </xf>
    <xf numFmtId="3" fontId="3" fillId="0" borderId="0" xfId="1" applyNumberFormat="1" applyFont="1" applyBorder="1"/>
    <xf numFmtId="3" fontId="5" fillId="0" borderId="0" xfId="1" applyNumberFormat="1" applyFont="1" applyBorder="1"/>
    <xf numFmtId="3" fontId="7" fillId="0" borderId="10" xfId="1" applyNumberFormat="1" applyFont="1" applyFill="1" applyBorder="1" applyAlignment="1">
      <alignment vertical="center" wrapText="1"/>
    </xf>
    <xf numFmtId="3" fontId="7" fillId="0" borderId="10" xfId="1" applyNumberFormat="1" applyFont="1" applyBorder="1" applyAlignment="1">
      <alignment vertical="center" wrapText="1"/>
    </xf>
    <xf numFmtId="3" fontId="7" fillId="0" borderId="19" xfId="1" applyNumberFormat="1" applyFont="1" applyBorder="1" applyAlignment="1">
      <alignment vertical="center" wrapText="1"/>
    </xf>
    <xf numFmtId="49" fontId="11" fillId="0" borderId="15" xfId="1" applyNumberFormat="1" applyFont="1" applyBorder="1" applyAlignment="1">
      <alignment horizontal="center" vertical="center" wrapText="1"/>
    </xf>
    <xf numFmtId="49" fontId="3" fillId="0" borderId="15" xfId="1" applyNumberFormat="1" applyFont="1" applyBorder="1" applyAlignment="1">
      <alignment horizontal="center" vertical="center" wrapText="1"/>
    </xf>
    <xf numFmtId="0" fontId="8" fillId="0" borderId="20" xfId="1" applyFont="1" applyBorder="1" applyAlignment="1">
      <alignment vertical="center" wrapText="1"/>
    </xf>
    <xf numFmtId="3" fontId="17" fillId="0" borderId="20" xfId="1" applyNumberFormat="1" applyFont="1" applyBorder="1" applyAlignment="1">
      <alignment vertical="center" wrapText="1"/>
    </xf>
    <xf numFmtId="3" fontId="7" fillId="0" borderId="20" xfId="1" applyNumberFormat="1" applyFont="1" applyBorder="1" applyAlignment="1">
      <alignment vertical="center" wrapText="1"/>
    </xf>
    <xf numFmtId="3" fontId="7" fillId="0" borderId="20" xfId="1" applyNumberFormat="1" applyFont="1" applyFill="1" applyBorder="1" applyAlignment="1">
      <alignment vertical="center" wrapText="1"/>
    </xf>
    <xf numFmtId="3" fontId="9" fillId="0" borderId="21" xfId="1" applyNumberFormat="1" applyFont="1" applyBorder="1" applyAlignment="1">
      <alignment vertical="center"/>
    </xf>
    <xf numFmtId="0" fontId="4" fillId="0" borderId="17" xfId="1" applyFont="1" applyBorder="1"/>
    <xf numFmtId="0" fontId="7" fillId="0" borderId="5" xfId="1" applyFont="1" applyBorder="1" applyAlignment="1">
      <alignment horizontal="center" vertical="center"/>
    </xf>
    <xf numFmtId="3" fontId="15" fillId="0" borderId="22" xfId="1" applyNumberFormat="1" applyFont="1" applyBorder="1" applyAlignment="1">
      <alignment vertical="center" wrapText="1"/>
    </xf>
    <xf numFmtId="0" fontId="7" fillId="0" borderId="11" xfId="1" applyFont="1" applyBorder="1" applyAlignment="1">
      <alignment horizontal="center" vertical="center" wrapText="1"/>
    </xf>
    <xf numFmtId="3" fontId="4" fillId="0" borderId="0" xfId="1" applyNumberFormat="1" applyFont="1" applyBorder="1"/>
    <xf numFmtId="3" fontId="9" fillId="0" borderId="17" xfId="1" applyNumberFormat="1" applyFont="1" applyBorder="1" applyAlignment="1">
      <alignment vertical="center"/>
    </xf>
    <xf numFmtId="3" fontId="9" fillId="0" borderId="23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 wrapText="1"/>
    </xf>
    <xf numFmtId="0" fontId="7" fillId="0" borderId="24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49" fontId="7" fillId="0" borderId="6" xfId="1" applyNumberFormat="1" applyFont="1" applyBorder="1" applyAlignment="1">
      <alignment horizontal="center"/>
    </xf>
    <xf numFmtId="16" fontId="3" fillId="0" borderId="16" xfId="1" applyNumberFormat="1" applyFont="1" applyBorder="1" applyAlignment="1">
      <alignment vertical="center"/>
    </xf>
    <xf numFmtId="0" fontId="3" fillId="0" borderId="0" xfId="1" applyFont="1" applyAlignment="1">
      <alignment vertical="top"/>
    </xf>
    <xf numFmtId="0" fontId="12" fillId="0" borderId="25" xfId="1" applyFont="1" applyBorder="1" applyAlignment="1">
      <alignment vertical="center"/>
    </xf>
    <xf numFmtId="3" fontId="7" fillId="0" borderId="25" xfId="1" applyNumberFormat="1" applyFont="1" applyBorder="1" applyAlignment="1">
      <alignment vertical="center"/>
    </xf>
    <xf numFmtId="0" fontId="12" fillId="0" borderId="20" xfId="1" applyFont="1" applyBorder="1" applyAlignment="1">
      <alignment vertical="center"/>
    </xf>
    <xf numFmtId="3" fontId="7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vertical="center"/>
    </xf>
    <xf numFmtId="3" fontId="7" fillId="0" borderId="26" xfId="1" applyNumberFormat="1" applyFont="1" applyBorder="1" applyAlignment="1">
      <alignment vertical="center"/>
    </xf>
    <xf numFmtId="3" fontId="7" fillId="0" borderId="27" xfId="1" applyNumberFormat="1" applyFont="1" applyBorder="1" applyAlignment="1">
      <alignment vertical="center"/>
    </xf>
    <xf numFmtId="0" fontId="5" fillId="0" borderId="28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7" fillId="0" borderId="22" xfId="1" applyFont="1" applyBorder="1" applyAlignment="1">
      <alignment horizontal="center"/>
    </xf>
    <xf numFmtId="3" fontId="16" fillId="0" borderId="29" xfId="1" applyNumberFormat="1" applyFont="1" applyBorder="1" applyAlignment="1">
      <alignment vertical="center" wrapText="1"/>
    </xf>
    <xf numFmtId="3" fontId="16" fillId="0" borderId="30" xfId="1" applyNumberFormat="1" applyFont="1" applyBorder="1" applyAlignment="1">
      <alignment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32" xfId="1" applyFont="1" applyBorder="1" applyAlignment="1">
      <alignment vertical="center" wrapText="1"/>
    </xf>
    <xf numFmtId="3" fontId="7" fillId="0" borderId="33" xfId="1" applyNumberFormat="1" applyFont="1" applyBorder="1" applyAlignment="1">
      <alignment vertical="center" wrapText="1"/>
    </xf>
    <xf numFmtId="3" fontId="7" fillId="0" borderId="34" xfId="1" applyNumberFormat="1" applyFont="1" applyBorder="1" applyAlignment="1">
      <alignment vertical="center" wrapText="1"/>
    </xf>
    <xf numFmtId="0" fontId="4" fillId="0" borderId="16" xfId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3" fillId="0" borderId="35" xfId="1" applyFont="1" applyBorder="1"/>
    <xf numFmtId="0" fontId="3" fillId="0" borderId="36" xfId="1" applyFont="1" applyBorder="1"/>
    <xf numFmtId="0" fontId="3" fillId="0" borderId="36" xfId="1" applyFont="1" applyBorder="1" applyAlignment="1">
      <alignment horizontal="center"/>
    </xf>
    <xf numFmtId="0" fontId="3" fillId="0" borderId="37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36" xfId="1" applyFont="1" applyBorder="1" applyAlignment="1">
      <alignment horizontal="center"/>
    </xf>
    <xf numFmtId="0" fontId="3" fillId="0" borderId="38" xfId="1" applyFont="1" applyBorder="1" applyAlignment="1">
      <alignment horizontal="center"/>
    </xf>
    <xf numFmtId="49" fontId="7" fillId="0" borderId="11" xfId="1" applyNumberFormat="1" applyFont="1" applyBorder="1" applyAlignment="1">
      <alignment horizontal="center" vertical="center" wrapText="1"/>
    </xf>
    <xf numFmtId="0" fontId="3" fillId="0" borderId="35" xfId="1" applyFont="1" applyBorder="1" applyAlignment="1">
      <alignment vertical="top"/>
    </xf>
    <xf numFmtId="0" fontId="3" fillId="0" borderId="9" xfId="1" applyFont="1" applyFill="1" applyBorder="1" applyAlignment="1">
      <alignment horizontal="center"/>
    </xf>
    <xf numFmtId="49" fontId="3" fillId="0" borderId="36" xfId="1" applyNumberFormat="1" applyFont="1" applyBorder="1" applyAlignment="1">
      <alignment horizontal="center"/>
    </xf>
    <xf numFmtId="0" fontId="13" fillId="0" borderId="36" xfId="1" applyFont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7" fillId="0" borderId="9" xfId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vertical="center" wrapText="1"/>
    </xf>
    <xf numFmtId="0" fontId="3" fillId="0" borderId="17" xfId="1" quotePrefix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/>
    </xf>
    <xf numFmtId="3" fontId="9" fillId="0" borderId="17" xfId="1" applyNumberFormat="1" applyFont="1" applyFill="1" applyBorder="1" applyAlignment="1">
      <alignment vertical="center"/>
    </xf>
    <xf numFmtId="0" fontId="3" fillId="2" borderId="33" xfId="0" applyFont="1" applyFill="1" applyBorder="1" applyAlignment="1">
      <alignment horizontal="center"/>
    </xf>
    <xf numFmtId="3" fontId="7" fillId="0" borderId="40" xfId="1" applyNumberFormat="1" applyFont="1" applyBorder="1" applyAlignment="1">
      <alignment vertical="center"/>
    </xf>
    <xf numFmtId="173" fontId="4" fillId="0" borderId="0" xfId="1" applyNumberFormat="1" applyFont="1" applyBorder="1"/>
    <xf numFmtId="0" fontId="3" fillId="0" borderId="41" xfId="1" applyFont="1" applyBorder="1" applyAlignment="1">
      <alignment horizontal="center"/>
    </xf>
    <xf numFmtId="0" fontId="12" fillId="0" borderId="11" xfId="1" applyFont="1" applyBorder="1" applyAlignment="1">
      <alignment horizontal="right" vertical="center"/>
    </xf>
    <xf numFmtId="0" fontId="9" fillId="0" borderId="16" xfId="1" applyFont="1" applyBorder="1" applyAlignment="1">
      <alignment horizontal="center"/>
    </xf>
    <xf numFmtId="0" fontId="3" fillId="0" borderId="16" xfId="1" applyFont="1" applyBorder="1" applyAlignment="1">
      <alignment horizontal="center" vertical="top"/>
    </xf>
    <xf numFmtId="49" fontId="11" fillId="0" borderId="11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1" fontId="7" fillId="0" borderId="10" xfId="1" applyNumberFormat="1" applyFont="1" applyBorder="1" applyAlignment="1">
      <alignment horizontal="center" vertical="center" wrapText="1"/>
    </xf>
    <xf numFmtId="1" fontId="3" fillId="0" borderId="10" xfId="1" applyNumberFormat="1" applyFont="1" applyBorder="1" applyAlignment="1">
      <alignment horizontal="center" vertical="center" wrapText="1"/>
    </xf>
    <xf numFmtId="3" fontId="15" fillId="0" borderId="10" xfId="1" applyNumberFormat="1" applyFont="1" applyBorder="1" applyAlignment="1">
      <alignment vertical="center" wrapText="1"/>
    </xf>
    <xf numFmtId="3" fontId="15" fillId="0" borderId="42" xfId="1" applyNumberFormat="1" applyFont="1" applyBorder="1" applyAlignment="1">
      <alignment vertical="center" wrapText="1"/>
    </xf>
    <xf numFmtId="3" fontId="5" fillId="0" borderId="43" xfId="1" applyNumberFormat="1" applyFont="1" applyBorder="1" applyAlignment="1">
      <alignment horizontal="right" vertical="center" wrapText="1"/>
    </xf>
    <xf numFmtId="3" fontId="8" fillId="0" borderId="44" xfId="1" applyNumberFormat="1" applyFont="1" applyBorder="1" applyAlignment="1">
      <alignment horizontal="right" vertical="center" wrapText="1"/>
    </xf>
    <xf numFmtId="3" fontId="8" fillId="0" borderId="22" xfId="1" applyNumberFormat="1" applyFont="1" applyBorder="1"/>
    <xf numFmtId="3" fontId="8" fillId="0" borderId="45" xfId="1" applyNumberFormat="1" applyFont="1" applyBorder="1"/>
    <xf numFmtId="0" fontId="3" fillId="0" borderId="11" xfId="1" applyFont="1" applyBorder="1" applyAlignment="1">
      <alignment horizontal="center" vertical="center" wrapText="1"/>
    </xf>
    <xf numFmtId="0" fontId="8" fillId="0" borderId="46" xfId="1" applyFont="1" applyBorder="1" applyAlignment="1">
      <alignment vertical="center" wrapText="1"/>
    </xf>
    <xf numFmtId="3" fontId="17" fillId="0" borderId="46" xfId="1" applyNumberFormat="1" applyFont="1" applyFill="1" applyBorder="1" applyAlignment="1">
      <alignment vertical="center" wrapText="1"/>
    </xf>
    <xf numFmtId="3" fontId="7" fillId="0" borderId="46" xfId="1" applyNumberFormat="1" applyFont="1" applyFill="1" applyBorder="1" applyAlignment="1">
      <alignment vertical="center" wrapText="1"/>
    </xf>
    <xf numFmtId="3" fontId="7" fillId="0" borderId="46" xfId="1" applyNumberFormat="1" applyFont="1" applyBorder="1" applyAlignment="1">
      <alignment vertical="center" wrapText="1"/>
    </xf>
    <xf numFmtId="0" fontId="3" fillId="0" borderId="47" xfId="1" applyFont="1" applyBorder="1" applyAlignment="1">
      <alignment horizontal="center" vertical="top"/>
    </xf>
    <xf numFmtId="0" fontId="3" fillId="0" borderId="48" xfId="1" applyFont="1" applyBorder="1" applyAlignment="1">
      <alignment horizontal="center" vertical="top"/>
    </xf>
    <xf numFmtId="0" fontId="12" fillId="0" borderId="14" xfId="1" applyFont="1" applyBorder="1"/>
    <xf numFmtId="3" fontId="12" fillId="0" borderId="15" xfId="1" applyNumberFormat="1" applyFont="1" applyBorder="1" applyAlignment="1">
      <alignment vertical="center" wrapText="1"/>
    </xf>
    <xf numFmtId="3" fontId="12" fillId="0" borderId="49" xfId="1" applyNumberFormat="1" applyFont="1" applyBorder="1" applyAlignment="1">
      <alignment vertical="center" wrapText="1"/>
    </xf>
    <xf numFmtId="3" fontId="10" fillId="0" borderId="44" xfId="1" applyNumberFormat="1" applyFont="1" applyBorder="1" applyAlignment="1">
      <alignment horizontal="right" vertical="center" wrapText="1"/>
    </xf>
    <xf numFmtId="3" fontId="8" fillId="0" borderId="15" xfId="1" applyNumberFormat="1" applyFont="1" applyFill="1" applyBorder="1" applyAlignment="1">
      <alignment horizontal="right" vertical="center" wrapText="1"/>
    </xf>
    <xf numFmtId="173" fontId="7" fillId="0" borderId="10" xfId="1" applyNumberFormat="1" applyFont="1" applyBorder="1" applyAlignment="1">
      <alignment vertical="center" wrapText="1"/>
    </xf>
    <xf numFmtId="0" fontId="7" fillId="0" borderId="13" xfId="1" applyFont="1" applyBorder="1" applyAlignment="1">
      <alignment horizontal="center" vertical="top"/>
    </xf>
    <xf numFmtId="3" fontId="9" fillId="0" borderId="21" xfId="1" applyNumberFormat="1" applyFont="1" applyFill="1" applyBorder="1" applyAlignment="1">
      <alignment vertical="center"/>
    </xf>
    <xf numFmtId="3" fontId="8" fillId="0" borderId="22" xfId="1" applyNumberFormat="1" applyFont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73" fontId="7" fillId="0" borderId="10" xfId="1" applyNumberFormat="1" applyFont="1" applyFill="1" applyBorder="1" applyAlignment="1">
      <alignment vertical="center" wrapText="1"/>
    </xf>
    <xf numFmtId="173" fontId="7" fillId="0" borderId="19" xfId="1" applyNumberFormat="1" applyFont="1" applyBorder="1" applyAlignment="1">
      <alignment vertical="center" wrapText="1"/>
    </xf>
    <xf numFmtId="173" fontId="9" fillId="0" borderId="17" xfId="1" applyNumberFormat="1" applyFont="1" applyBorder="1" applyAlignment="1">
      <alignment vertical="center"/>
    </xf>
    <xf numFmtId="173" fontId="7" fillId="0" borderId="17" xfId="1" applyNumberFormat="1" applyFont="1" applyBorder="1" applyAlignment="1">
      <alignment vertical="center" wrapText="1"/>
    </xf>
    <xf numFmtId="173" fontId="7" fillId="0" borderId="33" xfId="1" applyNumberFormat="1" applyFont="1" applyBorder="1" applyAlignment="1">
      <alignment vertical="center" wrapText="1"/>
    </xf>
    <xf numFmtId="173" fontId="9" fillId="0" borderId="23" xfId="1" applyNumberFormat="1" applyFont="1" applyBorder="1" applyAlignment="1">
      <alignment vertical="center"/>
    </xf>
    <xf numFmtId="173" fontId="11" fillId="0" borderId="10" xfId="1" applyNumberFormat="1" applyFont="1" applyBorder="1" applyAlignment="1">
      <alignment vertical="center" wrapText="1"/>
    </xf>
    <xf numFmtId="173" fontId="11" fillId="0" borderId="19" xfId="1" applyNumberFormat="1" applyFont="1" applyBorder="1" applyAlignment="1">
      <alignment vertical="center" wrapText="1"/>
    </xf>
    <xf numFmtId="173" fontId="9" fillId="0" borderId="21" xfId="1" applyNumberFormat="1" applyFont="1" applyBorder="1" applyAlignment="1">
      <alignment vertical="center" wrapText="1"/>
    </xf>
    <xf numFmtId="173" fontId="4" fillId="0" borderId="0" xfId="1" applyNumberFormat="1" applyFont="1"/>
    <xf numFmtId="173" fontId="3" fillId="0" borderId="10" xfId="1" applyNumberFormat="1" applyFont="1" applyBorder="1" applyAlignment="1">
      <alignment vertical="center" wrapText="1"/>
    </xf>
    <xf numFmtId="173" fontId="3" fillId="0" borderId="19" xfId="1" applyNumberFormat="1" applyFont="1" applyBorder="1" applyAlignment="1">
      <alignment vertical="center" wrapText="1"/>
    </xf>
    <xf numFmtId="173" fontId="5" fillId="0" borderId="8" xfId="1" applyNumberFormat="1" applyFont="1" applyBorder="1" applyAlignment="1">
      <alignment vertical="center" wrapText="1"/>
    </xf>
    <xf numFmtId="173" fontId="3" fillId="0" borderId="33" xfId="1" applyNumberFormat="1" applyFont="1" applyBorder="1" applyAlignment="1">
      <alignment vertical="center" wrapText="1"/>
    </xf>
    <xf numFmtId="173" fontId="10" fillId="0" borderId="17" xfId="1" applyNumberFormat="1" applyFont="1" applyBorder="1" applyAlignment="1">
      <alignment vertical="center" wrapText="1"/>
    </xf>
    <xf numFmtId="173" fontId="10" fillId="0" borderId="18" xfId="1" applyNumberFormat="1" applyFont="1" applyBorder="1" applyAlignment="1">
      <alignment vertical="center" wrapText="1"/>
    </xf>
    <xf numFmtId="173" fontId="5" fillId="0" borderId="18" xfId="1" applyNumberFormat="1" applyFont="1" applyBorder="1" applyAlignment="1">
      <alignment vertical="center" wrapText="1"/>
    </xf>
    <xf numFmtId="173" fontId="3" fillId="0" borderId="5" xfId="1" applyNumberFormat="1" applyFont="1" applyBorder="1" applyAlignment="1">
      <alignment vertical="center" wrapText="1"/>
    </xf>
    <xf numFmtId="173" fontId="3" fillId="0" borderId="6" xfId="1" applyNumberFormat="1" applyFont="1" applyBorder="1" applyAlignment="1">
      <alignment vertical="center" wrapText="1"/>
    </xf>
    <xf numFmtId="173" fontId="9" fillId="0" borderId="17" xfId="1" applyNumberFormat="1" applyFont="1" applyBorder="1" applyAlignment="1">
      <alignment vertical="center" wrapText="1"/>
    </xf>
    <xf numFmtId="173" fontId="9" fillId="0" borderId="18" xfId="1" applyNumberFormat="1" applyFont="1" applyBorder="1" applyAlignment="1">
      <alignment vertical="center" wrapText="1"/>
    </xf>
    <xf numFmtId="0" fontId="3" fillId="0" borderId="5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173" fontId="10" fillId="0" borderId="21" xfId="1" applyNumberFormat="1" applyFont="1" applyBorder="1" applyAlignment="1">
      <alignment vertical="center" wrapText="1"/>
    </xf>
    <xf numFmtId="173" fontId="10" fillId="0" borderId="50" xfId="1" applyNumberFormat="1" applyFont="1" applyBorder="1" applyAlignment="1">
      <alignment vertical="center" wrapText="1"/>
    </xf>
    <xf numFmtId="0" fontId="3" fillId="0" borderId="0" xfId="1" applyFont="1" applyAlignment="1">
      <alignment horizontal="right"/>
    </xf>
    <xf numFmtId="0" fontId="3" fillId="0" borderId="51" xfId="1" applyFont="1" applyBorder="1" applyAlignment="1">
      <alignment horizontal="center" vertical="center"/>
    </xf>
    <xf numFmtId="0" fontId="11" fillId="0" borderId="52" xfId="1" applyFont="1" applyBorder="1" applyAlignment="1">
      <alignment horizontal="center" vertical="center" wrapText="1"/>
    </xf>
    <xf numFmtId="0" fontId="9" fillId="0" borderId="52" xfId="1" applyFont="1" applyBorder="1" applyAlignment="1">
      <alignment vertical="center"/>
    </xf>
    <xf numFmtId="173" fontId="9" fillId="0" borderId="53" xfId="1" applyNumberFormat="1" applyFont="1" applyBorder="1" applyAlignment="1">
      <alignment vertical="center"/>
    </xf>
    <xf numFmtId="173" fontId="9" fillId="0" borderId="54" xfId="1" applyNumberFormat="1" applyFont="1" applyBorder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173" fontId="9" fillId="0" borderId="49" xfId="1" applyNumberFormat="1" applyFont="1" applyBorder="1" applyAlignment="1">
      <alignment vertical="center"/>
    </xf>
    <xf numFmtId="173" fontId="9" fillId="0" borderId="44" xfId="1" applyNumberFormat="1" applyFont="1" applyBorder="1" applyAlignment="1">
      <alignment vertical="center"/>
    </xf>
    <xf numFmtId="0" fontId="3" fillId="0" borderId="55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 wrapText="1"/>
    </xf>
    <xf numFmtId="0" fontId="9" fillId="0" borderId="24" xfId="1" applyFont="1" applyBorder="1" applyAlignment="1">
      <alignment vertical="center"/>
    </xf>
    <xf numFmtId="173" fontId="9" fillId="0" borderId="56" xfId="1" applyNumberFormat="1" applyFont="1" applyBorder="1" applyAlignment="1">
      <alignment vertical="center"/>
    </xf>
    <xf numFmtId="173" fontId="9" fillId="0" borderId="57" xfId="1" applyNumberFormat="1" applyFont="1" applyBorder="1" applyAlignment="1">
      <alignment vertical="center"/>
    </xf>
    <xf numFmtId="0" fontId="7" fillId="0" borderId="15" xfId="1" applyFont="1" applyBorder="1" applyAlignment="1">
      <alignment vertical="center"/>
    </xf>
    <xf numFmtId="0" fontId="19" fillId="0" borderId="10" xfId="1" applyFont="1" applyBorder="1" applyAlignment="1">
      <alignment vertical="center" wrapText="1"/>
    </xf>
    <xf numFmtId="0" fontId="3" fillId="2" borderId="9" xfId="0" applyFont="1" applyFill="1" applyBorder="1" applyAlignment="1">
      <alignment horizontal="center"/>
    </xf>
    <xf numFmtId="3" fontId="15" fillId="0" borderId="19" xfId="1" applyNumberFormat="1" applyFont="1" applyBorder="1" applyAlignment="1">
      <alignment vertical="center" wrapText="1"/>
    </xf>
    <xf numFmtId="3" fontId="10" fillId="0" borderId="17" xfId="1" applyNumberFormat="1" applyFont="1" applyBorder="1" applyAlignment="1">
      <alignment vertical="center" wrapText="1"/>
    </xf>
    <xf numFmtId="173" fontId="20" fillId="0" borderId="17" xfId="1" applyNumberFormat="1" applyFont="1" applyBorder="1" applyAlignment="1">
      <alignment vertical="center" wrapText="1"/>
    </xf>
    <xf numFmtId="1" fontId="7" fillId="3" borderId="10" xfId="1" applyNumberFormat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3" fontId="7" fillId="0" borderId="22" xfId="1" applyNumberFormat="1" applyFont="1" applyBorder="1" applyAlignment="1">
      <alignment vertical="center" wrapText="1"/>
    </xf>
    <xf numFmtId="166" fontId="10" fillId="0" borderId="21" xfId="1" applyNumberFormat="1" applyFont="1" applyBorder="1" applyAlignment="1">
      <alignment vertical="center" wrapText="1"/>
    </xf>
    <xf numFmtId="0" fontId="7" fillId="3" borderId="5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vertical="center" wrapText="1"/>
    </xf>
    <xf numFmtId="3" fontId="15" fillId="3" borderId="22" xfId="1" applyNumberFormat="1" applyFont="1" applyFill="1" applyBorder="1" applyAlignment="1">
      <alignment vertical="center" wrapText="1"/>
    </xf>
    <xf numFmtId="0" fontId="3" fillId="0" borderId="58" xfId="1" applyFont="1" applyBorder="1" applyAlignment="1">
      <alignment horizontal="center"/>
    </xf>
    <xf numFmtId="0" fontId="3" fillId="0" borderId="59" xfId="1" applyFont="1" applyBorder="1" applyAlignment="1">
      <alignment horizontal="center"/>
    </xf>
    <xf numFmtId="0" fontId="12" fillId="0" borderId="60" xfId="1" applyFont="1" applyBorder="1" applyAlignment="1">
      <alignment horizontal="right" vertical="center"/>
    </xf>
    <xf numFmtId="0" fontId="6" fillId="0" borderId="17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vertical="center"/>
    </xf>
    <xf numFmtId="0" fontId="12" fillId="0" borderId="11" xfId="1" applyFont="1" applyBorder="1" applyAlignment="1">
      <alignment vertical="center"/>
    </xf>
    <xf numFmtId="3" fontId="12" fillId="0" borderId="11" xfId="1" applyNumberFormat="1" applyFont="1" applyBorder="1" applyAlignment="1">
      <alignment vertical="center" wrapText="1"/>
    </xf>
    <xf numFmtId="0" fontId="3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vertical="center"/>
    </xf>
    <xf numFmtId="0" fontId="4" fillId="0" borderId="17" xfId="1" applyFont="1" applyBorder="1" applyAlignment="1">
      <alignment horizontal="center"/>
    </xf>
    <xf numFmtId="0" fontId="7" fillId="0" borderId="5" xfId="1" applyFont="1" applyFill="1" applyBorder="1" applyAlignment="1">
      <alignment horizontal="center" vertical="center"/>
    </xf>
    <xf numFmtId="1" fontId="7" fillId="0" borderId="10" xfId="1" applyNumberFormat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1" fontId="7" fillId="0" borderId="15" xfId="1" applyNumberFormat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" fontId="3" fillId="0" borderId="15" xfId="1" applyNumberFormat="1" applyFont="1" applyFill="1" applyBorder="1" applyAlignment="1">
      <alignment horizontal="center" vertical="center" wrapText="1"/>
    </xf>
    <xf numFmtId="3" fontId="3" fillId="0" borderId="10" xfId="1" applyNumberFormat="1" applyFont="1" applyBorder="1" applyAlignment="1">
      <alignment vertical="center" wrapText="1"/>
    </xf>
    <xf numFmtId="3" fontId="3" fillId="0" borderId="19" xfId="1" applyNumberFormat="1" applyFont="1" applyBorder="1" applyAlignment="1">
      <alignment vertical="center" wrapText="1"/>
    </xf>
    <xf numFmtId="3" fontId="10" fillId="0" borderId="18" xfId="1" applyNumberFormat="1" applyFont="1" applyBorder="1" applyAlignment="1">
      <alignment vertical="center" wrapText="1"/>
    </xf>
    <xf numFmtId="3" fontId="12" fillId="0" borderId="11" xfId="1" applyNumberFormat="1" applyFont="1" applyBorder="1" applyAlignment="1">
      <alignment vertical="center"/>
    </xf>
    <xf numFmtId="3" fontId="15" fillId="0" borderId="61" xfId="1" applyNumberFormat="1" applyFont="1" applyBorder="1"/>
    <xf numFmtId="3" fontId="15" fillId="0" borderId="62" xfId="1" applyNumberFormat="1" applyFont="1" applyBorder="1"/>
    <xf numFmtId="173" fontId="15" fillId="0" borderId="19" xfId="1" applyNumberFormat="1" applyFont="1" applyBorder="1" applyAlignment="1">
      <alignment vertical="center" wrapText="1"/>
    </xf>
    <xf numFmtId="173" fontId="15" fillId="3" borderId="63" xfId="1" applyNumberFormat="1" applyFont="1" applyFill="1" applyBorder="1" applyAlignment="1">
      <alignment vertical="center" wrapText="1"/>
    </xf>
    <xf numFmtId="3" fontId="15" fillId="0" borderId="64" xfId="1" applyNumberFormat="1" applyFont="1" applyBorder="1"/>
    <xf numFmtId="166" fontId="10" fillId="0" borderId="65" xfId="1" applyNumberFormat="1" applyFont="1" applyBorder="1" applyAlignment="1">
      <alignment vertical="center" wrapText="1"/>
    </xf>
    <xf numFmtId="173" fontId="9" fillId="0" borderId="62" xfId="1" applyNumberFormat="1" applyFont="1" applyBorder="1" applyAlignment="1">
      <alignment horizontal="right" vertical="center" wrapText="1"/>
    </xf>
    <xf numFmtId="0" fontId="3" fillId="0" borderId="8" xfId="1" applyFont="1" applyBorder="1" applyAlignment="1">
      <alignment horizontal="center"/>
    </xf>
    <xf numFmtId="0" fontId="3" fillId="0" borderId="66" xfId="1" applyFont="1" applyBorder="1" applyAlignment="1">
      <alignment horizontal="center"/>
    </xf>
    <xf numFmtId="0" fontId="3" fillId="0" borderId="67" xfId="1" applyFont="1" applyBorder="1" applyAlignment="1">
      <alignment horizontal="center" vertical="center"/>
    </xf>
    <xf numFmtId="3" fontId="8" fillId="0" borderId="67" xfId="1" applyNumberFormat="1" applyFont="1" applyFill="1" applyBorder="1" applyAlignment="1">
      <alignment horizontal="right" vertical="center" wrapText="1"/>
    </xf>
    <xf numFmtId="3" fontId="7" fillId="0" borderId="8" xfId="1" applyNumberFormat="1" applyFont="1" applyBorder="1" applyAlignment="1">
      <alignment vertical="center" wrapText="1"/>
    </xf>
    <xf numFmtId="3" fontId="12" fillId="0" borderId="67" xfId="1" applyNumberFormat="1" applyFont="1" applyBorder="1" applyAlignment="1">
      <alignment vertical="center" wrapText="1"/>
    </xf>
    <xf numFmtId="3" fontId="8" fillId="0" borderId="67" xfId="1" applyNumberFormat="1" applyFont="1" applyBorder="1" applyAlignment="1">
      <alignment horizontal="right" vertical="center" wrapText="1"/>
    </xf>
    <xf numFmtId="3" fontId="5" fillId="0" borderId="63" xfId="1" applyNumberFormat="1" applyFont="1" applyBorder="1" applyAlignment="1">
      <alignment vertical="center" wrapText="1"/>
    </xf>
    <xf numFmtId="3" fontId="3" fillId="0" borderId="8" xfId="1" applyNumberFormat="1" applyFont="1" applyBorder="1" applyAlignment="1">
      <alignment vertical="center" wrapText="1"/>
    </xf>
    <xf numFmtId="3" fontId="15" fillId="3" borderId="63" xfId="1" applyNumberFormat="1" applyFont="1" applyFill="1" applyBorder="1" applyAlignment="1">
      <alignment vertical="center" wrapText="1"/>
    </xf>
    <xf numFmtId="3" fontId="3" fillId="0" borderId="33" xfId="1" applyNumberFormat="1" applyFont="1" applyBorder="1" applyAlignment="1">
      <alignment vertical="center" wrapText="1"/>
    </xf>
    <xf numFmtId="3" fontId="3" fillId="0" borderId="34" xfId="1" applyNumberFormat="1" applyFont="1" applyBorder="1" applyAlignment="1">
      <alignment vertical="center" wrapText="1"/>
    </xf>
    <xf numFmtId="3" fontId="5" fillId="0" borderId="68" xfId="1" applyNumberFormat="1" applyFont="1" applyBorder="1" applyAlignment="1">
      <alignment vertical="center" wrapText="1"/>
    </xf>
    <xf numFmtId="3" fontId="3" fillId="0" borderId="69" xfId="1" applyNumberFormat="1" applyFont="1" applyBorder="1" applyAlignment="1">
      <alignment vertical="center" wrapText="1"/>
    </xf>
    <xf numFmtId="3" fontId="10" fillId="0" borderId="65" xfId="1" applyNumberFormat="1" applyFont="1" applyBorder="1" applyAlignment="1">
      <alignment vertical="center" wrapText="1"/>
    </xf>
    <xf numFmtId="3" fontId="10" fillId="0" borderId="23" xfId="1" applyNumberFormat="1" applyFont="1" applyBorder="1" applyAlignment="1">
      <alignment vertical="center" wrapText="1"/>
    </xf>
    <xf numFmtId="3" fontId="15" fillId="0" borderId="63" xfId="1" applyNumberFormat="1" applyFont="1" applyBorder="1" applyAlignment="1">
      <alignment vertical="center" wrapText="1"/>
    </xf>
    <xf numFmtId="0" fontId="7" fillId="0" borderId="18" xfId="1" applyFont="1" applyBorder="1" applyAlignment="1">
      <alignment horizontal="center" vertical="center"/>
    </xf>
    <xf numFmtId="3" fontId="10" fillId="0" borderId="10" xfId="1" applyNumberFormat="1" applyFont="1" applyBorder="1" applyAlignment="1">
      <alignment vertical="center" wrapText="1"/>
    </xf>
    <xf numFmtId="3" fontId="10" fillId="0" borderId="19" xfId="1" applyNumberFormat="1" applyFont="1" applyBorder="1" applyAlignment="1">
      <alignment vertical="center" wrapText="1"/>
    </xf>
    <xf numFmtId="16" fontId="13" fillId="0" borderId="17" xfId="1" quotePrefix="1" applyNumberFormat="1" applyFont="1" applyBorder="1" applyAlignment="1">
      <alignment horizontal="center" vertical="center"/>
    </xf>
    <xf numFmtId="173" fontId="5" fillId="3" borderId="8" xfId="1" applyNumberFormat="1" applyFont="1" applyFill="1" applyBorder="1" applyAlignment="1">
      <alignment vertical="center" wrapText="1"/>
    </xf>
    <xf numFmtId="3" fontId="12" fillId="0" borderId="70" xfId="1" applyNumberFormat="1" applyFont="1" applyBorder="1" applyAlignment="1">
      <alignment vertical="center" wrapText="1"/>
    </xf>
    <xf numFmtId="3" fontId="10" fillId="0" borderId="71" xfId="1" applyNumberFormat="1" applyFont="1" applyBorder="1" applyAlignment="1">
      <alignment vertical="center" wrapText="1"/>
    </xf>
    <xf numFmtId="3" fontId="15" fillId="0" borderId="8" xfId="1" applyNumberFormat="1" applyFont="1" applyBorder="1" applyAlignment="1">
      <alignment vertical="center" wrapText="1"/>
    </xf>
    <xf numFmtId="3" fontId="15" fillId="0" borderId="69" xfId="1" applyNumberFormat="1" applyFont="1" applyBorder="1" applyAlignment="1">
      <alignment vertical="center" wrapText="1"/>
    </xf>
    <xf numFmtId="3" fontId="9" fillId="0" borderId="18" xfId="1" applyNumberFormat="1" applyFont="1" applyBorder="1" applyAlignment="1">
      <alignment vertical="center"/>
    </xf>
    <xf numFmtId="173" fontId="15" fillId="0" borderId="8" xfId="1" applyNumberFormat="1" applyFont="1" applyBorder="1" applyAlignment="1">
      <alignment vertical="center" wrapText="1"/>
    </xf>
    <xf numFmtId="173" fontId="9" fillId="0" borderId="18" xfId="1" applyNumberFormat="1" applyFont="1" applyBorder="1" applyAlignment="1">
      <alignment vertical="center"/>
    </xf>
    <xf numFmtId="173" fontId="9" fillId="0" borderId="71" xfId="1" applyNumberFormat="1" applyFont="1" applyBorder="1" applyAlignment="1">
      <alignment vertical="center"/>
    </xf>
    <xf numFmtId="173" fontId="9" fillId="0" borderId="67" xfId="1" applyNumberFormat="1" applyFont="1" applyBorder="1" applyAlignment="1">
      <alignment vertical="center"/>
    </xf>
    <xf numFmtId="173" fontId="9" fillId="0" borderId="72" xfId="1" applyNumberFormat="1" applyFont="1" applyBorder="1" applyAlignment="1">
      <alignment vertical="center"/>
    </xf>
    <xf numFmtId="0" fontId="4" fillId="0" borderId="7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/>
    </xf>
    <xf numFmtId="173" fontId="7" fillId="0" borderId="21" xfId="1" applyNumberFormat="1" applyFont="1" applyBorder="1" applyAlignment="1">
      <alignment vertical="center" wrapText="1"/>
    </xf>
    <xf numFmtId="3" fontId="10" fillId="0" borderId="21" xfId="1" applyNumberFormat="1" applyFont="1" applyBorder="1" applyAlignment="1">
      <alignment vertical="center" wrapText="1"/>
    </xf>
    <xf numFmtId="49" fontId="11" fillId="0" borderId="9" xfId="1" applyNumberFormat="1" applyFont="1" applyBorder="1" applyAlignment="1">
      <alignment horizontal="center" vertical="center" wrapText="1"/>
    </xf>
    <xf numFmtId="3" fontId="3" fillId="0" borderId="5" xfId="1" applyNumberFormat="1" applyFont="1" applyBorder="1" applyAlignment="1">
      <alignment vertical="center" wrapText="1"/>
    </xf>
    <xf numFmtId="3" fontId="7" fillId="0" borderId="5" xfId="1" applyNumberFormat="1" applyFont="1" applyBorder="1" applyAlignment="1">
      <alignment vertical="center" wrapText="1"/>
    </xf>
    <xf numFmtId="173" fontId="10" fillId="0" borderId="16" xfId="1" applyNumberFormat="1" applyFont="1" applyBorder="1" applyAlignment="1">
      <alignment vertical="center" wrapText="1"/>
    </xf>
    <xf numFmtId="173" fontId="5" fillId="0" borderId="16" xfId="1" applyNumberFormat="1" applyFont="1" applyBorder="1" applyAlignment="1">
      <alignment vertical="center" wrapText="1"/>
    </xf>
    <xf numFmtId="173" fontId="9" fillId="0" borderId="51" xfId="1" applyNumberFormat="1" applyFont="1" applyBorder="1" applyAlignment="1">
      <alignment vertical="center"/>
    </xf>
    <xf numFmtId="173" fontId="9" fillId="0" borderId="13" xfId="1" applyNumberFormat="1" applyFont="1" applyBorder="1" applyAlignment="1">
      <alignment vertical="center"/>
    </xf>
    <xf numFmtId="173" fontId="9" fillId="0" borderId="55" xfId="1" applyNumberFormat="1" applyFont="1" applyBorder="1" applyAlignment="1">
      <alignment vertical="center"/>
    </xf>
    <xf numFmtId="173" fontId="20" fillId="0" borderId="16" xfId="1" applyNumberFormat="1" applyFont="1" applyBorder="1" applyAlignment="1">
      <alignment vertical="center" wrapText="1"/>
    </xf>
    <xf numFmtId="3" fontId="8" fillId="0" borderId="13" xfId="1" applyNumberFormat="1" applyFont="1" applyBorder="1" applyAlignment="1">
      <alignment horizontal="right" vertical="center" wrapText="1"/>
    </xf>
    <xf numFmtId="0" fontId="4" fillId="0" borderId="5" xfId="1" applyFont="1" applyBorder="1"/>
    <xf numFmtId="0" fontId="11" fillId="0" borderId="9" xfId="1" applyFont="1" applyBorder="1" applyAlignment="1">
      <alignment vertical="center" wrapText="1"/>
    </xf>
    <xf numFmtId="173" fontId="3" fillId="0" borderId="9" xfId="1" applyNumberFormat="1" applyFont="1" applyBorder="1" applyAlignment="1">
      <alignment vertical="center" wrapText="1"/>
    </xf>
    <xf numFmtId="0" fontId="11" fillId="0" borderId="10" xfId="1" applyFont="1" applyFill="1" applyBorder="1" applyAlignment="1">
      <alignment horizontal="center" vertical="center" wrapText="1"/>
    </xf>
    <xf numFmtId="49" fontId="11" fillId="0" borderId="15" xfId="1" applyNumberFormat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3" fontId="4" fillId="0" borderId="73" xfId="1" applyNumberFormat="1" applyFont="1" applyBorder="1"/>
    <xf numFmtId="0" fontId="4" fillId="0" borderId="73" xfId="1" applyFont="1" applyBorder="1"/>
    <xf numFmtId="0" fontId="22" fillId="0" borderId="9" xfId="1" applyFont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/>
    </xf>
    <xf numFmtId="49" fontId="3" fillId="0" borderId="9" xfId="1" applyNumberFormat="1" applyFont="1" applyBorder="1" applyAlignment="1">
      <alignment horizontal="center" vertical="center" wrapText="1"/>
    </xf>
    <xf numFmtId="0" fontId="8" fillId="0" borderId="74" xfId="1" applyFont="1" applyBorder="1" applyAlignment="1">
      <alignment vertical="center"/>
    </xf>
    <xf numFmtId="3" fontId="7" fillId="0" borderId="74" xfId="1" applyNumberFormat="1" applyFont="1" applyBorder="1" applyAlignment="1">
      <alignment vertical="center"/>
    </xf>
    <xf numFmtId="3" fontId="7" fillId="0" borderId="75" xfId="1" applyNumberFormat="1" applyFont="1" applyBorder="1" applyAlignment="1">
      <alignment vertical="center"/>
    </xf>
    <xf numFmtId="3" fontId="16" fillId="0" borderId="76" xfId="1" applyNumberFormat="1" applyFont="1" applyBorder="1" applyAlignment="1">
      <alignment vertical="center" wrapText="1"/>
    </xf>
    <xf numFmtId="0" fontId="3" fillId="0" borderId="17" xfId="1" applyFont="1" applyBorder="1" applyAlignment="1">
      <alignment horizontal="center" vertical="center" wrapText="1"/>
    </xf>
    <xf numFmtId="0" fontId="11" fillId="0" borderId="17" xfId="1" applyFont="1" applyBorder="1" applyAlignment="1">
      <alignment vertical="center" wrapText="1"/>
    </xf>
    <xf numFmtId="3" fontId="11" fillId="0" borderId="17" xfId="1" applyNumberFormat="1" applyFont="1" applyBorder="1" applyAlignment="1">
      <alignment vertical="center" wrapText="1"/>
    </xf>
    <xf numFmtId="0" fontId="3" fillId="0" borderId="8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/>
    </xf>
    <xf numFmtId="0" fontId="3" fillId="0" borderId="77" xfId="1" applyFont="1" applyBorder="1" applyAlignment="1">
      <alignment horizontal="center" vertical="top"/>
    </xf>
    <xf numFmtId="0" fontId="3" fillId="0" borderId="52" xfId="1" applyFont="1" applyBorder="1" applyAlignment="1">
      <alignment horizontal="center" vertical="center" wrapText="1"/>
    </xf>
    <xf numFmtId="3" fontId="11" fillId="0" borderId="25" xfId="1" applyNumberFormat="1" applyFont="1" applyBorder="1" applyAlignment="1">
      <alignment vertical="center" wrapText="1"/>
    </xf>
    <xf numFmtId="3" fontId="11" fillId="0" borderId="26" xfId="1" applyNumberFormat="1" applyFont="1" applyBorder="1" applyAlignment="1">
      <alignment vertical="center" wrapText="1"/>
    </xf>
    <xf numFmtId="3" fontId="11" fillId="0" borderId="20" xfId="1" applyNumberFormat="1" applyFont="1" applyBorder="1" applyAlignment="1">
      <alignment vertical="center" wrapText="1"/>
    </xf>
    <xf numFmtId="3" fontId="11" fillId="0" borderId="27" xfId="1" applyNumberFormat="1" applyFont="1" applyBorder="1" applyAlignment="1">
      <alignment vertical="center" wrapText="1"/>
    </xf>
    <xf numFmtId="3" fontId="15" fillId="0" borderId="29" xfId="1" applyNumberFormat="1" applyFont="1" applyBorder="1" applyAlignment="1">
      <alignment vertical="center"/>
    </xf>
    <xf numFmtId="3" fontId="15" fillId="0" borderId="30" xfId="1" applyNumberFormat="1" applyFont="1" applyBorder="1" applyAlignment="1">
      <alignment vertical="center"/>
    </xf>
    <xf numFmtId="0" fontId="3" fillId="0" borderId="42" xfId="1" applyFont="1" applyBorder="1" applyAlignment="1">
      <alignment horizontal="center" vertical="center" wrapText="1"/>
    </xf>
    <xf numFmtId="0" fontId="11" fillId="0" borderId="42" xfId="1" applyFont="1" applyBorder="1" applyAlignment="1">
      <alignment vertical="center" wrapText="1"/>
    </xf>
    <xf numFmtId="3" fontId="11" fillId="0" borderId="42" xfId="1" applyNumberFormat="1" applyFont="1" applyBorder="1" applyAlignment="1">
      <alignment vertical="center" wrapText="1"/>
    </xf>
    <xf numFmtId="3" fontId="15" fillId="0" borderId="45" xfId="1" applyNumberFormat="1" applyFont="1" applyBorder="1" applyAlignment="1">
      <alignment vertical="center"/>
    </xf>
    <xf numFmtId="0" fontId="23" fillId="0" borderId="25" xfId="1" applyFont="1" applyBorder="1" applyAlignment="1">
      <alignment vertical="center" wrapText="1"/>
    </xf>
    <xf numFmtId="0" fontId="23" fillId="0" borderId="20" xfId="1" applyFont="1" applyBorder="1" applyAlignment="1">
      <alignment vertical="center" wrapText="1"/>
    </xf>
    <xf numFmtId="3" fontId="17" fillId="0" borderId="74" xfId="1" applyNumberFormat="1" applyFont="1" applyBorder="1" applyAlignment="1">
      <alignment vertical="center" wrapText="1"/>
    </xf>
    <xf numFmtId="3" fontId="7" fillId="0" borderId="74" xfId="1" applyNumberFormat="1" applyFont="1" applyBorder="1" applyAlignment="1">
      <alignment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3" fillId="0" borderId="78" xfId="1" applyFont="1" applyBorder="1" applyAlignment="1">
      <alignment horizontal="center" vertical="center" wrapText="1"/>
    </xf>
    <xf numFmtId="3" fontId="20" fillId="0" borderId="17" xfId="1" applyNumberFormat="1" applyFont="1" applyBorder="1" applyAlignment="1">
      <alignment vertical="center" wrapText="1"/>
    </xf>
    <xf numFmtId="3" fontId="12" fillId="0" borderId="60" xfId="1" applyNumberFormat="1" applyFont="1" applyBorder="1" applyAlignment="1">
      <alignment vertical="center" wrapText="1"/>
    </xf>
    <xf numFmtId="49" fontId="3" fillId="0" borderId="15" xfId="1" applyNumberFormat="1" applyFont="1" applyFill="1" applyBorder="1" applyAlignment="1">
      <alignment horizontal="center" vertical="center" wrapText="1"/>
    </xf>
    <xf numFmtId="49" fontId="7" fillId="0" borderId="15" xfId="1" applyNumberFormat="1" applyFont="1" applyFill="1" applyBorder="1" applyAlignment="1">
      <alignment horizontal="center" vertical="center" wrapText="1"/>
    </xf>
    <xf numFmtId="3" fontId="8" fillId="0" borderId="10" xfId="1" applyNumberFormat="1" applyFont="1" applyBorder="1" applyAlignment="1">
      <alignment horizontal="right" vertical="center" wrapText="1"/>
    </xf>
    <xf numFmtId="3" fontId="8" fillId="0" borderId="19" xfId="1" applyNumberFormat="1" applyFont="1" applyBorder="1" applyAlignment="1">
      <alignment horizontal="right" vertical="center" wrapText="1"/>
    </xf>
    <xf numFmtId="0" fontId="7" fillId="0" borderId="0" xfId="1" applyFont="1" applyBorder="1" applyAlignment="1">
      <alignment horizontal="left" vertical="center"/>
    </xf>
    <xf numFmtId="16" fontId="4" fillId="0" borderId="17" xfId="1" applyNumberFormat="1" applyFont="1" applyBorder="1" applyAlignment="1">
      <alignment horizontal="center" vertical="center"/>
    </xf>
    <xf numFmtId="3" fontId="10" fillId="0" borderId="67" xfId="1" applyNumberFormat="1" applyFont="1" applyBorder="1" applyAlignment="1">
      <alignment vertical="center" wrapText="1"/>
    </xf>
    <xf numFmtId="49" fontId="17" fillId="0" borderId="11" xfId="1" applyNumberFormat="1" applyFont="1" applyBorder="1" applyAlignment="1">
      <alignment horizontal="center" vertical="center" wrapText="1"/>
    </xf>
    <xf numFmtId="173" fontId="7" fillId="0" borderId="8" xfId="1" applyNumberFormat="1" applyFont="1" applyBorder="1" applyAlignment="1">
      <alignment vertical="center" wrapText="1"/>
    </xf>
    <xf numFmtId="173" fontId="15" fillId="3" borderId="8" xfId="1" applyNumberFormat="1" applyFont="1" applyFill="1" applyBorder="1" applyAlignment="1">
      <alignment vertical="center" wrapText="1"/>
    </xf>
    <xf numFmtId="173" fontId="24" fillId="0" borderId="17" xfId="1" applyNumberFormat="1" applyFont="1" applyBorder="1" applyAlignment="1">
      <alignment vertical="center" wrapText="1"/>
    </xf>
    <xf numFmtId="173" fontId="7" fillId="3" borderId="10" xfId="1" applyNumberFormat="1" applyFont="1" applyFill="1" applyBorder="1" applyAlignment="1">
      <alignment vertical="center" wrapText="1"/>
    </xf>
    <xf numFmtId="173" fontId="7" fillId="3" borderId="8" xfId="1" applyNumberFormat="1" applyFont="1" applyFill="1" applyBorder="1" applyAlignment="1">
      <alignment vertical="center" wrapText="1"/>
    </xf>
    <xf numFmtId="49" fontId="7" fillId="0" borderId="11" xfId="1" applyNumberFormat="1" applyFont="1" applyFill="1" applyBorder="1" applyAlignment="1">
      <alignment horizontal="center" vertical="center" wrapText="1"/>
    </xf>
    <xf numFmtId="3" fontId="10" fillId="0" borderId="8" xfId="1" applyNumberFormat="1" applyFont="1" applyBorder="1" applyAlignment="1">
      <alignment vertical="center" wrapText="1"/>
    </xf>
    <xf numFmtId="173" fontId="3" fillId="0" borderId="0" xfId="1" applyNumberFormat="1" applyFont="1" applyBorder="1" applyAlignment="1">
      <alignment vertical="center" wrapText="1"/>
    </xf>
    <xf numFmtId="173" fontId="10" fillId="0" borderId="8" xfId="1" applyNumberFormat="1" applyFont="1" applyBorder="1" applyAlignment="1">
      <alignment vertical="center" wrapText="1"/>
    </xf>
    <xf numFmtId="173" fontId="10" fillId="0" borderId="5" xfId="1" applyNumberFormat="1" applyFont="1" applyBorder="1" applyAlignment="1">
      <alignment vertical="center" wrapText="1"/>
    </xf>
    <xf numFmtId="173" fontId="9" fillId="0" borderId="10" xfId="1" applyNumberFormat="1" applyFont="1" applyBorder="1" applyAlignment="1">
      <alignment vertical="center"/>
    </xf>
    <xf numFmtId="173" fontId="9" fillId="0" borderId="19" xfId="1" applyNumberFormat="1" applyFont="1" applyBorder="1" applyAlignment="1">
      <alignment vertical="center"/>
    </xf>
    <xf numFmtId="0" fontId="3" fillId="0" borderId="0" xfId="1" applyFont="1" applyBorder="1" applyAlignment="1">
      <alignment horizontal="center" vertical="top"/>
    </xf>
    <xf numFmtId="0" fontId="3" fillId="0" borderId="0" xfId="1" applyFont="1" applyBorder="1" applyAlignment="1">
      <alignment horizontal="right" vertical="top"/>
    </xf>
    <xf numFmtId="0" fontId="7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right" vertical="center" wrapText="1"/>
    </xf>
    <xf numFmtId="3" fontId="15" fillId="0" borderId="0" xfId="1" applyNumberFormat="1" applyFont="1" applyBorder="1" applyAlignment="1">
      <alignment vertical="center" wrapText="1"/>
    </xf>
    <xf numFmtId="3" fontId="9" fillId="0" borderId="0" xfId="1" applyNumberFormat="1" applyFont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3" fontId="16" fillId="0" borderId="0" xfId="1" applyNumberFormat="1" applyFont="1" applyBorder="1" applyAlignment="1">
      <alignment vertical="center" wrapText="1"/>
    </xf>
    <xf numFmtId="3" fontId="18" fillId="0" borderId="0" xfId="1" applyNumberFormat="1" applyFont="1" applyFill="1" applyBorder="1" applyAlignment="1">
      <alignment vertical="center" wrapText="1"/>
    </xf>
    <xf numFmtId="3" fontId="18" fillId="0" borderId="0" xfId="1" applyNumberFormat="1" applyFont="1" applyBorder="1" applyAlignment="1">
      <alignment vertical="center" wrapText="1"/>
    </xf>
    <xf numFmtId="173" fontId="18" fillId="0" borderId="0" xfId="1" applyNumberFormat="1" applyFont="1" applyBorder="1" applyAlignment="1">
      <alignment vertical="center" wrapText="1"/>
    </xf>
    <xf numFmtId="173" fontId="10" fillId="0" borderId="0" xfId="1" applyNumberFormat="1" applyFont="1" applyBorder="1" applyAlignment="1">
      <alignment vertical="center" wrapText="1"/>
    </xf>
    <xf numFmtId="173" fontId="15" fillId="0" borderId="0" xfId="1" applyNumberFormat="1" applyFont="1" applyBorder="1" applyAlignment="1">
      <alignment vertical="center" wrapText="1"/>
    </xf>
    <xf numFmtId="173" fontId="9" fillId="0" borderId="0" xfId="1" applyNumberFormat="1" applyFont="1" applyBorder="1" applyAlignment="1">
      <alignment vertical="center"/>
    </xf>
    <xf numFmtId="173" fontId="7" fillId="0" borderId="0" xfId="1" applyNumberFormat="1" applyFont="1" applyBorder="1" applyAlignment="1">
      <alignment vertical="center" wrapText="1"/>
    </xf>
    <xf numFmtId="173" fontId="9" fillId="0" borderId="0" xfId="1" applyNumberFormat="1" applyFont="1" applyBorder="1" applyAlignment="1">
      <alignment vertical="center" wrapText="1"/>
    </xf>
    <xf numFmtId="3" fontId="9" fillId="0" borderId="23" xfId="1" applyNumberFormat="1" applyFont="1" applyFill="1" applyBorder="1" applyAlignment="1">
      <alignment vertical="center"/>
    </xf>
    <xf numFmtId="0" fontId="5" fillId="0" borderId="79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80" xfId="1" applyFont="1" applyBorder="1" applyAlignment="1">
      <alignment horizontal="center"/>
    </xf>
    <xf numFmtId="0" fontId="3" fillId="0" borderId="81" xfId="1" applyFont="1" applyBorder="1" applyAlignment="1">
      <alignment horizontal="center" vertical="center"/>
    </xf>
    <xf numFmtId="3" fontId="10" fillId="0" borderId="70" xfId="1" applyNumberFormat="1" applyFont="1" applyBorder="1" applyAlignment="1">
      <alignment horizontal="right" vertical="center" wrapText="1"/>
    </xf>
    <xf numFmtId="3" fontId="10" fillId="0" borderId="49" xfId="1" applyNumberFormat="1" applyFont="1" applyBorder="1" applyAlignment="1">
      <alignment horizontal="right" vertical="center" wrapText="1"/>
    </xf>
    <xf numFmtId="3" fontId="16" fillId="0" borderId="26" xfId="1" applyNumberFormat="1" applyFont="1" applyBorder="1" applyAlignment="1">
      <alignment vertical="center" wrapText="1"/>
    </xf>
    <xf numFmtId="3" fontId="16" fillId="0" borderId="27" xfId="1" applyNumberFormat="1" applyFont="1" applyBorder="1" applyAlignment="1">
      <alignment vertical="center" wrapText="1"/>
    </xf>
    <xf numFmtId="173" fontId="18" fillId="0" borderId="82" xfId="1" applyNumberFormat="1" applyFont="1" applyBorder="1" applyAlignment="1">
      <alignment vertical="center" wrapText="1"/>
    </xf>
    <xf numFmtId="3" fontId="9" fillId="0" borderId="83" xfId="1" applyNumberFormat="1" applyFont="1" applyBorder="1" applyAlignment="1">
      <alignment vertical="center"/>
    </xf>
    <xf numFmtId="173" fontId="10" fillId="0" borderId="84" xfId="1" applyNumberFormat="1" applyFont="1" applyBorder="1" applyAlignment="1">
      <alignment vertical="center" wrapText="1"/>
    </xf>
    <xf numFmtId="173" fontId="15" fillId="0" borderId="34" xfId="1" applyNumberFormat="1" applyFont="1" applyBorder="1" applyAlignment="1">
      <alignment vertical="center" wrapText="1"/>
    </xf>
    <xf numFmtId="3" fontId="15" fillId="0" borderId="34" xfId="1" applyNumberFormat="1" applyFont="1" applyBorder="1" applyAlignment="1">
      <alignment vertical="center" wrapText="1"/>
    </xf>
    <xf numFmtId="3" fontId="9" fillId="0" borderId="34" xfId="1" applyNumberFormat="1" applyFont="1" applyBorder="1" applyAlignment="1">
      <alignment vertical="center"/>
    </xf>
    <xf numFmtId="3" fontId="9" fillId="0" borderId="19" xfId="1" applyNumberFormat="1" applyFont="1" applyBorder="1" applyAlignment="1">
      <alignment vertical="center"/>
    </xf>
    <xf numFmtId="173" fontId="9" fillId="0" borderId="23" xfId="1" applyNumberFormat="1" applyFont="1" applyBorder="1" applyAlignment="1">
      <alignment vertical="center" wrapText="1"/>
    </xf>
    <xf numFmtId="173" fontId="9" fillId="0" borderId="65" xfId="1" applyNumberFormat="1" applyFont="1" applyBorder="1" applyAlignment="1">
      <alignment vertical="center" wrapText="1"/>
    </xf>
    <xf numFmtId="0" fontId="3" fillId="0" borderId="85" xfId="1" applyFont="1" applyBorder="1" applyAlignment="1">
      <alignment horizontal="center"/>
    </xf>
    <xf numFmtId="3" fontId="9" fillId="0" borderId="18" xfId="1" applyNumberFormat="1" applyFont="1" applyFill="1" applyBorder="1" applyAlignment="1">
      <alignment vertical="center"/>
    </xf>
    <xf numFmtId="3" fontId="7" fillId="0" borderId="86" xfId="1" applyNumberFormat="1" applyFont="1" applyBorder="1" applyAlignment="1">
      <alignment vertical="center"/>
    </xf>
    <xf numFmtId="3" fontId="7" fillId="0" borderId="87" xfId="1" applyNumberFormat="1" applyFont="1" applyBorder="1" applyAlignment="1">
      <alignment vertical="center"/>
    </xf>
    <xf numFmtId="3" fontId="7" fillId="0" borderId="88" xfId="1" applyNumberFormat="1" applyFont="1" applyBorder="1" applyAlignment="1">
      <alignment vertical="center"/>
    </xf>
    <xf numFmtId="3" fontId="7" fillId="0" borderId="88" xfId="1" applyNumberFormat="1" applyFont="1" applyBorder="1" applyAlignment="1">
      <alignment vertical="center" wrapText="1"/>
    </xf>
    <xf numFmtId="3" fontId="7" fillId="0" borderId="89" xfId="1" applyNumberFormat="1" applyFont="1" applyBorder="1" applyAlignment="1">
      <alignment vertical="center" wrapText="1"/>
    </xf>
    <xf numFmtId="3" fontId="7" fillId="0" borderId="90" xfId="1" applyNumberFormat="1" applyFont="1" applyBorder="1" applyAlignment="1">
      <alignment vertical="center" wrapText="1"/>
    </xf>
    <xf numFmtId="3" fontId="11" fillId="0" borderId="8" xfId="1" applyNumberFormat="1" applyFont="1" applyBorder="1" applyAlignment="1">
      <alignment vertical="center" wrapText="1"/>
    </xf>
    <xf numFmtId="3" fontId="12" fillId="0" borderId="91" xfId="1" applyNumberFormat="1" applyFont="1" applyBorder="1" applyAlignment="1">
      <alignment vertical="center" wrapText="1"/>
    </xf>
    <xf numFmtId="173" fontId="7" fillId="0" borderId="69" xfId="1" applyNumberFormat="1" applyFont="1" applyBorder="1" applyAlignment="1">
      <alignment vertical="center" wrapText="1"/>
    </xf>
    <xf numFmtId="3" fontId="7" fillId="0" borderId="69" xfId="1" applyNumberFormat="1" applyFont="1" applyBorder="1" applyAlignment="1">
      <alignment vertical="center" wrapText="1"/>
    </xf>
    <xf numFmtId="3" fontId="12" fillId="0" borderId="50" xfId="1" applyNumberFormat="1" applyFont="1" applyBorder="1" applyAlignment="1">
      <alignment vertical="center"/>
    </xf>
    <xf numFmtId="173" fontId="3" fillId="0" borderId="8" xfId="1" applyNumberFormat="1" applyFont="1" applyBorder="1" applyAlignment="1">
      <alignment vertical="center" wrapText="1"/>
    </xf>
    <xf numFmtId="173" fontId="11" fillId="0" borderId="8" xfId="1" applyNumberFormat="1" applyFont="1" applyBorder="1" applyAlignment="1">
      <alignment vertical="center" wrapText="1"/>
    </xf>
    <xf numFmtId="173" fontId="9" fillId="0" borderId="18" xfId="1" applyNumberFormat="1" applyFont="1" applyFill="1" applyBorder="1" applyAlignment="1">
      <alignment vertical="center" wrapText="1"/>
    </xf>
    <xf numFmtId="49" fontId="29" fillId="0" borderId="11" xfId="1" applyNumberFormat="1" applyFont="1" applyBorder="1" applyAlignment="1">
      <alignment horizontal="center" vertical="center" wrapText="1"/>
    </xf>
    <xf numFmtId="0" fontId="29" fillId="0" borderId="0" xfId="1" applyFont="1" applyBorder="1" applyAlignment="1">
      <alignment vertical="center" wrapText="1"/>
    </xf>
    <xf numFmtId="173" fontId="29" fillId="0" borderId="10" xfId="1" applyNumberFormat="1" applyFont="1" applyBorder="1" applyAlignment="1">
      <alignment vertical="center" wrapText="1"/>
    </xf>
    <xf numFmtId="3" fontId="10" fillId="0" borderId="17" xfId="1" applyNumberFormat="1" applyFont="1" applyFill="1" applyBorder="1" applyAlignment="1">
      <alignment vertical="center" wrapText="1"/>
    </xf>
    <xf numFmtId="173" fontId="11" fillId="0" borderId="0" xfId="1" applyNumberFormat="1" applyFont="1"/>
    <xf numFmtId="173" fontId="30" fillId="0" borderId="19" xfId="1" applyNumberFormat="1" applyFont="1" applyBorder="1" applyAlignment="1">
      <alignment vertical="center" wrapText="1"/>
    </xf>
    <xf numFmtId="0" fontId="12" fillId="0" borderId="17" xfId="1" applyFont="1" applyBorder="1" applyAlignment="1">
      <alignment horizontal="right" vertical="center"/>
    </xf>
    <xf numFmtId="173" fontId="12" fillId="0" borderId="17" xfId="1" applyNumberFormat="1" applyFont="1" applyBorder="1" applyAlignment="1">
      <alignment vertical="center"/>
    </xf>
    <xf numFmtId="49" fontId="7" fillId="4" borderId="11" xfId="1" applyNumberFormat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/>
    </xf>
    <xf numFmtId="49" fontId="11" fillId="4" borderId="10" xfId="1" applyNumberFormat="1" applyFont="1" applyFill="1" applyBorder="1" applyAlignment="1">
      <alignment horizontal="center" vertical="center" wrapText="1"/>
    </xf>
    <xf numFmtId="173" fontId="11" fillId="4" borderId="8" xfId="1" applyNumberFormat="1" applyFont="1" applyFill="1" applyBorder="1" applyAlignment="1">
      <alignment vertical="center" wrapText="1"/>
    </xf>
    <xf numFmtId="49" fontId="11" fillId="4" borderId="15" xfId="1" applyNumberFormat="1" applyFont="1" applyFill="1" applyBorder="1" applyAlignment="1">
      <alignment horizontal="center" vertical="center" wrapText="1"/>
    </xf>
    <xf numFmtId="49" fontId="11" fillId="0" borderId="9" xfId="1" applyNumberFormat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center" wrapText="1"/>
    </xf>
    <xf numFmtId="173" fontId="21" fillId="0" borderId="17" xfId="1" applyNumberFormat="1" applyFont="1" applyBorder="1" applyAlignment="1">
      <alignment vertical="center" wrapText="1"/>
    </xf>
    <xf numFmtId="0" fontId="7" fillId="4" borderId="15" xfId="1" applyFont="1" applyFill="1" applyBorder="1" applyAlignment="1">
      <alignment horizontal="center" vertical="center" wrapText="1"/>
    </xf>
    <xf numFmtId="0" fontId="3" fillId="0" borderId="6" xfId="1" applyFont="1" applyBorder="1" applyAlignment="1"/>
    <xf numFmtId="0" fontId="0" fillId="0" borderId="92" xfId="0" applyBorder="1" applyAlignment="1"/>
    <xf numFmtId="0" fontId="3" fillId="0" borderId="93" xfId="1" applyFont="1" applyBorder="1" applyAlignment="1"/>
    <xf numFmtId="0" fontId="7" fillId="0" borderId="1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15" fillId="0" borderId="10" xfId="1" applyFont="1" applyBorder="1" applyAlignment="1">
      <alignment horizontal="center"/>
    </xf>
    <xf numFmtId="0" fontId="3" fillId="0" borderId="33" xfId="1" applyFont="1" applyBorder="1" applyAlignment="1">
      <alignment horizontal="center"/>
    </xf>
    <xf numFmtId="0" fontId="3" fillId="0" borderId="94" xfId="1" applyFont="1" applyBorder="1" applyAlignment="1"/>
    <xf numFmtId="0" fontId="3" fillId="2" borderId="94" xfId="0" applyFont="1" applyFill="1" applyBorder="1" applyAlignment="1" applyProtection="1">
      <protection hidden="1"/>
    </xf>
    <xf numFmtId="0" fontId="3" fillId="2" borderId="94" xfId="0" applyFont="1" applyFill="1" applyBorder="1" applyAlignment="1" applyProtection="1">
      <alignment horizontal="center"/>
      <protection hidden="1"/>
    </xf>
    <xf numFmtId="0" fontId="3" fillId="0" borderId="95" xfId="1" applyFont="1" applyBorder="1" applyAlignment="1"/>
    <xf numFmtId="0" fontId="3" fillId="0" borderId="96" xfId="1" applyFont="1" applyBorder="1" applyAlignment="1"/>
    <xf numFmtId="0" fontId="15" fillId="0" borderId="97" xfId="1" applyFont="1" applyBorder="1" applyAlignment="1">
      <alignment horizontal="center"/>
    </xf>
    <xf numFmtId="0" fontId="15" fillId="0" borderId="94" xfId="1" applyFont="1" applyBorder="1" applyAlignment="1">
      <alignment horizontal="center"/>
    </xf>
    <xf numFmtId="3" fontId="10" fillId="0" borderId="15" xfId="1" applyNumberFormat="1" applyFont="1" applyBorder="1" applyAlignment="1">
      <alignment horizontal="right" vertical="center" wrapText="1"/>
    </xf>
    <xf numFmtId="0" fontId="5" fillId="0" borderId="98" xfId="1" applyFont="1" applyBorder="1" applyAlignment="1">
      <alignment horizontal="center"/>
    </xf>
    <xf numFmtId="3" fontId="15" fillId="0" borderId="98" xfId="1" applyNumberFormat="1" applyFont="1" applyBorder="1"/>
    <xf numFmtId="3" fontId="15" fillId="0" borderId="43" xfId="1" applyNumberFormat="1" applyFont="1" applyBorder="1"/>
    <xf numFmtId="173" fontId="15" fillId="0" borderId="93" xfId="1" applyNumberFormat="1" applyFont="1" applyBorder="1" applyAlignment="1">
      <alignment vertical="center" wrapText="1"/>
    </xf>
    <xf numFmtId="3" fontId="15" fillId="0" borderId="99" xfId="1" applyNumberFormat="1" applyFont="1" applyBorder="1"/>
    <xf numFmtId="166" fontId="10" fillId="0" borderId="100" xfId="1" applyNumberFormat="1" applyFont="1" applyBorder="1" applyAlignment="1">
      <alignment vertical="center" wrapText="1"/>
    </xf>
    <xf numFmtId="173" fontId="9" fillId="0" borderId="43" xfId="1" applyNumberFormat="1" applyFont="1" applyBorder="1" applyAlignment="1">
      <alignment horizontal="right" vertical="center" wrapText="1"/>
    </xf>
    <xf numFmtId="173" fontId="5" fillId="0" borderId="93" xfId="1" applyNumberFormat="1" applyFont="1" applyBorder="1" applyAlignment="1">
      <alignment vertical="center" wrapText="1"/>
    </xf>
    <xf numFmtId="173" fontId="5" fillId="0" borderId="101" xfId="1" applyNumberFormat="1" applyFont="1" applyBorder="1" applyAlignment="1">
      <alignment vertical="center" wrapText="1"/>
    </xf>
    <xf numFmtId="173" fontId="10" fillId="0" borderId="100" xfId="1" applyNumberFormat="1" applyFont="1" applyBorder="1" applyAlignment="1">
      <alignment vertical="center" wrapText="1"/>
    </xf>
    <xf numFmtId="3" fontId="10" fillId="0" borderId="102" xfId="1" applyNumberFormat="1" applyFont="1" applyBorder="1" applyAlignment="1">
      <alignment vertical="center" wrapText="1"/>
    </xf>
    <xf numFmtId="3" fontId="10" fillId="0" borderId="93" xfId="1" applyNumberFormat="1" applyFont="1" applyBorder="1" applyAlignment="1">
      <alignment vertical="center" wrapText="1"/>
    </xf>
    <xf numFmtId="173" fontId="5" fillId="0" borderId="100" xfId="1" applyNumberFormat="1" applyFont="1" applyBorder="1" applyAlignment="1">
      <alignment vertical="center" wrapText="1"/>
    </xf>
    <xf numFmtId="173" fontId="9" fillId="0" borderId="103" xfId="1" applyNumberFormat="1" applyFont="1" applyBorder="1" applyAlignment="1">
      <alignment vertical="center"/>
    </xf>
    <xf numFmtId="173" fontId="9" fillId="0" borderId="104" xfId="1" applyNumberFormat="1" applyFont="1" applyBorder="1" applyAlignment="1">
      <alignment vertical="center"/>
    </xf>
    <xf numFmtId="173" fontId="9" fillId="0" borderId="100" xfId="1" applyNumberFormat="1" applyFont="1" applyBorder="1" applyAlignment="1">
      <alignment vertical="center" wrapText="1"/>
    </xf>
    <xf numFmtId="3" fontId="12" fillId="0" borderId="44" xfId="1" applyNumberFormat="1" applyFont="1" applyBorder="1" applyAlignment="1">
      <alignment vertical="center" wrapText="1"/>
    </xf>
    <xf numFmtId="3" fontId="15" fillId="0" borderId="45" xfId="1" applyNumberFormat="1" applyFont="1" applyBorder="1" applyAlignment="1">
      <alignment vertical="center" wrapText="1"/>
    </xf>
    <xf numFmtId="3" fontId="20" fillId="0" borderId="21" xfId="1" applyNumberFormat="1" applyFont="1" applyBorder="1" applyAlignment="1">
      <alignment vertical="center" wrapText="1"/>
    </xf>
    <xf numFmtId="173" fontId="3" fillId="0" borderId="22" xfId="1" applyNumberFormat="1" applyFont="1" applyBorder="1" applyAlignment="1">
      <alignment vertical="center" wrapText="1"/>
    </xf>
    <xf numFmtId="173" fontId="3" fillId="0" borderId="105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center" wrapText="1"/>
    </xf>
    <xf numFmtId="173" fontId="24" fillId="0" borderId="21" xfId="1" applyNumberFormat="1" applyFont="1" applyBorder="1" applyAlignment="1">
      <alignment vertical="center" wrapText="1"/>
    </xf>
    <xf numFmtId="3" fontId="10" fillId="0" borderId="22" xfId="1" applyNumberFormat="1" applyFont="1" applyBorder="1" applyAlignment="1">
      <alignment vertical="center" wrapText="1"/>
    </xf>
    <xf numFmtId="173" fontId="7" fillId="0" borderId="22" xfId="1" applyNumberFormat="1" applyFont="1" applyBorder="1" applyAlignment="1">
      <alignment vertical="center" wrapText="1"/>
    </xf>
    <xf numFmtId="173" fontId="9" fillId="0" borderId="52" xfId="1" applyNumberFormat="1" applyFont="1" applyBorder="1" applyAlignment="1">
      <alignment vertical="center"/>
    </xf>
    <xf numFmtId="173" fontId="9" fillId="0" borderId="15" xfId="1" applyNumberFormat="1" applyFont="1" applyBorder="1" applyAlignment="1">
      <alignment vertical="center"/>
    </xf>
    <xf numFmtId="173" fontId="9" fillId="0" borderId="22" xfId="1" applyNumberFormat="1" applyFont="1" applyBorder="1" applyAlignment="1">
      <alignment vertical="center"/>
    </xf>
    <xf numFmtId="173" fontId="9" fillId="0" borderId="24" xfId="1" applyNumberFormat="1" applyFont="1" applyBorder="1" applyAlignment="1">
      <alignment vertical="center"/>
    </xf>
    <xf numFmtId="0" fontId="4" fillId="0" borderId="10" xfId="1" applyFont="1" applyBorder="1"/>
    <xf numFmtId="0" fontId="4" fillId="0" borderId="22" xfId="1" applyFont="1" applyBorder="1"/>
    <xf numFmtId="3" fontId="10" fillId="0" borderId="21" xfId="1" applyNumberFormat="1" applyFont="1" applyFill="1" applyBorder="1" applyAlignment="1">
      <alignment vertical="center" wrapText="1"/>
    </xf>
    <xf numFmtId="3" fontId="10" fillId="0" borderId="15" xfId="1" applyNumberFormat="1" applyFont="1" applyBorder="1" applyAlignment="1">
      <alignment vertical="center" wrapText="1"/>
    </xf>
    <xf numFmtId="0" fontId="3" fillId="0" borderId="10" xfId="1" applyFont="1" applyFill="1" applyBorder="1" applyAlignment="1">
      <alignment vertical="center" wrapText="1"/>
    </xf>
    <xf numFmtId="173" fontId="3" fillId="0" borderId="10" xfId="1" applyNumberFormat="1" applyFont="1" applyFill="1" applyBorder="1" applyAlignment="1">
      <alignment vertical="center" wrapText="1"/>
    </xf>
    <xf numFmtId="0" fontId="3" fillId="0" borderId="5" xfId="1" applyFont="1" applyFill="1" applyBorder="1" applyAlignment="1">
      <alignment horizontal="center"/>
    </xf>
    <xf numFmtId="173" fontId="3" fillId="0" borderId="66" xfId="1" applyNumberFormat="1" applyFont="1" applyBorder="1" applyAlignment="1">
      <alignment vertical="center" wrapText="1"/>
    </xf>
    <xf numFmtId="0" fontId="5" fillId="0" borderId="106" xfId="1" applyFont="1" applyBorder="1" applyAlignment="1"/>
    <xf numFmtId="181" fontId="7" fillId="0" borderId="10" xfId="1" applyNumberFormat="1" applyFont="1" applyBorder="1" applyAlignment="1">
      <alignment vertical="center" wrapText="1"/>
    </xf>
    <xf numFmtId="173" fontId="26" fillId="0" borderId="17" xfId="1" applyNumberFormat="1" applyFont="1" applyBorder="1" applyAlignment="1">
      <alignment vertical="center" wrapText="1"/>
    </xf>
    <xf numFmtId="173" fontId="26" fillId="0" borderId="21" xfId="1" applyNumberFormat="1" applyFont="1" applyBorder="1" applyAlignment="1">
      <alignment vertical="center" wrapText="1"/>
    </xf>
    <xf numFmtId="173" fontId="26" fillId="0" borderId="100" xfId="1" applyNumberFormat="1" applyFont="1" applyBorder="1" applyAlignment="1">
      <alignment vertical="center" wrapText="1"/>
    </xf>
    <xf numFmtId="0" fontId="27" fillId="0" borderId="0" xfId="1" applyFont="1" applyBorder="1" applyAlignment="1">
      <alignment horizontal="center"/>
    </xf>
    <xf numFmtId="0" fontId="27" fillId="0" borderId="0" xfId="1" applyFont="1" applyBorder="1" applyAlignment="1">
      <alignment horizontal="center" vertical="top"/>
    </xf>
    <xf numFmtId="0" fontId="27" fillId="0" borderId="0" xfId="1" applyFont="1" applyBorder="1" applyAlignment="1">
      <alignment horizontal="center" vertical="top" wrapText="1"/>
    </xf>
    <xf numFmtId="49" fontId="3" fillId="0" borderId="10" xfId="1" applyNumberFormat="1" applyFont="1" applyBorder="1" applyAlignment="1">
      <alignment horizontal="center" vertical="center" wrapText="1"/>
    </xf>
    <xf numFmtId="0" fontId="8" fillId="0" borderId="10" xfId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3" fontId="7" fillId="0" borderId="19" xfId="1" applyNumberFormat="1" applyFont="1" applyBorder="1" applyAlignment="1">
      <alignment vertical="center"/>
    </xf>
    <xf numFmtId="3" fontId="16" fillId="0" borderId="22" xfId="1" applyNumberFormat="1" applyFont="1" applyBorder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/>
    </xf>
    <xf numFmtId="3" fontId="7" fillId="0" borderId="107" xfId="1" applyNumberFormat="1" applyFont="1" applyBorder="1" applyAlignment="1">
      <alignment vertical="center"/>
    </xf>
    <xf numFmtId="3" fontId="7" fillId="0" borderId="27" xfId="1" applyNumberFormat="1" applyFont="1" applyBorder="1" applyAlignment="1">
      <alignment vertical="center" wrapText="1"/>
    </xf>
    <xf numFmtId="3" fontId="7" fillId="0" borderId="75" xfId="1" applyNumberFormat="1" applyFont="1" applyBorder="1" applyAlignment="1">
      <alignment vertical="center" wrapText="1"/>
    </xf>
    <xf numFmtId="3" fontId="7" fillId="0" borderId="82" xfId="1" applyNumberFormat="1" applyFont="1" applyBorder="1" applyAlignment="1">
      <alignment vertical="center" wrapText="1"/>
    </xf>
    <xf numFmtId="3" fontId="11" fillId="0" borderId="19" xfId="1" applyNumberFormat="1" applyFont="1" applyBorder="1" applyAlignment="1">
      <alignment vertical="center" wrapText="1"/>
    </xf>
    <xf numFmtId="3" fontId="12" fillId="0" borderId="84" xfId="1" applyNumberFormat="1" applyFont="1" applyBorder="1" applyAlignment="1">
      <alignment vertical="center" wrapText="1"/>
    </xf>
    <xf numFmtId="173" fontId="7" fillId="0" borderId="34" xfId="1" applyNumberFormat="1" applyFont="1" applyBorder="1" applyAlignment="1">
      <alignment vertical="center" wrapText="1"/>
    </xf>
    <xf numFmtId="173" fontId="9" fillId="0" borderId="108" xfId="1" applyNumberFormat="1" applyFont="1" applyBorder="1" applyAlignment="1">
      <alignment vertical="center" wrapText="1"/>
    </xf>
    <xf numFmtId="0" fontId="15" fillId="2" borderId="97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0" borderId="19" xfId="1" applyFont="1" applyBorder="1" applyAlignment="1">
      <alignment horizontal="center"/>
    </xf>
    <xf numFmtId="0" fontId="3" fillId="0" borderId="31" xfId="1" applyFont="1" applyBorder="1" applyAlignment="1">
      <alignment horizontal="center" vertical="center"/>
    </xf>
    <xf numFmtId="3" fontId="10" fillId="0" borderId="70" xfId="1" applyNumberFormat="1" applyFont="1" applyBorder="1" applyAlignment="1">
      <alignment vertical="center" wrapText="1"/>
    </xf>
    <xf numFmtId="0" fontId="3" fillId="0" borderId="49" xfId="1" applyFont="1" applyBorder="1" applyAlignment="1">
      <alignment horizontal="center" vertical="center"/>
    </xf>
    <xf numFmtId="3" fontId="11" fillId="0" borderId="23" xfId="1" applyNumberFormat="1" applyFont="1" applyBorder="1" applyAlignment="1">
      <alignment vertical="center" wrapText="1"/>
    </xf>
    <xf numFmtId="3" fontId="11" fillId="0" borderId="83" xfId="1" applyNumberFormat="1" applyFont="1" applyBorder="1" applyAlignment="1">
      <alignment vertical="center" wrapText="1"/>
    </xf>
    <xf numFmtId="173" fontId="12" fillId="0" borderId="23" xfId="1" applyNumberFormat="1" applyFont="1" applyBorder="1" applyAlignment="1">
      <alignment vertical="center"/>
    </xf>
    <xf numFmtId="0" fontId="3" fillId="0" borderId="97" xfId="1" applyFont="1" applyBorder="1" applyAlignment="1">
      <alignment horizontal="center"/>
    </xf>
    <xf numFmtId="3" fontId="12" fillId="0" borderId="109" xfId="1" applyNumberFormat="1" applyFont="1" applyBorder="1" applyAlignment="1">
      <alignment vertical="center"/>
    </xf>
    <xf numFmtId="1" fontId="7" fillId="0" borderId="15" xfId="1" applyNumberFormat="1" applyFont="1" applyBorder="1" applyAlignment="1">
      <alignment horizontal="left" vertical="center" wrapText="1"/>
    </xf>
    <xf numFmtId="1" fontId="3" fillId="0" borderId="15" xfId="1" applyNumberFormat="1" applyFont="1" applyBorder="1" applyAlignment="1">
      <alignment horizontal="left" vertical="center" wrapText="1"/>
    </xf>
    <xf numFmtId="1" fontId="3" fillId="0" borderId="15" xfId="1" applyNumberFormat="1" applyFont="1" applyFill="1" applyBorder="1" applyAlignment="1">
      <alignment horizontal="left" vertical="center" wrapText="1"/>
    </xf>
    <xf numFmtId="0" fontId="7" fillId="0" borderId="15" xfId="1" applyFont="1" applyBorder="1" applyAlignment="1">
      <alignment horizontal="left" vertical="center" wrapText="1"/>
    </xf>
    <xf numFmtId="0" fontId="3" fillId="0" borderId="15" xfId="1" applyFont="1" applyBorder="1" applyAlignment="1">
      <alignment horizontal="left" vertical="center" wrapText="1"/>
    </xf>
    <xf numFmtId="173" fontId="28" fillId="0" borderId="17" xfId="1" applyNumberFormat="1" applyFont="1" applyBorder="1" applyAlignment="1">
      <alignment vertical="center"/>
    </xf>
    <xf numFmtId="173" fontId="28" fillId="0" borderId="23" xfId="1" applyNumberFormat="1" applyFont="1" applyBorder="1" applyAlignment="1">
      <alignment vertical="center"/>
    </xf>
    <xf numFmtId="173" fontId="28" fillId="0" borderId="18" xfId="1" applyNumberFormat="1" applyFont="1" applyBorder="1" applyAlignment="1">
      <alignment vertical="center"/>
    </xf>
    <xf numFmtId="1" fontId="7" fillId="5" borderId="15" xfId="1" applyNumberFormat="1" applyFont="1" applyFill="1" applyBorder="1" applyAlignment="1">
      <alignment horizontal="left" vertical="center" wrapText="1"/>
    </xf>
    <xf numFmtId="173" fontId="15" fillId="0" borderId="19" xfId="1" applyNumberFormat="1" applyFont="1" applyFill="1" applyBorder="1" applyAlignment="1">
      <alignment vertical="center" wrapText="1"/>
    </xf>
    <xf numFmtId="1" fontId="7" fillId="0" borderId="15" xfId="1" applyNumberFormat="1" applyFont="1" applyFill="1" applyBorder="1" applyAlignment="1">
      <alignment horizontal="left" vertical="center" wrapText="1"/>
    </xf>
    <xf numFmtId="49" fontId="7" fillId="0" borderId="11" xfId="1" applyNumberFormat="1" applyFont="1" applyFill="1" applyBorder="1" applyAlignment="1">
      <alignment horizontal="left" vertical="center" wrapText="1"/>
    </xf>
    <xf numFmtId="49" fontId="7" fillId="0" borderId="15" xfId="1" applyNumberFormat="1" applyFont="1" applyFill="1" applyBorder="1" applyAlignment="1">
      <alignment horizontal="left" vertical="center" wrapText="1"/>
    </xf>
    <xf numFmtId="0" fontId="7" fillId="5" borderId="5" xfId="1" applyFont="1" applyFill="1" applyBorder="1" applyAlignment="1">
      <alignment horizontal="center" vertical="center"/>
    </xf>
    <xf numFmtId="173" fontId="12" fillId="0" borderId="9" xfId="1" applyNumberFormat="1" applyFont="1" applyBorder="1" applyAlignment="1">
      <alignment vertical="center" wrapText="1"/>
    </xf>
    <xf numFmtId="173" fontId="7" fillId="0" borderId="9" xfId="1" applyNumberFormat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/>
    </xf>
    <xf numFmtId="0" fontId="7" fillId="5" borderId="9" xfId="1" applyFont="1" applyFill="1" applyBorder="1" applyAlignment="1">
      <alignment horizontal="center" vertical="center" wrapText="1"/>
    </xf>
    <xf numFmtId="173" fontId="5" fillId="0" borderId="63" xfId="1" applyNumberFormat="1" applyFont="1" applyBorder="1" applyAlignment="1">
      <alignment vertical="center" wrapText="1"/>
    </xf>
    <xf numFmtId="0" fontId="15" fillId="2" borderId="7" xfId="0" applyFont="1" applyFill="1" applyBorder="1" applyAlignment="1">
      <alignment horizontal="center"/>
    </xf>
    <xf numFmtId="0" fontId="3" fillId="0" borderId="5" xfId="1" applyFont="1" applyBorder="1" applyAlignment="1">
      <alignment horizontal="right"/>
    </xf>
    <xf numFmtId="0" fontId="3" fillId="0" borderId="36" xfId="1" applyFont="1" applyBorder="1" applyAlignment="1">
      <alignment horizontal="right"/>
    </xf>
    <xf numFmtId="0" fontId="8" fillId="0" borderId="10" xfId="1" applyFont="1" applyBorder="1" applyAlignment="1">
      <alignment horizontal="right" vertical="center"/>
    </xf>
    <xf numFmtId="173" fontId="9" fillId="0" borderId="63" xfId="1" applyNumberFormat="1" applyFont="1" applyBorder="1" applyAlignment="1">
      <alignment horizontal="righ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7" fillId="0" borderId="10" xfId="1" applyNumberFormat="1" applyFont="1" applyBorder="1" applyAlignment="1">
      <alignment horizontal="right" vertical="center" wrapText="1"/>
    </xf>
    <xf numFmtId="1" fontId="7" fillId="0" borderId="9" xfId="1" applyNumberFormat="1" applyFont="1" applyBorder="1" applyAlignment="1">
      <alignment horizontal="center" vertical="center" wrapText="1"/>
    </xf>
    <xf numFmtId="173" fontId="12" fillId="0" borderId="10" xfId="1" applyNumberFormat="1" applyFont="1" applyBorder="1" applyAlignment="1">
      <alignment vertical="center" wrapText="1"/>
    </xf>
    <xf numFmtId="173" fontId="12" fillId="0" borderId="22" xfId="1" applyNumberFormat="1" applyFont="1" applyBorder="1" applyAlignment="1">
      <alignment vertical="center" wrapText="1"/>
    </xf>
    <xf numFmtId="3" fontId="7" fillId="0" borderId="105" xfId="1" applyNumberFormat="1" applyFont="1" applyBorder="1" applyAlignment="1">
      <alignment vertical="center" wrapText="1"/>
    </xf>
    <xf numFmtId="3" fontId="21" fillId="0" borderId="17" xfId="1" applyNumberFormat="1" applyFont="1" applyBorder="1" applyAlignment="1">
      <alignment vertical="center"/>
    </xf>
    <xf numFmtId="3" fontId="21" fillId="0" borderId="21" xfId="1" applyNumberFormat="1" applyFont="1" applyBorder="1" applyAlignment="1">
      <alignment vertical="center"/>
    </xf>
    <xf numFmtId="16" fontId="4" fillId="0" borderId="17" xfId="1" quotePrefix="1" applyNumberFormat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/>
    </xf>
    <xf numFmtId="3" fontId="9" fillId="0" borderId="7" xfId="1" applyNumberFormat="1" applyFont="1" applyBorder="1" applyAlignment="1">
      <alignment vertical="center"/>
    </xf>
    <xf numFmtId="0" fontId="4" fillId="0" borderId="15" xfId="1" applyFont="1" applyBorder="1" applyAlignment="1">
      <alignment horizontal="center" vertical="center"/>
    </xf>
    <xf numFmtId="173" fontId="12" fillId="0" borderId="80" xfId="1" applyNumberFormat="1" applyFont="1" applyBorder="1" applyAlignment="1">
      <alignment vertical="center" wrapText="1"/>
    </xf>
    <xf numFmtId="173" fontId="12" fillId="0" borderId="19" xfId="1" applyNumberFormat="1" applyFont="1" applyBorder="1" applyAlignment="1">
      <alignment vertical="center" wrapText="1"/>
    </xf>
    <xf numFmtId="173" fontId="7" fillId="3" borderId="19" xfId="1" applyNumberFormat="1" applyFont="1" applyFill="1" applyBorder="1" applyAlignment="1">
      <alignment vertical="center" wrapText="1"/>
    </xf>
    <xf numFmtId="173" fontId="9" fillId="0" borderId="17" xfId="1" applyNumberFormat="1" applyFont="1" applyFill="1" applyBorder="1" applyAlignment="1">
      <alignment vertical="center"/>
    </xf>
    <xf numFmtId="0" fontId="4" fillId="0" borderId="110" xfId="1" applyFont="1" applyBorder="1"/>
    <xf numFmtId="173" fontId="21" fillId="0" borderId="17" xfId="1" applyNumberFormat="1" applyFont="1" applyBorder="1" applyAlignment="1">
      <alignment vertical="center"/>
    </xf>
    <xf numFmtId="173" fontId="21" fillId="0" borderId="23" xfId="1" applyNumberFormat="1" applyFont="1" applyBorder="1" applyAlignment="1">
      <alignment vertical="center"/>
    </xf>
    <xf numFmtId="173" fontId="21" fillId="0" borderId="18" xfId="1" applyNumberFormat="1" applyFont="1" applyBorder="1" applyAlignment="1">
      <alignment vertical="center"/>
    </xf>
    <xf numFmtId="3" fontId="21" fillId="0" borderId="23" xfId="1" applyNumberFormat="1" applyFont="1" applyBorder="1" applyAlignment="1">
      <alignment vertical="center" wrapText="1"/>
    </xf>
    <xf numFmtId="3" fontId="21" fillId="0" borderId="17" xfId="1" applyNumberFormat="1" applyFont="1" applyBorder="1" applyAlignment="1">
      <alignment vertical="center" wrapText="1"/>
    </xf>
    <xf numFmtId="0" fontId="3" fillId="5" borderId="15" xfId="1" applyFont="1" applyFill="1" applyBorder="1" applyAlignment="1">
      <alignment horizontal="center" vertical="center" wrapText="1"/>
    </xf>
    <xf numFmtId="1" fontId="11" fillId="0" borderId="15" xfId="1" applyNumberFormat="1" applyFont="1" applyFill="1" applyBorder="1" applyAlignment="1">
      <alignment horizontal="center"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173" fontId="15" fillId="0" borderId="63" xfId="1" applyNumberFormat="1" applyFont="1" applyBorder="1" applyAlignment="1">
      <alignment vertical="center" wrapText="1"/>
    </xf>
    <xf numFmtId="0" fontId="25" fillId="0" borderId="15" xfId="1" applyFont="1" applyBorder="1" applyAlignment="1">
      <alignment horizontal="center" vertical="center" wrapText="1"/>
    </xf>
    <xf numFmtId="0" fontId="25" fillId="5" borderId="15" xfId="1" applyFont="1" applyFill="1" applyBorder="1" applyAlignment="1">
      <alignment horizontal="center" vertical="center" wrapText="1"/>
    </xf>
    <xf numFmtId="0" fontId="25" fillId="0" borderId="15" xfId="1" applyFont="1" applyFill="1" applyBorder="1" applyAlignment="1">
      <alignment horizontal="center" vertical="center" wrapText="1"/>
    </xf>
    <xf numFmtId="1" fontId="7" fillId="5" borderId="15" xfId="1" applyNumberFormat="1" applyFont="1" applyFill="1" applyBorder="1" applyAlignment="1">
      <alignment horizontal="center" vertical="center" wrapText="1"/>
    </xf>
    <xf numFmtId="0" fontId="7" fillId="5" borderId="15" xfId="1" applyFont="1" applyFill="1" applyBorder="1" applyAlignment="1">
      <alignment horizontal="center" vertical="center" wrapText="1"/>
    </xf>
    <xf numFmtId="3" fontId="21" fillId="0" borderId="23" xfId="1" applyNumberFormat="1" applyFont="1" applyFill="1" applyBorder="1" applyAlignment="1">
      <alignment vertical="center" wrapText="1"/>
    </xf>
    <xf numFmtId="3" fontId="12" fillId="0" borderId="11" xfId="1" applyNumberFormat="1" applyFont="1" applyFill="1" applyBorder="1" applyAlignment="1">
      <alignment vertical="center" wrapText="1"/>
    </xf>
    <xf numFmtId="173" fontId="9" fillId="0" borderId="10" xfId="1" applyNumberFormat="1" applyFont="1" applyFill="1" applyBorder="1" applyAlignment="1">
      <alignment vertical="center"/>
    </xf>
    <xf numFmtId="173" fontId="11" fillId="0" borderId="10" xfId="1" applyNumberFormat="1" applyFont="1" applyFill="1" applyBorder="1" applyAlignment="1">
      <alignment vertical="center" wrapText="1"/>
    </xf>
    <xf numFmtId="173" fontId="9" fillId="0" borderId="53" xfId="1" applyNumberFormat="1" applyFont="1" applyFill="1" applyBorder="1" applyAlignment="1">
      <alignment vertical="center"/>
    </xf>
    <xf numFmtId="173" fontId="9" fillId="0" borderId="49" xfId="1" applyNumberFormat="1" applyFont="1" applyFill="1" applyBorder="1" applyAlignment="1">
      <alignment vertical="center"/>
    </xf>
    <xf numFmtId="173" fontId="9" fillId="0" borderId="56" xfId="1" applyNumberFormat="1" applyFont="1" applyFill="1" applyBorder="1" applyAlignment="1">
      <alignment vertical="center"/>
    </xf>
    <xf numFmtId="173" fontId="9" fillId="0" borderId="21" xfId="1" applyNumberFormat="1" applyFont="1" applyFill="1" applyBorder="1" applyAlignment="1">
      <alignment vertical="center" wrapText="1"/>
    </xf>
    <xf numFmtId="173" fontId="12" fillId="0" borderId="17" xfId="1" applyNumberFormat="1" applyFont="1" applyFill="1" applyBorder="1" applyAlignment="1">
      <alignment vertical="center"/>
    </xf>
    <xf numFmtId="0" fontId="4" fillId="0" borderId="0" xfId="1" applyFont="1" applyFill="1"/>
    <xf numFmtId="3" fontId="21" fillId="0" borderId="18" xfId="1" applyNumberFormat="1" applyFont="1" applyFill="1" applyBorder="1" applyAlignment="1">
      <alignment vertical="center" wrapText="1"/>
    </xf>
    <xf numFmtId="3" fontId="12" fillId="0" borderId="50" xfId="1" applyNumberFormat="1" applyFont="1" applyFill="1" applyBorder="1" applyAlignment="1">
      <alignment vertical="center" wrapText="1"/>
    </xf>
    <xf numFmtId="173" fontId="15" fillId="0" borderId="8" xfId="1" applyNumberFormat="1" applyFont="1" applyFill="1" applyBorder="1" applyAlignment="1">
      <alignment vertical="center" wrapText="1"/>
    </xf>
    <xf numFmtId="173" fontId="9" fillId="0" borderId="18" xfId="1" applyNumberFormat="1" applyFont="1" applyFill="1" applyBorder="1" applyAlignment="1">
      <alignment vertical="center"/>
    </xf>
    <xf numFmtId="173" fontId="9" fillId="0" borderId="8" xfId="1" applyNumberFormat="1" applyFont="1" applyFill="1" applyBorder="1" applyAlignment="1">
      <alignment vertical="center"/>
    </xf>
    <xf numFmtId="173" fontId="9" fillId="0" borderId="71" xfId="1" applyNumberFormat="1" applyFont="1" applyFill="1" applyBorder="1" applyAlignment="1">
      <alignment vertical="center"/>
    </xf>
    <xf numFmtId="173" fontId="9" fillId="0" borderId="67" xfId="1" applyNumberFormat="1" applyFont="1" applyFill="1" applyBorder="1" applyAlignment="1">
      <alignment vertical="center"/>
    </xf>
    <xf numFmtId="173" fontId="9" fillId="0" borderId="72" xfId="1" applyNumberFormat="1" applyFont="1" applyFill="1" applyBorder="1" applyAlignment="1">
      <alignment vertical="center"/>
    </xf>
    <xf numFmtId="173" fontId="15" fillId="0" borderId="21" xfId="1" applyNumberFormat="1" applyFont="1" applyFill="1" applyBorder="1" applyAlignment="1">
      <alignment vertical="center" wrapText="1"/>
    </xf>
    <xf numFmtId="0" fontId="4" fillId="0" borderId="0" xfId="1" applyFont="1" applyFill="1" applyBorder="1"/>
    <xf numFmtId="49" fontId="11" fillId="0" borderId="6" xfId="1" applyNumberFormat="1" applyFont="1" applyBorder="1" applyAlignment="1">
      <alignment horizontal="center" vertical="center" wrapText="1"/>
    </xf>
    <xf numFmtId="3" fontId="9" fillId="0" borderId="21" xfId="1" applyNumberFormat="1" applyFont="1" applyBorder="1" applyAlignment="1">
      <alignment vertical="center" wrapText="1"/>
    </xf>
    <xf numFmtId="3" fontId="9" fillId="0" borderId="23" xfId="1" applyNumberFormat="1" applyFont="1" applyBorder="1" applyAlignment="1">
      <alignment vertical="center" wrapText="1"/>
    </xf>
    <xf numFmtId="3" fontId="9" fillId="0" borderId="18" xfId="1" applyNumberFormat="1" applyFont="1" applyBorder="1" applyAlignment="1">
      <alignment vertical="center" wrapText="1"/>
    </xf>
    <xf numFmtId="0" fontId="9" fillId="0" borderId="7" xfId="1" applyFont="1" applyBorder="1" applyAlignment="1">
      <alignment vertical="center"/>
    </xf>
    <xf numFmtId="3" fontId="10" fillId="0" borderId="7" xfId="1" applyNumberFormat="1" applyFont="1" applyBorder="1" applyAlignment="1">
      <alignment vertical="center" wrapText="1"/>
    </xf>
    <xf numFmtId="0" fontId="4" fillId="0" borderId="51" xfId="1" applyFont="1" applyBorder="1" applyAlignment="1">
      <alignment horizontal="center" vertical="center"/>
    </xf>
    <xf numFmtId="3" fontId="12" fillId="0" borderId="52" xfId="1" applyNumberFormat="1" applyFont="1" applyBorder="1" applyAlignment="1">
      <alignment vertical="center" wrapText="1"/>
    </xf>
    <xf numFmtId="3" fontId="12" fillId="0" borderId="54" xfId="1" applyNumberFormat="1" applyFont="1" applyBorder="1" applyAlignment="1">
      <alignment vertical="center" wrapText="1"/>
    </xf>
    <xf numFmtId="173" fontId="5" fillId="0" borderId="71" xfId="1" applyNumberFormat="1" applyFont="1" applyBorder="1" applyAlignment="1">
      <alignment vertical="center" wrapText="1"/>
    </xf>
    <xf numFmtId="0" fontId="12" fillId="0" borderId="52" xfId="1" applyFont="1" applyBorder="1" applyAlignment="1">
      <alignment horizontal="right" vertical="center"/>
    </xf>
    <xf numFmtId="3" fontId="12" fillId="0" borderId="52" xfId="1" applyNumberFormat="1" applyFont="1" applyBorder="1" applyAlignment="1">
      <alignment vertical="center"/>
    </xf>
    <xf numFmtId="3" fontId="12" fillId="0" borderId="53" xfId="1" applyNumberFormat="1" applyFont="1" applyBorder="1" applyAlignment="1">
      <alignment vertical="center"/>
    </xf>
    <xf numFmtId="3" fontId="9" fillId="0" borderId="53" xfId="1" applyNumberFormat="1" applyFont="1" applyBorder="1" applyAlignment="1">
      <alignment vertical="center"/>
    </xf>
    <xf numFmtId="3" fontId="12" fillId="0" borderId="71" xfId="1" applyNumberFormat="1" applyFont="1" applyBorder="1" applyAlignment="1">
      <alignment vertical="center"/>
    </xf>
    <xf numFmtId="49" fontId="7" fillId="0" borderId="6" xfId="1" applyNumberFormat="1" applyFont="1" applyFill="1" applyBorder="1" applyAlignment="1">
      <alignment horizontal="center"/>
    </xf>
    <xf numFmtId="173" fontId="11" fillId="0" borderId="8" xfId="1" applyNumberFormat="1" applyFont="1" applyFill="1" applyBorder="1" applyAlignment="1">
      <alignment vertical="center" wrapText="1"/>
    </xf>
    <xf numFmtId="173" fontId="15" fillId="0" borderId="0" xfId="1" applyNumberFormat="1" applyFont="1" applyFill="1" applyBorder="1" applyAlignment="1">
      <alignment vertical="center" wrapText="1"/>
    </xf>
    <xf numFmtId="0" fontId="3" fillId="5" borderId="5" xfId="1" applyFont="1" applyFill="1" applyBorder="1" applyAlignment="1">
      <alignment horizontal="center" vertical="center"/>
    </xf>
    <xf numFmtId="0" fontId="11" fillId="5" borderId="10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top"/>
    </xf>
    <xf numFmtId="49" fontId="11" fillId="5" borderId="15" xfId="1" applyNumberFormat="1" applyFont="1" applyFill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2" fillId="0" borderId="109" xfId="1" applyFont="1" applyBorder="1" applyAlignment="1">
      <alignment vertical="center"/>
    </xf>
    <xf numFmtId="0" fontId="12" fillId="0" borderId="52" xfId="1" applyFont="1" applyBorder="1" applyAlignment="1">
      <alignment vertical="center"/>
    </xf>
    <xf numFmtId="173" fontId="3" fillId="0" borderId="38" xfId="1" applyNumberFormat="1" applyFont="1" applyBorder="1" applyAlignment="1">
      <alignment vertical="center" wrapText="1"/>
    </xf>
    <xf numFmtId="173" fontId="3" fillId="0" borderId="42" xfId="1" applyNumberFormat="1" applyFont="1" applyBorder="1" applyAlignment="1">
      <alignment vertical="center" wrapText="1"/>
    </xf>
    <xf numFmtId="173" fontId="3" fillId="0" borderId="45" xfId="1" applyNumberFormat="1" applyFont="1" applyBorder="1" applyAlignment="1">
      <alignment vertical="center" wrapText="1"/>
    </xf>
    <xf numFmtId="0" fontId="3" fillId="0" borderId="47" xfId="1" applyFont="1" applyBorder="1" applyAlignment="1">
      <alignment vertical="top"/>
    </xf>
    <xf numFmtId="0" fontId="3" fillId="0" borderId="42" xfId="1" applyFont="1" applyBorder="1"/>
    <xf numFmtId="0" fontId="4" fillId="0" borderId="42" xfId="1" applyFont="1" applyBorder="1"/>
    <xf numFmtId="0" fontId="4" fillId="0" borderId="45" xfId="1" applyFont="1" applyBorder="1"/>
    <xf numFmtId="0" fontId="4" fillId="0" borderId="111" xfId="1" applyFont="1" applyBorder="1"/>
    <xf numFmtId="3" fontId="9" fillId="0" borderId="18" xfId="1" applyNumberFormat="1" applyFont="1" applyFill="1" applyBorder="1" applyAlignment="1">
      <alignment vertical="center" wrapText="1"/>
    </xf>
    <xf numFmtId="3" fontId="9" fillId="0" borderId="23" xfId="1" applyNumberFormat="1" applyFont="1" applyFill="1" applyBorder="1" applyAlignment="1">
      <alignment vertical="center" wrapText="1"/>
    </xf>
    <xf numFmtId="3" fontId="9" fillId="0" borderId="17" xfId="1" applyNumberFormat="1" applyFont="1" applyBorder="1" applyAlignment="1">
      <alignment vertical="center" wrapText="1"/>
    </xf>
    <xf numFmtId="0" fontId="3" fillId="0" borderId="112" xfId="1" applyFont="1" applyBorder="1" applyAlignment="1">
      <alignment horizontal="center"/>
    </xf>
    <xf numFmtId="0" fontId="3" fillId="0" borderId="7" xfId="1" applyFont="1" applyBorder="1" applyAlignment="1">
      <alignment horizontal="center" vertical="center"/>
    </xf>
    <xf numFmtId="0" fontId="4" fillId="0" borderId="113" xfId="1" applyFont="1" applyBorder="1" applyAlignment="1">
      <alignment horizontal="center" vertical="center"/>
    </xf>
    <xf numFmtId="49" fontId="25" fillId="5" borderId="11" xfId="1" applyNumberFormat="1" applyFont="1" applyFill="1" applyBorder="1" applyAlignment="1">
      <alignment horizontal="center" vertical="center" wrapText="1"/>
    </xf>
    <xf numFmtId="0" fontId="3" fillId="5" borderId="9" xfId="1" applyFont="1" applyFill="1" applyBorder="1" applyAlignment="1">
      <alignment horizontal="center" vertical="center" wrapText="1"/>
    </xf>
    <xf numFmtId="1" fontId="25" fillId="0" borderId="15" xfId="1" applyNumberFormat="1" applyFont="1" applyFill="1" applyBorder="1" applyAlignment="1">
      <alignment horizontal="center" vertical="center" wrapText="1"/>
    </xf>
    <xf numFmtId="49" fontId="25" fillId="0" borderId="11" xfId="1" applyNumberFormat="1" applyFont="1" applyFill="1" applyBorder="1" applyAlignment="1">
      <alignment horizontal="center" vertical="center" wrapText="1"/>
    </xf>
    <xf numFmtId="0" fontId="4" fillId="0" borderId="120" xfId="1" applyFont="1" applyBorder="1" applyAlignment="1">
      <alignment horizontal="center" vertical="center"/>
    </xf>
    <xf numFmtId="3" fontId="8" fillId="0" borderId="66" xfId="1" applyNumberFormat="1" applyFont="1" applyBorder="1" applyAlignment="1">
      <alignment horizontal="right" vertical="center" wrapText="1"/>
    </xf>
    <xf numFmtId="0" fontId="3" fillId="0" borderId="63" xfId="1" applyFont="1" applyBorder="1" applyAlignment="1">
      <alignment horizontal="center"/>
    </xf>
    <xf numFmtId="0" fontId="12" fillId="0" borderId="10" xfId="1" applyFont="1" applyBorder="1" applyAlignment="1">
      <alignment horizontal="right" vertical="center"/>
    </xf>
    <xf numFmtId="3" fontId="12" fillId="0" borderId="10" xfId="1" applyNumberFormat="1" applyFont="1" applyBorder="1" applyAlignment="1">
      <alignment vertical="center" wrapText="1"/>
    </xf>
    <xf numFmtId="3" fontId="12" fillId="0" borderId="10" xfId="1" applyNumberFormat="1" applyFont="1" applyFill="1" applyBorder="1" applyAlignment="1">
      <alignment vertical="center" wrapText="1"/>
    </xf>
    <xf numFmtId="3" fontId="12" fillId="0" borderId="19" xfId="1" applyNumberFormat="1" applyFont="1" applyBorder="1" applyAlignment="1">
      <alignment vertical="center" wrapText="1"/>
    </xf>
    <xf numFmtId="3" fontId="12" fillId="0" borderId="8" xfId="1" applyNumberFormat="1" applyFont="1" applyFill="1" applyBorder="1" applyAlignment="1">
      <alignment vertical="center" wrapText="1"/>
    </xf>
    <xf numFmtId="0" fontId="3" fillId="0" borderId="114" xfId="1" applyFont="1" applyBorder="1" applyAlignment="1">
      <alignment horizontal="center"/>
    </xf>
    <xf numFmtId="0" fontId="3" fillId="0" borderId="115" xfId="1" applyFont="1" applyBorder="1" applyAlignment="1">
      <alignment horizontal="center"/>
    </xf>
    <xf numFmtId="0" fontId="3" fillId="0" borderId="116" xfId="1" applyFont="1" applyBorder="1" applyAlignment="1">
      <alignment horizontal="center"/>
    </xf>
    <xf numFmtId="0" fontId="3" fillId="2" borderId="114" xfId="0" applyFont="1" applyFill="1" applyBorder="1" applyAlignment="1" applyProtection="1">
      <alignment horizontal="center"/>
      <protection hidden="1"/>
    </xf>
    <xf numFmtId="0" fontId="3" fillId="2" borderId="116" xfId="0" applyFont="1" applyFill="1" applyBorder="1" applyAlignment="1" applyProtection="1">
      <alignment horizontal="center"/>
      <protection hidden="1"/>
    </xf>
    <xf numFmtId="0" fontId="3" fillId="0" borderId="117" xfId="1" applyFont="1" applyBorder="1" applyAlignment="1">
      <alignment horizontal="center"/>
    </xf>
    <xf numFmtId="0" fontId="3" fillId="0" borderId="95" xfId="1" applyFont="1" applyBorder="1" applyAlignment="1">
      <alignment horizontal="center"/>
    </xf>
    <xf numFmtId="0" fontId="3" fillId="0" borderId="96" xfId="1" applyFont="1" applyBorder="1" applyAlignment="1">
      <alignment horizontal="center"/>
    </xf>
    <xf numFmtId="0" fontId="27" fillId="0" borderId="0" xfId="1" applyFont="1" applyBorder="1" applyAlignment="1">
      <alignment horizontal="center"/>
    </xf>
    <xf numFmtId="0" fontId="27" fillId="0" borderId="0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27" fillId="0" borderId="0" xfId="1" applyFont="1" applyBorder="1" applyAlignment="1">
      <alignment horizontal="center" vertical="top"/>
    </xf>
    <xf numFmtId="0" fontId="27" fillId="0" borderId="0" xfId="1" applyFont="1" applyBorder="1" applyAlignment="1">
      <alignment horizontal="center" vertical="top" wrapText="1"/>
    </xf>
    <xf numFmtId="0" fontId="5" fillId="0" borderId="106" xfId="1" applyFont="1" applyBorder="1" applyAlignment="1">
      <alignment horizontal="center"/>
    </xf>
    <xf numFmtId="0" fontId="3" fillId="2" borderId="114" xfId="0" applyFont="1" applyFill="1" applyBorder="1" applyAlignment="1">
      <alignment horizontal="center"/>
    </xf>
    <xf numFmtId="0" fontId="3" fillId="2" borderId="11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17" xfId="0" applyFont="1" applyFill="1" applyBorder="1" applyAlignment="1">
      <alignment horizontal="center"/>
    </xf>
    <xf numFmtId="0" fontId="3" fillId="2" borderId="95" xfId="0" applyFont="1" applyFill="1" applyBorder="1" applyAlignment="1">
      <alignment horizontal="center"/>
    </xf>
    <xf numFmtId="0" fontId="3" fillId="2" borderId="96" xfId="0" applyFont="1" applyFill="1" applyBorder="1" applyAlignment="1">
      <alignment horizontal="center"/>
    </xf>
    <xf numFmtId="0" fontId="27" fillId="0" borderId="0" xfId="1" applyFont="1" applyBorder="1" applyAlignment="1">
      <alignment horizontal="center" wrapText="1"/>
    </xf>
    <xf numFmtId="0" fontId="5" fillId="0" borderId="118" xfId="1" applyFont="1" applyBorder="1" applyAlignment="1">
      <alignment horizontal="center"/>
    </xf>
    <xf numFmtId="0" fontId="5" fillId="0" borderId="119" xfId="1" applyFont="1" applyBorder="1" applyAlignment="1">
      <alignment horizontal="center"/>
    </xf>
  </cellXfs>
  <cellStyles count="2">
    <cellStyle name="Normál" xfId="0" builtinId="0"/>
    <cellStyle name="Normál_SajatHK2005_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7"/>
  <sheetViews>
    <sheetView tabSelected="1" zoomScale="75" zoomScaleNormal="75" workbookViewId="0">
      <selection activeCell="D155" sqref="D155"/>
    </sheetView>
  </sheetViews>
  <sheetFormatPr defaultRowHeight="16.5" x14ac:dyDescent="0.25"/>
  <cols>
    <col min="1" max="1" width="5.5703125" style="1" customWidth="1"/>
    <col min="2" max="2" width="10.5703125" style="1" hidden="1" customWidth="1"/>
    <col min="3" max="3" width="51.5703125" style="2" customWidth="1"/>
    <col min="4" max="4" width="15" style="2" customWidth="1"/>
    <col min="5" max="5" width="13.28515625" style="2" customWidth="1"/>
    <col min="6" max="6" width="14.7109375" style="2" customWidth="1"/>
    <col min="7" max="7" width="13.28515625" style="2" customWidth="1"/>
    <col min="8" max="8" width="15.42578125" style="2" customWidth="1"/>
    <col min="9" max="11" width="13.7109375" style="2" customWidth="1"/>
    <col min="12" max="12" width="16.7109375" style="2" customWidth="1"/>
    <col min="13" max="13" width="14.42578125" style="2" customWidth="1"/>
    <col min="14" max="14" width="13.7109375" style="2" customWidth="1"/>
    <col min="15" max="15" width="15.7109375" style="2" customWidth="1"/>
    <col min="16" max="16" width="1.85546875" style="2" customWidth="1"/>
    <col min="17" max="20" width="13.7109375" style="2" customWidth="1"/>
    <col min="21" max="21" width="15.7109375" style="2" customWidth="1"/>
    <col min="22" max="22" width="1.85546875" style="2" customWidth="1"/>
    <col min="23" max="23" width="17.7109375" style="2" customWidth="1"/>
    <col min="24" max="29" width="9.140625" style="2"/>
    <col min="30" max="31" width="10.7109375" style="2" customWidth="1"/>
    <col min="32" max="32" width="10.28515625" style="2" customWidth="1"/>
    <col min="33" max="33" width="10" style="2" customWidth="1"/>
    <col min="34" max="34" width="10.28515625" style="2" customWidth="1"/>
    <col min="35" max="35" width="10.7109375" style="2" customWidth="1"/>
    <col min="36" max="36" width="10.5703125" style="2" customWidth="1"/>
    <col min="37" max="40" width="9.140625" style="2"/>
    <col min="41" max="41" width="11" style="2" customWidth="1"/>
    <col min="42" max="16384" width="9.140625" style="2"/>
  </cols>
  <sheetData>
    <row r="1" spans="1:35" ht="20.25" customHeight="1" x14ac:dyDescent="0.25">
      <c r="W1" s="193" t="s">
        <v>100</v>
      </c>
    </row>
    <row r="2" spans="1:35" ht="30" customHeight="1" x14ac:dyDescent="0.3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651"/>
      <c r="T2" s="651"/>
      <c r="U2" s="651"/>
      <c r="V2" s="651"/>
      <c r="W2" s="651"/>
    </row>
    <row r="3" spans="1:35" ht="9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35" ht="50.1" customHeight="1" x14ac:dyDescent="0.2">
      <c r="A4" s="652" t="s">
        <v>529</v>
      </c>
      <c r="B4" s="653"/>
      <c r="C4" s="653"/>
      <c r="D4" s="653"/>
      <c r="E4" s="653"/>
      <c r="F4" s="653"/>
      <c r="G4" s="653"/>
      <c r="H4" s="653"/>
      <c r="I4" s="653"/>
      <c r="J4" s="653"/>
      <c r="K4" s="653"/>
      <c r="L4" s="653"/>
      <c r="M4" s="653"/>
      <c r="N4" s="653"/>
      <c r="O4" s="653"/>
      <c r="P4" s="653"/>
      <c r="Q4" s="653"/>
      <c r="R4" s="653"/>
      <c r="S4" s="653"/>
      <c r="T4" s="653"/>
      <c r="U4" s="653"/>
      <c r="V4" s="653"/>
      <c r="W4" s="653"/>
    </row>
    <row r="5" spans="1:35" ht="12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35" ht="17.25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 t="s">
        <v>1</v>
      </c>
    </row>
    <row r="7" spans="1:35" ht="18" customHeight="1" x14ac:dyDescent="0.25">
      <c r="A7" s="7"/>
      <c r="B7" s="8"/>
      <c r="C7" s="9"/>
      <c r="D7" s="643" t="s">
        <v>129</v>
      </c>
      <c r="E7" s="644"/>
      <c r="F7" s="645"/>
      <c r="G7" s="435"/>
      <c r="H7" s="436"/>
      <c r="I7" s="437" t="s">
        <v>4</v>
      </c>
      <c r="J7" s="646" t="s">
        <v>137</v>
      </c>
      <c r="K7" s="647"/>
      <c r="L7" s="435"/>
      <c r="M7" s="438" t="s">
        <v>138</v>
      </c>
      <c r="N7" s="439"/>
      <c r="O7" s="440" t="s">
        <v>145</v>
      </c>
      <c r="P7" s="441"/>
      <c r="Q7" s="648" t="s">
        <v>147</v>
      </c>
      <c r="R7" s="649"/>
      <c r="S7" s="649"/>
      <c r="T7" s="650"/>
      <c r="U7" s="441" t="s">
        <v>162</v>
      </c>
      <c r="V7" s="440"/>
      <c r="W7" s="10" t="s">
        <v>2</v>
      </c>
    </row>
    <row r="8" spans="1:35" x14ac:dyDescent="0.25">
      <c r="A8" s="11"/>
      <c r="B8" s="12"/>
      <c r="C8" s="13" t="s">
        <v>3</v>
      </c>
      <c r="D8" s="16" t="s">
        <v>130</v>
      </c>
      <c r="E8" s="13" t="s">
        <v>131</v>
      </c>
      <c r="F8" s="4" t="s">
        <v>132</v>
      </c>
      <c r="G8" s="17" t="s">
        <v>139</v>
      </c>
      <c r="H8" s="17" t="s">
        <v>5</v>
      </c>
      <c r="I8" s="17" t="s">
        <v>15</v>
      </c>
      <c r="J8" s="13" t="s">
        <v>6</v>
      </c>
      <c r="K8" s="13" t="s">
        <v>140</v>
      </c>
      <c r="L8" s="431" t="s">
        <v>110</v>
      </c>
      <c r="M8" s="13" t="s">
        <v>141</v>
      </c>
      <c r="N8" s="17" t="s">
        <v>4</v>
      </c>
      <c r="O8" s="432" t="s">
        <v>146</v>
      </c>
      <c r="P8" s="433"/>
      <c r="Q8" s="17" t="s">
        <v>148</v>
      </c>
      <c r="R8" s="17" t="s">
        <v>149</v>
      </c>
      <c r="S8" s="17" t="s">
        <v>150</v>
      </c>
      <c r="T8" s="17" t="s">
        <v>151</v>
      </c>
      <c r="U8" s="433" t="s">
        <v>163</v>
      </c>
      <c r="V8" s="432"/>
      <c r="W8" s="15" t="s">
        <v>7</v>
      </c>
    </row>
    <row r="9" spans="1:35" x14ac:dyDescent="0.25">
      <c r="A9" s="18" t="s">
        <v>8</v>
      </c>
      <c r="B9" s="13"/>
      <c r="C9" s="13" t="s">
        <v>9</v>
      </c>
      <c r="D9" s="17" t="s">
        <v>15</v>
      </c>
      <c r="E9" s="13" t="s">
        <v>133</v>
      </c>
      <c r="F9" s="4" t="s">
        <v>86</v>
      </c>
      <c r="G9" s="17" t="s">
        <v>10</v>
      </c>
      <c r="H9" s="13" t="s">
        <v>10</v>
      </c>
      <c r="I9" s="13" t="s">
        <v>11</v>
      </c>
      <c r="J9" s="13" t="s">
        <v>11</v>
      </c>
      <c r="K9" s="13" t="s">
        <v>86</v>
      </c>
      <c r="L9" s="308" t="s">
        <v>111</v>
      </c>
      <c r="M9" s="17" t="s">
        <v>142</v>
      </c>
      <c r="N9" s="17" t="s">
        <v>112</v>
      </c>
      <c r="O9" s="432" t="s">
        <v>10</v>
      </c>
      <c r="P9" s="433"/>
      <c r="Q9" s="17" t="s">
        <v>152</v>
      </c>
      <c r="R9" s="17" t="s">
        <v>153</v>
      </c>
      <c r="S9" s="17" t="s">
        <v>154</v>
      </c>
      <c r="T9" s="17" t="s">
        <v>155</v>
      </c>
      <c r="U9" s="433" t="s">
        <v>10</v>
      </c>
      <c r="V9" s="432"/>
      <c r="W9" s="15" t="s">
        <v>12</v>
      </c>
    </row>
    <row r="10" spans="1:35" x14ac:dyDescent="0.25">
      <c r="A10" s="11"/>
      <c r="B10" s="12"/>
      <c r="C10" s="13" t="s">
        <v>13</v>
      </c>
      <c r="D10" s="17" t="s">
        <v>134</v>
      </c>
      <c r="E10" s="13" t="s">
        <v>135</v>
      </c>
      <c r="F10" s="4" t="s">
        <v>136</v>
      </c>
      <c r="G10" s="17"/>
      <c r="H10" s="13"/>
      <c r="I10" s="13" t="s">
        <v>109</v>
      </c>
      <c r="J10" s="13" t="s">
        <v>143</v>
      </c>
      <c r="K10" s="13" t="s">
        <v>136</v>
      </c>
      <c r="L10" s="13" t="s">
        <v>10</v>
      </c>
      <c r="M10" s="17" t="s">
        <v>43</v>
      </c>
      <c r="N10" s="17" t="s">
        <v>144</v>
      </c>
      <c r="O10" s="432" t="s">
        <v>12</v>
      </c>
      <c r="P10" s="433"/>
      <c r="Q10" s="17" t="s">
        <v>156</v>
      </c>
      <c r="R10" s="17" t="s">
        <v>157</v>
      </c>
      <c r="S10" s="17" t="s">
        <v>158</v>
      </c>
      <c r="T10" s="17" t="s">
        <v>159</v>
      </c>
      <c r="U10" s="433" t="s">
        <v>12</v>
      </c>
      <c r="V10" s="432"/>
      <c r="W10" s="19" t="s">
        <v>165</v>
      </c>
    </row>
    <row r="11" spans="1:35" x14ac:dyDescent="0.25">
      <c r="A11" s="11"/>
      <c r="B11" s="12"/>
      <c r="C11" s="13"/>
      <c r="D11" s="17"/>
      <c r="E11" s="13" t="s">
        <v>16</v>
      </c>
      <c r="F11" s="4" t="s">
        <v>108</v>
      </c>
      <c r="G11" s="17"/>
      <c r="H11" s="13"/>
      <c r="I11" s="13" t="s">
        <v>17</v>
      </c>
      <c r="J11" s="13" t="s">
        <v>52</v>
      </c>
      <c r="K11" s="13" t="s">
        <v>108</v>
      </c>
      <c r="L11" s="13"/>
      <c r="M11" s="20" t="s">
        <v>14</v>
      </c>
      <c r="N11" s="20" t="s">
        <v>17</v>
      </c>
      <c r="O11" s="4" t="s">
        <v>161</v>
      </c>
      <c r="P11" s="434"/>
      <c r="Q11" s="17" t="s">
        <v>16</v>
      </c>
      <c r="R11" s="20" t="s">
        <v>160</v>
      </c>
      <c r="S11" s="20" t="s">
        <v>52</v>
      </c>
      <c r="T11" s="20"/>
      <c r="U11" s="20" t="s">
        <v>164</v>
      </c>
      <c r="V11" s="4"/>
      <c r="W11" s="15"/>
    </row>
    <row r="12" spans="1:35" x14ac:dyDescent="0.25">
      <c r="A12" s="113"/>
      <c r="B12" s="114"/>
      <c r="C12" s="115"/>
      <c r="D12" s="16"/>
      <c r="E12" s="115"/>
      <c r="F12" s="116"/>
      <c r="G12" s="16"/>
      <c r="H12" s="115"/>
      <c r="I12" s="115"/>
      <c r="J12" s="115"/>
      <c r="K12" s="124"/>
      <c r="L12" s="115"/>
      <c r="M12" s="117"/>
      <c r="N12" s="118"/>
      <c r="O12" s="116"/>
      <c r="P12" s="20"/>
      <c r="Q12" s="16"/>
      <c r="R12" s="118"/>
      <c r="S12" s="118"/>
      <c r="T12" s="115"/>
      <c r="U12" s="16"/>
      <c r="V12" s="119"/>
      <c r="W12" s="443"/>
    </row>
    <row r="13" spans="1:35" ht="20.25" customHeight="1" thickBot="1" x14ac:dyDescent="0.25">
      <c r="A13" s="199">
        <v>1</v>
      </c>
      <c r="B13" s="225"/>
      <c r="C13" s="225">
        <v>2</v>
      </c>
      <c r="D13" s="225">
        <v>3</v>
      </c>
      <c r="E13" s="225">
        <v>4</v>
      </c>
      <c r="F13" s="225">
        <v>5</v>
      </c>
      <c r="G13" s="225">
        <v>6</v>
      </c>
      <c r="H13" s="225">
        <v>7</v>
      </c>
      <c r="I13" s="225">
        <v>8</v>
      </c>
      <c r="J13" s="225">
        <v>9</v>
      </c>
      <c r="K13" s="225">
        <v>10</v>
      </c>
      <c r="L13" s="225">
        <v>11</v>
      </c>
      <c r="M13" s="225">
        <v>12</v>
      </c>
      <c r="N13" s="225">
        <v>13</v>
      </c>
      <c r="O13" s="225">
        <v>14</v>
      </c>
      <c r="P13" s="225"/>
      <c r="Q13" s="225">
        <v>15</v>
      </c>
      <c r="R13" s="225">
        <v>16</v>
      </c>
      <c r="S13" s="225">
        <v>17</v>
      </c>
      <c r="T13" s="225">
        <v>18</v>
      </c>
      <c r="U13" s="225">
        <v>19</v>
      </c>
      <c r="V13" s="226"/>
      <c r="W13" s="227">
        <v>20</v>
      </c>
    </row>
    <row r="14" spans="1:35" ht="22.5" hidden="1" customHeight="1" x14ac:dyDescent="0.25">
      <c r="A14" s="22"/>
      <c r="B14" s="23"/>
      <c r="C14" s="24" t="s">
        <v>74</v>
      </c>
      <c r="D14" s="25">
        <v>2196389</v>
      </c>
      <c r="E14" s="25">
        <v>0</v>
      </c>
      <c r="F14" s="25">
        <v>59087</v>
      </c>
      <c r="G14" s="25">
        <v>7538311</v>
      </c>
      <c r="H14" s="25">
        <v>2142465</v>
      </c>
      <c r="I14" s="160">
        <v>0</v>
      </c>
      <c r="J14" s="25">
        <v>0</v>
      </c>
      <c r="K14" s="25">
        <v>200000</v>
      </c>
      <c r="L14" s="160">
        <v>881000</v>
      </c>
      <c r="M14" s="25">
        <v>23000</v>
      </c>
      <c r="N14" s="25">
        <v>0</v>
      </c>
      <c r="O14" s="442">
        <f>SUM(D14:N14)</f>
        <v>13040252</v>
      </c>
      <c r="P14" s="25"/>
      <c r="Q14" s="25">
        <v>0</v>
      </c>
      <c r="R14" s="25">
        <v>1041524</v>
      </c>
      <c r="S14" s="25">
        <v>0</v>
      </c>
      <c r="T14" s="25">
        <v>0</v>
      </c>
      <c r="U14" s="442">
        <f>SUM(Q14:T14)</f>
        <v>1041524</v>
      </c>
      <c r="V14" s="159"/>
      <c r="W14" s="145">
        <f>O14+U14</f>
        <v>14081776</v>
      </c>
    </row>
    <row r="15" spans="1:35" ht="20.100000000000001" hidden="1" customHeight="1" x14ac:dyDescent="0.25">
      <c r="A15" s="162"/>
      <c r="B15" s="27" t="s">
        <v>70</v>
      </c>
      <c r="C15" s="28" t="s">
        <v>114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143"/>
      <c r="V15" s="83"/>
      <c r="W15" s="444">
        <f>O15+U15</f>
        <v>0</v>
      </c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70"/>
    </row>
    <row r="16" spans="1:35" ht="20.100000000000001" hidden="1" customHeight="1" x14ac:dyDescent="0.25">
      <c r="A16" s="162"/>
      <c r="B16" s="27"/>
      <c r="C16" s="24" t="s">
        <v>18</v>
      </c>
      <c r="D16" s="157">
        <f>SUM(D14:D15)</f>
        <v>2196389</v>
      </c>
      <c r="E16" s="157">
        <f t="shared" ref="E16:U16" si="0">SUM(E14:E15)</f>
        <v>0</v>
      </c>
      <c r="F16" s="157">
        <f t="shared" si="0"/>
        <v>59087</v>
      </c>
      <c r="G16" s="157">
        <f t="shared" si="0"/>
        <v>7538311</v>
      </c>
      <c r="H16" s="157">
        <f t="shared" si="0"/>
        <v>2142465</v>
      </c>
      <c r="I16" s="157">
        <f t="shared" si="0"/>
        <v>0</v>
      </c>
      <c r="J16" s="157">
        <f t="shared" si="0"/>
        <v>0</v>
      </c>
      <c r="K16" s="157">
        <f t="shared" si="0"/>
        <v>200000</v>
      </c>
      <c r="L16" s="157">
        <f t="shared" si="0"/>
        <v>881000</v>
      </c>
      <c r="M16" s="157">
        <f t="shared" si="0"/>
        <v>23000</v>
      </c>
      <c r="N16" s="157">
        <f t="shared" si="0"/>
        <v>0</v>
      </c>
      <c r="O16" s="157">
        <f t="shared" si="0"/>
        <v>13040252</v>
      </c>
      <c r="P16" s="157"/>
      <c r="Q16" s="157">
        <f t="shared" si="0"/>
        <v>0</v>
      </c>
      <c r="R16" s="157">
        <f t="shared" si="0"/>
        <v>1041524</v>
      </c>
      <c r="S16" s="157">
        <f t="shared" si="0"/>
        <v>0</v>
      </c>
      <c r="T16" s="157">
        <f t="shared" si="0"/>
        <v>0</v>
      </c>
      <c r="U16" s="157">
        <f t="shared" si="0"/>
        <v>1041524</v>
      </c>
      <c r="V16" s="459"/>
      <c r="W16" s="445">
        <f>SUM(W14:W15)</f>
        <v>14081776</v>
      </c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70"/>
    </row>
    <row r="17" spans="1:35" ht="35.1" hidden="1" customHeight="1" x14ac:dyDescent="0.25">
      <c r="A17" s="82">
        <v>1</v>
      </c>
      <c r="B17" s="140" t="s">
        <v>198</v>
      </c>
      <c r="C17" s="28" t="s">
        <v>195</v>
      </c>
      <c r="D17" s="161"/>
      <c r="E17" s="161"/>
      <c r="F17" s="161"/>
      <c r="G17" s="161"/>
      <c r="H17" s="161">
        <f>-0.705-81858</f>
        <v>-81858.705000000002</v>
      </c>
      <c r="I17" s="161"/>
      <c r="K17" s="161">
        <f>81858.705</f>
        <v>81858.705000000002</v>
      </c>
      <c r="L17" s="161"/>
      <c r="M17" s="161"/>
      <c r="N17" s="161"/>
      <c r="O17" s="72">
        <f>SUM(D17:N17)</f>
        <v>0</v>
      </c>
      <c r="P17" s="72"/>
      <c r="Q17" s="481"/>
      <c r="R17" s="481"/>
      <c r="S17" s="481"/>
      <c r="T17" s="481"/>
      <c r="U17" s="143">
        <f>SUM(Q17:T17)</f>
        <v>0</v>
      </c>
      <c r="V17" s="83"/>
      <c r="W17" s="446">
        <f>O17+U17</f>
        <v>0</v>
      </c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70"/>
    </row>
    <row r="18" spans="1:35" ht="30" hidden="1" customHeight="1" x14ac:dyDescent="0.25">
      <c r="A18" s="82">
        <v>2</v>
      </c>
      <c r="B18" s="140"/>
      <c r="C18" s="28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72">
        <f>SUM(D18:N18)</f>
        <v>0</v>
      </c>
      <c r="P18" s="72"/>
      <c r="Q18" s="481"/>
      <c r="R18" s="481"/>
      <c r="S18" s="481"/>
      <c r="T18" s="481"/>
      <c r="U18" s="143">
        <f>SUM(Q18:T18)</f>
        <v>0</v>
      </c>
      <c r="V18" s="83"/>
      <c r="W18" s="446">
        <f>O18+U18</f>
        <v>0</v>
      </c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70"/>
    </row>
    <row r="19" spans="1:35" ht="30" hidden="1" customHeight="1" x14ac:dyDescent="0.25">
      <c r="A19" s="82">
        <v>3</v>
      </c>
      <c r="B19" s="140"/>
      <c r="C19" s="39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72">
        <f>SUM(D19:N19)</f>
        <v>0</v>
      </c>
      <c r="P19" s="72"/>
      <c r="Q19" s="481"/>
      <c r="R19" s="481"/>
      <c r="S19" s="481"/>
      <c r="T19" s="481"/>
      <c r="U19" s="143">
        <f>SUM(Q19:T19)</f>
        <v>0</v>
      </c>
      <c r="V19" s="83"/>
      <c r="W19" s="446">
        <f>O19+U19</f>
        <v>0</v>
      </c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70"/>
    </row>
    <row r="20" spans="1:35" ht="35.1" hidden="1" customHeight="1" thickBot="1" x14ac:dyDescent="0.3">
      <c r="A20" s="68"/>
      <c r="B20" s="120"/>
      <c r="C20" s="28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144"/>
      <c r="V20" s="460"/>
      <c r="W20" s="447">
        <f>O20+U20</f>
        <v>0</v>
      </c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70"/>
    </row>
    <row r="21" spans="1:35" ht="35.1" hidden="1" customHeight="1" thickTop="1" thickBot="1" x14ac:dyDescent="0.3">
      <c r="A21" s="35"/>
      <c r="B21" s="36"/>
      <c r="C21" s="44" t="s">
        <v>19</v>
      </c>
      <c r="D21" s="482">
        <f t="shared" ref="D21:W21" si="1">SUM(D17:D20)</f>
        <v>0</v>
      </c>
      <c r="E21" s="482">
        <f t="shared" si="1"/>
        <v>0</v>
      </c>
      <c r="F21" s="482">
        <f t="shared" si="1"/>
        <v>0</v>
      </c>
      <c r="G21" s="482">
        <f t="shared" si="1"/>
        <v>0</v>
      </c>
      <c r="H21" s="482">
        <f t="shared" si="1"/>
        <v>-81858.705000000002</v>
      </c>
      <c r="I21" s="482">
        <f t="shared" si="1"/>
        <v>0</v>
      </c>
      <c r="J21" s="482">
        <f t="shared" si="1"/>
        <v>0</v>
      </c>
      <c r="K21" s="482">
        <f>SUM(K17:K20)</f>
        <v>81858.705000000002</v>
      </c>
      <c r="L21" s="482">
        <f t="shared" si="1"/>
        <v>0</v>
      </c>
      <c r="M21" s="482">
        <f t="shared" si="1"/>
        <v>0</v>
      </c>
      <c r="N21" s="482">
        <f t="shared" si="1"/>
        <v>0</v>
      </c>
      <c r="O21" s="482">
        <f t="shared" si="1"/>
        <v>0</v>
      </c>
      <c r="P21" s="482"/>
      <c r="Q21" s="482">
        <f t="shared" si="1"/>
        <v>0</v>
      </c>
      <c r="R21" s="482">
        <f t="shared" si="1"/>
        <v>0</v>
      </c>
      <c r="S21" s="482">
        <f t="shared" si="1"/>
        <v>0</v>
      </c>
      <c r="T21" s="482">
        <f t="shared" si="1"/>
        <v>0</v>
      </c>
      <c r="U21" s="482">
        <f t="shared" si="1"/>
        <v>0</v>
      </c>
      <c r="V21" s="483"/>
      <c r="W21" s="484">
        <f t="shared" si="1"/>
        <v>0</v>
      </c>
    </row>
    <row r="22" spans="1:35" ht="35.1" hidden="1" customHeight="1" thickTop="1" thickBot="1" x14ac:dyDescent="0.3">
      <c r="A22" s="35"/>
      <c r="B22" s="36"/>
      <c r="C22" s="44" t="s">
        <v>166</v>
      </c>
      <c r="D22" s="212">
        <f t="shared" ref="D22:U22" si="2">D16+D21</f>
        <v>2196389</v>
      </c>
      <c r="E22" s="212">
        <f t="shared" si="2"/>
        <v>0</v>
      </c>
      <c r="F22" s="212">
        <f t="shared" si="2"/>
        <v>59087</v>
      </c>
      <c r="G22" s="212">
        <f t="shared" si="2"/>
        <v>7538311</v>
      </c>
      <c r="H22" s="212">
        <f t="shared" si="2"/>
        <v>2060606.2949999999</v>
      </c>
      <c r="I22" s="212">
        <f t="shared" si="2"/>
        <v>0</v>
      </c>
      <c r="J22" s="212">
        <f t="shared" si="2"/>
        <v>0</v>
      </c>
      <c r="K22" s="212">
        <f t="shared" si="2"/>
        <v>281858.70500000002</v>
      </c>
      <c r="L22" s="212">
        <f t="shared" si="2"/>
        <v>881000</v>
      </c>
      <c r="M22" s="212">
        <f t="shared" si="2"/>
        <v>23000</v>
      </c>
      <c r="N22" s="212">
        <f t="shared" si="2"/>
        <v>0</v>
      </c>
      <c r="O22" s="37">
        <f t="shared" si="2"/>
        <v>13040252</v>
      </c>
      <c r="P22" s="37"/>
      <c r="Q22" s="37">
        <f t="shared" si="2"/>
        <v>0</v>
      </c>
      <c r="R22" s="37">
        <f t="shared" si="2"/>
        <v>1041524</v>
      </c>
      <c r="S22" s="37">
        <f t="shared" si="2"/>
        <v>0</v>
      </c>
      <c r="T22" s="37">
        <f t="shared" si="2"/>
        <v>0</v>
      </c>
      <c r="U22" s="37">
        <f t="shared" si="2"/>
        <v>1041524</v>
      </c>
      <c r="V22" s="217"/>
      <c r="W22" s="448">
        <f t="shared" ref="W22:W60" si="3">O22+U22</f>
        <v>14081776</v>
      </c>
    </row>
    <row r="23" spans="1:35" ht="35.1" hidden="1" customHeight="1" thickTop="1" thickBot="1" x14ac:dyDescent="0.3">
      <c r="A23" s="35"/>
      <c r="B23" s="36"/>
      <c r="C23" s="39" t="s">
        <v>67</v>
      </c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37"/>
      <c r="O23" s="37"/>
      <c r="P23" s="37"/>
      <c r="Q23" s="37"/>
      <c r="R23" s="37">
        <f>3431629+114746</f>
        <v>3546375</v>
      </c>
      <c r="S23" s="37"/>
      <c r="T23" s="37"/>
      <c r="U23" s="338">
        <f>SUM(Q23:T23)</f>
        <v>3546375</v>
      </c>
      <c r="V23" s="461"/>
      <c r="W23" s="448">
        <f t="shared" si="3"/>
        <v>3546375</v>
      </c>
    </row>
    <row r="24" spans="1:35" ht="35.1" hidden="1" customHeight="1" thickTop="1" thickBot="1" x14ac:dyDescent="0.3">
      <c r="A24" s="35"/>
      <c r="B24" s="224" t="s">
        <v>206</v>
      </c>
      <c r="C24" s="44" t="s">
        <v>166</v>
      </c>
      <c r="D24" s="212">
        <f t="shared" ref="D24:U24" si="4">D22+D23</f>
        <v>2196389</v>
      </c>
      <c r="E24" s="212">
        <f t="shared" si="4"/>
        <v>0</v>
      </c>
      <c r="F24" s="212">
        <f t="shared" si="4"/>
        <v>59087</v>
      </c>
      <c r="G24" s="212">
        <f t="shared" si="4"/>
        <v>7538311</v>
      </c>
      <c r="H24" s="212">
        <f t="shared" si="4"/>
        <v>2060606.2949999999</v>
      </c>
      <c r="I24" s="212">
        <f t="shared" si="4"/>
        <v>0</v>
      </c>
      <c r="J24" s="212">
        <f t="shared" si="4"/>
        <v>0</v>
      </c>
      <c r="K24" s="212">
        <f t="shared" si="4"/>
        <v>281858.70500000002</v>
      </c>
      <c r="L24" s="212">
        <f t="shared" si="4"/>
        <v>881000</v>
      </c>
      <c r="M24" s="212">
        <f t="shared" si="4"/>
        <v>23000</v>
      </c>
      <c r="N24" s="212">
        <f t="shared" si="4"/>
        <v>0</v>
      </c>
      <c r="O24" s="37">
        <f t="shared" si="4"/>
        <v>13040252</v>
      </c>
      <c r="P24" s="37"/>
      <c r="Q24" s="37">
        <f t="shared" si="4"/>
        <v>0</v>
      </c>
      <c r="R24" s="37">
        <f t="shared" si="4"/>
        <v>4587899</v>
      </c>
      <c r="S24" s="37">
        <f t="shared" si="4"/>
        <v>0</v>
      </c>
      <c r="T24" s="37">
        <f t="shared" si="4"/>
        <v>0</v>
      </c>
      <c r="U24" s="212">
        <f t="shared" si="4"/>
        <v>4587899</v>
      </c>
      <c r="V24" s="287"/>
      <c r="W24" s="448">
        <f t="shared" si="3"/>
        <v>17628151</v>
      </c>
    </row>
    <row r="25" spans="1:35" ht="24.95" hidden="1" customHeight="1" x14ac:dyDescent="0.25">
      <c r="A25" s="22"/>
      <c r="B25" s="23"/>
      <c r="C25" s="229" t="s">
        <v>18</v>
      </c>
      <c r="D25" s="25">
        <f t="shared" ref="D25:U25" si="5">D24</f>
        <v>2196389</v>
      </c>
      <c r="E25" s="25">
        <f t="shared" si="5"/>
        <v>0</v>
      </c>
      <c r="F25" s="25">
        <f t="shared" si="5"/>
        <v>59087</v>
      </c>
      <c r="G25" s="25">
        <f t="shared" si="5"/>
        <v>7538311</v>
      </c>
      <c r="H25" s="25">
        <f t="shared" si="5"/>
        <v>2060606.2949999999</v>
      </c>
      <c r="I25" s="25">
        <f t="shared" si="5"/>
        <v>0</v>
      </c>
      <c r="J25" s="25">
        <f t="shared" si="5"/>
        <v>0</v>
      </c>
      <c r="K25" s="25">
        <f t="shared" si="5"/>
        <v>281858.70500000002</v>
      </c>
      <c r="L25" s="25">
        <f t="shared" si="5"/>
        <v>881000</v>
      </c>
      <c r="M25" s="25">
        <f t="shared" si="5"/>
        <v>23000</v>
      </c>
      <c r="N25" s="25">
        <f t="shared" si="5"/>
        <v>0</v>
      </c>
      <c r="O25" s="25">
        <f t="shared" si="5"/>
        <v>13040252</v>
      </c>
      <c r="P25" s="25"/>
      <c r="Q25" s="25">
        <f t="shared" si="5"/>
        <v>0</v>
      </c>
      <c r="R25" s="25">
        <f>R24</f>
        <v>4587899</v>
      </c>
      <c r="S25" s="25">
        <f>S24</f>
        <v>0</v>
      </c>
      <c r="T25" s="25">
        <f t="shared" si="5"/>
        <v>0</v>
      </c>
      <c r="U25" s="25">
        <f t="shared" si="5"/>
        <v>4587899</v>
      </c>
      <c r="V25" s="146"/>
      <c r="W25" s="449">
        <f t="shared" si="3"/>
        <v>17628151</v>
      </c>
    </row>
    <row r="26" spans="1:35" ht="24.95" hidden="1" customHeight="1" x14ac:dyDescent="0.2">
      <c r="A26" s="235">
        <v>1</v>
      </c>
      <c r="B26" s="519" t="s">
        <v>219</v>
      </c>
      <c r="C26" s="28" t="s">
        <v>240</v>
      </c>
      <c r="D26" s="176"/>
      <c r="E26" s="176"/>
      <c r="F26" s="176"/>
      <c r="G26" s="176"/>
      <c r="H26" s="176"/>
      <c r="I26" s="176"/>
      <c r="J26" s="176">
        <f>73861.686</f>
        <v>73861.686000000002</v>
      </c>
      <c r="K26" s="176"/>
      <c r="L26" s="176"/>
      <c r="M26" s="176"/>
      <c r="N26" s="176"/>
      <c r="O26" s="176">
        <f t="shared" ref="O26:O59" si="6">SUM(D26:N26)</f>
        <v>73861.686000000002</v>
      </c>
      <c r="P26" s="176"/>
      <c r="Q26" s="176"/>
      <c r="R26" s="176"/>
      <c r="S26" s="176"/>
      <c r="T26" s="176"/>
      <c r="U26" s="176">
        <f t="shared" ref="U26:U59" si="7">SUM(Q26:T26)</f>
        <v>0</v>
      </c>
      <c r="V26" s="462"/>
      <c r="W26" s="450">
        <f t="shared" si="3"/>
        <v>73861.686000000002</v>
      </c>
    </row>
    <row r="27" spans="1:35" ht="24.95" hidden="1" customHeight="1" x14ac:dyDescent="0.2">
      <c r="A27" s="235">
        <v>2</v>
      </c>
      <c r="B27" s="519" t="s">
        <v>222</v>
      </c>
      <c r="C27" s="41" t="s">
        <v>243</v>
      </c>
      <c r="D27" s="176"/>
      <c r="E27" s="176"/>
      <c r="F27" s="176"/>
      <c r="H27" s="176">
        <f>2100+567</f>
        <v>2667</v>
      </c>
      <c r="I27" s="176"/>
      <c r="J27" s="176"/>
      <c r="K27" s="176"/>
      <c r="L27" s="176"/>
      <c r="M27" s="176"/>
      <c r="N27" s="176"/>
      <c r="O27" s="176">
        <f t="shared" si="6"/>
        <v>2667</v>
      </c>
      <c r="P27" s="176"/>
      <c r="Q27" s="176"/>
      <c r="R27" s="176"/>
      <c r="S27" s="176"/>
      <c r="T27" s="176"/>
      <c r="U27" s="176">
        <f t="shared" si="7"/>
        <v>0</v>
      </c>
      <c r="V27" s="462"/>
      <c r="W27" s="450">
        <f t="shared" si="3"/>
        <v>2667</v>
      </c>
    </row>
    <row r="28" spans="1:35" ht="24.95" hidden="1" customHeight="1" x14ac:dyDescent="0.2">
      <c r="A28" s="235">
        <v>3</v>
      </c>
      <c r="B28" s="519" t="s">
        <v>244</v>
      </c>
      <c r="C28" s="41" t="s">
        <v>245</v>
      </c>
      <c r="D28" s="176"/>
      <c r="E28" s="176"/>
      <c r="F28" s="176"/>
      <c r="G28" s="176"/>
      <c r="H28" s="176"/>
      <c r="I28" s="176">
        <f>810</f>
        <v>810</v>
      </c>
      <c r="J28" s="176"/>
      <c r="K28" s="176"/>
      <c r="L28" s="176"/>
      <c r="M28" s="176"/>
      <c r="N28" s="176"/>
      <c r="O28" s="176">
        <f t="shared" si="6"/>
        <v>810</v>
      </c>
      <c r="P28" s="176"/>
      <c r="Q28" s="176"/>
      <c r="R28" s="176"/>
      <c r="S28" s="176"/>
      <c r="T28" s="176"/>
      <c r="U28" s="176">
        <f t="shared" si="7"/>
        <v>0</v>
      </c>
      <c r="V28" s="462"/>
      <c r="W28" s="450">
        <f t="shared" si="3"/>
        <v>810</v>
      </c>
    </row>
    <row r="29" spans="1:35" ht="24.95" hidden="1" customHeight="1" x14ac:dyDescent="0.2">
      <c r="A29" s="235">
        <v>4</v>
      </c>
      <c r="B29" s="519" t="s">
        <v>248</v>
      </c>
      <c r="C29" s="41" t="s">
        <v>249</v>
      </c>
      <c r="D29" s="176"/>
      <c r="E29" s="176"/>
      <c r="F29" s="176"/>
      <c r="G29" s="176"/>
      <c r="H29" s="176">
        <f>873+379</f>
        <v>1252</v>
      </c>
      <c r="I29" s="176"/>
      <c r="J29" s="176"/>
      <c r="K29" s="176"/>
      <c r="L29" s="176"/>
      <c r="M29" s="176"/>
      <c r="N29" s="176"/>
      <c r="O29" s="176">
        <f t="shared" si="6"/>
        <v>1252</v>
      </c>
      <c r="P29" s="176"/>
      <c r="Q29" s="176"/>
      <c r="R29" s="176"/>
      <c r="S29" s="176"/>
      <c r="T29" s="176"/>
      <c r="U29" s="176">
        <f t="shared" si="7"/>
        <v>0</v>
      </c>
      <c r="V29" s="462"/>
      <c r="W29" s="450">
        <f t="shared" si="3"/>
        <v>1252</v>
      </c>
    </row>
    <row r="30" spans="1:35" ht="24.95" hidden="1" customHeight="1" x14ac:dyDescent="0.2">
      <c r="A30" s="235">
        <v>5</v>
      </c>
      <c r="B30" s="519" t="s">
        <v>250</v>
      </c>
      <c r="C30" s="41" t="s">
        <v>251</v>
      </c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>
        <f>2548</f>
        <v>2548</v>
      </c>
      <c r="O30" s="176">
        <f t="shared" si="6"/>
        <v>2548</v>
      </c>
      <c r="P30" s="176"/>
      <c r="Q30" s="176"/>
      <c r="R30" s="176"/>
      <c r="S30" s="176"/>
      <c r="T30" s="176"/>
      <c r="U30" s="176">
        <f t="shared" si="7"/>
        <v>0</v>
      </c>
      <c r="V30" s="462"/>
      <c r="W30" s="450">
        <f t="shared" si="3"/>
        <v>2548</v>
      </c>
    </row>
    <row r="31" spans="1:35" ht="24.95" hidden="1" customHeight="1" x14ac:dyDescent="0.2">
      <c r="A31" s="235">
        <v>6</v>
      </c>
      <c r="B31" s="519" t="s">
        <v>253</v>
      </c>
      <c r="C31" s="41" t="s">
        <v>252</v>
      </c>
      <c r="D31" s="176"/>
      <c r="E31" s="176"/>
      <c r="F31" s="176"/>
      <c r="G31" s="176"/>
      <c r="H31" s="176"/>
      <c r="I31" s="176"/>
      <c r="J31" s="176"/>
      <c r="K31" s="176">
        <f>2500</f>
        <v>2500</v>
      </c>
      <c r="L31" s="176"/>
      <c r="M31" s="176"/>
      <c r="N31" s="176"/>
      <c r="O31" s="176">
        <f t="shared" si="6"/>
        <v>2500</v>
      </c>
      <c r="P31" s="176"/>
      <c r="Q31" s="176"/>
      <c r="R31" s="176"/>
      <c r="S31" s="176"/>
      <c r="T31" s="176"/>
      <c r="U31" s="176">
        <f t="shared" si="7"/>
        <v>0</v>
      </c>
      <c r="V31" s="462"/>
      <c r="W31" s="450">
        <f t="shared" si="3"/>
        <v>2500</v>
      </c>
    </row>
    <row r="32" spans="1:35" ht="24.95" hidden="1" customHeight="1" x14ac:dyDescent="0.2">
      <c r="A32" s="235">
        <v>7</v>
      </c>
      <c r="B32" s="520" t="s">
        <v>295</v>
      </c>
      <c r="C32" s="41" t="s">
        <v>290</v>
      </c>
      <c r="D32" s="176">
        <f>19280.723+13017.419+7933.978</f>
        <v>40232.120000000003</v>
      </c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>
        <f t="shared" si="6"/>
        <v>40232.120000000003</v>
      </c>
      <c r="P32" s="176"/>
      <c r="Q32" s="176"/>
      <c r="R32" s="176"/>
      <c r="S32" s="176"/>
      <c r="T32" s="176"/>
      <c r="U32" s="176">
        <f t="shared" si="7"/>
        <v>0</v>
      </c>
      <c r="V32" s="462"/>
      <c r="W32" s="450">
        <f t="shared" si="3"/>
        <v>40232.120000000003</v>
      </c>
    </row>
    <row r="33" spans="1:23" ht="24.95" hidden="1" customHeight="1" x14ac:dyDescent="0.2">
      <c r="A33" s="530">
        <v>8</v>
      </c>
      <c r="B33" s="525" t="s">
        <v>238</v>
      </c>
      <c r="C33" s="41" t="s">
        <v>291</v>
      </c>
      <c r="D33" s="176">
        <f>14450.287</f>
        <v>14450.287</v>
      </c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>
        <f t="shared" si="6"/>
        <v>14450.287</v>
      </c>
      <c r="P33" s="176"/>
      <c r="Q33" s="176"/>
      <c r="R33" s="176"/>
      <c r="S33" s="176"/>
      <c r="T33" s="176"/>
      <c r="U33" s="176">
        <f t="shared" si="7"/>
        <v>0</v>
      </c>
      <c r="V33" s="462"/>
      <c r="W33" s="450">
        <f t="shared" si="3"/>
        <v>14450.287</v>
      </c>
    </row>
    <row r="34" spans="1:23" ht="24.95" hidden="1" customHeight="1" x14ac:dyDescent="0.2">
      <c r="A34" s="40"/>
      <c r="B34" s="520" t="s">
        <v>298</v>
      </c>
      <c r="C34" s="28" t="s">
        <v>297</v>
      </c>
      <c r="D34" s="176">
        <v>675</v>
      </c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>
        <f t="shared" si="6"/>
        <v>675</v>
      </c>
      <c r="P34" s="176"/>
      <c r="Q34" s="176"/>
      <c r="R34" s="176"/>
      <c r="S34" s="176"/>
      <c r="T34" s="176"/>
      <c r="U34" s="176">
        <f t="shared" si="7"/>
        <v>0</v>
      </c>
      <c r="V34" s="462"/>
      <c r="W34" s="450">
        <f t="shared" si="3"/>
        <v>675</v>
      </c>
    </row>
    <row r="35" spans="1:23" ht="24.95" hidden="1" customHeight="1" x14ac:dyDescent="0.2">
      <c r="A35" s="40"/>
      <c r="B35" s="520"/>
      <c r="C35" s="28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>
        <f t="shared" si="6"/>
        <v>0</v>
      </c>
      <c r="P35" s="176"/>
      <c r="Q35" s="176"/>
      <c r="R35" s="176"/>
      <c r="S35" s="176"/>
      <c r="T35" s="176"/>
      <c r="U35" s="176">
        <f t="shared" si="7"/>
        <v>0</v>
      </c>
      <c r="V35" s="462"/>
      <c r="W35" s="450">
        <f t="shared" si="3"/>
        <v>0</v>
      </c>
    </row>
    <row r="36" spans="1:23" ht="24.95" hidden="1" customHeight="1" x14ac:dyDescent="0.2">
      <c r="A36" s="40"/>
      <c r="B36" s="520"/>
      <c r="C36" s="28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>
        <f t="shared" si="6"/>
        <v>0</v>
      </c>
      <c r="P36" s="176"/>
      <c r="Q36" s="176"/>
      <c r="R36" s="176"/>
      <c r="S36" s="176"/>
      <c r="T36" s="176"/>
      <c r="U36" s="176">
        <f t="shared" si="7"/>
        <v>0</v>
      </c>
      <c r="V36" s="462"/>
      <c r="W36" s="450">
        <f t="shared" si="3"/>
        <v>0</v>
      </c>
    </row>
    <row r="37" spans="1:23" ht="24.95" hidden="1" customHeight="1" x14ac:dyDescent="0.2">
      <c r="A37" s="40"/>
      <c r="B37" s="521"/>
      <c r="C37" s="28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>
        <f t="shared" si="6"/>
        <v>0</v>
      </c>
      <c r="P37" s="176"/>
      <c r="Q37" s="176"/>
      <c r="R37" s="176"/>
      <c r="S37" s="176"/>
      <c r="T37" s="176"/>
      <c r="U37" s="176">
        <f t="shared" si="7"/>
        <v>0</v>
      </c>
      <c r="V37" s="462"/>
      <c r="W37" s="450">
        <f t="shared" si="3"/>
        <v>0</v>
      </c>
    </row>
    <row r="38" spans="1:23" ht="24.95" hidden="1" customHeight="1" x14ac:dyDescent="0.2">
      <c r="A38" s="40"/>
      <c r="B38" s="520"/>
      <c r="C38" s="28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>
        <f t="shared" si="6"/>
        <v>0</v>
      </c>
      <c r="P38" s="176"/>
      <c r="Q38" s="176"/>
      <c r="R38" s="176"/>
      <c r="S38" s="176"/>
      <c r="T38" s="176"/>
      <c r="U38" s="176">
        <f t="shared" si="7"/>
        <v>0</v>
      </c>
      <c r="V38" s="462"/>
      <c r="W38" s="450">
        <f t="shared" si="3"/>
        <v>0</v>
      </c>
    </row>
    <row r="39" spans="1:23" ht="24.95" hidden="1" customHeight="1" x14ac:dyDescent="0.2">
      <c r="A39" s="40"/>
      <c r="B39" s="31"/>
      <c r="C39" s="28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>
        <f t="shared" si="6"/>
        <v>0</v>
      </c>
      <c r="P39" s="176"/>
      <c r="Q39" s="176"/>
      <c r="R39" s="176"/>
      <c r="S39" s="176"/>
      <c r="T39" s="176"/>
      <c r="U39" s="176">
        <f t="shared" si="7"/>
        <v>0</v>
      </c>
      <c r="V39" s="462"/>
      <c r="W39" s="450">
        <f t="shared" si="3"/>
        <v>0</v>
      </c>
    </row>
    <row r="40" spans="1:23" ht="24.95" hidden="1" customHeight="1" x14ac:dyDescent="0.2">
      <c r="A40" s="40"/>
      <c r="B40" s="32"/>
      <c r="C40" s="28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>
        <f t="shared" si="6"/>
        <v>0</v>
      </c>
      <c r="P40" s="176"/>
      <c r="Q40" s="176"/>
      <c r="R40" s="176"/>
      <c r="S40" s="176"/>
      <c r="T40" s="176"/>
      <c r="U40" s="176">
        <f t="shared" si="7"/>
        <v>0</v>
      </c>
      <c r="V40" s="462"/>
      <c r="W40" s="450">
        <f t="shared" si="3"/>
        <v>0</v>
      </c>
    </row>
    <row r="41" spans="1:23" ht="24.95" hidden="1" customHeight="1" x14ac:dyDescent="0.2">
      <c r="A41" s="40"/>
      <c r="B41" s="32"/>
      <c r="C41" s="41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>
        <f t="shared" si="6"/>
        <v>0</v>
      </c>
      <c r="P41" s="176"/>
      <c r="Q41" s="176"/>
      <c r="R41" s="176"/>
      <c r="S41" s="176"/>
      <c r="T41" s="176"/>
      <c r="U41" s="176">
        <f t="shared" si="7"/>
        <v>0</v>
      </c>
      <c r="V41" s="462"/>
      <c r="W41" s="450">
        <f t="shared" si="3"/>
        <v>0</v>
      </c>
    </row>
    <row r="42" spans="1:23" ht="24.95" hidden="1" customHeight="1" x14ac:dyDescent="0.2">
      <c r="A42" s="40"/>
      <c r="B42" s="31"/>
      <c r="C42" s="41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>
        <f t="shared" si="6"/>
        <v>0</v>
      </c>
      <c r="P42" s="176"/>
      <c r="Q42" s="176"/>
      <c r="R42" s="176"/>
      <c r="S42" s="176"/>
      <c r="T42" s="176"/>
      <c r="U42" s="176">
        <f t="shared" si="7"/>
        <v>0</v>
      </c>
      <c r="V42" s="462"/>
      <c r="W42" s="450">
        <f t="shared" si="3"/>
        <v>0</v>
      </c>
    </row>
    <row r="43" spans="1:23" ht="24.95" hidden="1" customHeight="1" x14ac:dyDescent="0.2">
      <c r="A43" s="40"/>
      <c r="B43" s="31"/>
      <c r="C43" s="41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>
        <f t="shared" si="6"/>
        <v>0</v>
      </c>
      <c r="P43" s="176"/>
      <c r="Q43" s="176"/>
      <c r="R43" s="176"/>
      <c r="S43" s="176"/>
      <c r="T43" s="176"/>
      <c r="U43" s="176">
        <f t="shared" si="7"/>
        <v>0</v>
      </c>
      <c r="V43" s="462"/>
      <c r="W43" s="450">
        <f t="shared" si="3"/>
        <v>0</v>
      </c>
    </row>
    <row r="44" spans="1:23" ht="24.95" hidden="1" customHeight="1" x14ac:dyDescent="0.2">
      <c r="A44" s="40"/>
      <c r="B44" s="31"/>
      <c r="C44" s="127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>
        <f t="shared" si="6"/>
        <v>0</v>
      </c>
      <c r="P44" s="176"/>
      <c r="Q44" s="176"/>
      <c r="R44" s="176"/>
      <c r="S44" s="176"/>
      <c r="T44" s="176"/>
      <c r="U44" s="176">
        <f t="shared" si="7"/>
        <v>0</v>
      </c>
      <c r="V44" s="462"/>
      <c r="W44" s="450">
        <f t="shared" si="3"/>
        <v>0</v>
      </c>
    </row>
    <row r="45" spans="1:23" ht="24.95" hidden="1" customHeight="1" x14ac:dyDescent="0.2">
      <c r="A45" s="40"/>
      <c r="B45" s="31"/>
      <c r="C45" s="127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>
        <f t="shared" si="6"/>
        <v>0</v>
      </c>
      <c r="P45" s="176"/>
      <c r="Q45" s="176"/>
      <c r="R45" s="176"/>
      <c r="S45" s="176"/>
      <c r="T45" s="176"/>
      <c r="U45" s="176">
        <f t="shared" si="7"/>
        <v>0</v>
      </c>
      <c r="V45" s="462"/>
      <c r="W45" s="450">
        <f t="shared" si="3"/>
        <v>0</v>
      </c>
    </row>
    <row r="46" spans="1:23" ht="24.95" hidden="1" customHeight="1" x14ac:dyDescent="0.2">
      <c r="A46" s="40"/>
      <c r="B46" s="31"/>
      <c r="C46" s="41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>
        <f t="shared" si="6"/>
        <v>0</v>
      </c>
      <c r="P46" s="176"/>
      <c r="Q46" s="176"/>
      <c r="R46" s="176"/>
      <c r="S46" s="176"/>
      <c r="T46" s="176"/>
      <c r="U46" s="176">
        <f t="shared" si="7"/>
        <v>0</v>
      </c>
      <c r="V46" s="462"/>
      <c r="W46" s="450">
        <f t="shared" si="3"/>
        <v>0</v>
      </c>
    </row>
    <row r="47" spans="1:23" ht="24.95" hidden="1" customHeight="1" x14ac:dyDescent="0.2">
      <c r="A47" s="40"/>
      <c r="B47" s="31"/>
      <c r="C47" s="41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>
        <f t="shared" si="6"/>
        <v>0</v>
      </c>
      <c r="P47" s="176"/>
      <c r="Q47" s="176"/>
      <c r="R47" s="176"/>
      <c r="S47" s="176"/>
      <c r="T47" s="176"/>
      <c r="U47" s="176">
        <f t="shared" si="7"/>
        <v>0</v>
      </c>
      <c r="V47" s="462"/>
      <c r="W47" s="450">
        <f t="shared" si="3"/>
        <v>0</v>
      </c>
    </row>
    <row r="48" spans="1:23" ht="24.95" hidden="1" customHeight="1" x14ac:dyDescent="0.2">
      <c r="A48" s="40"/>
      <c r="B48" s="31"/>
      <c r="C48" s="41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>
        <f t="shared" si="6"/>
        <v>0</v>
      </c>
      <c r="P48" s="176"/>
      <c r="Q48" s="176"/>
      <c r="R48" s="176"/>
      <c r="S48" s="176"/>
      <c r="T48" s="176"/>
      <c r="U48" s="176">
        <f t="shared" si="7"/>
        <v>0</v>
      </c>
      <c r="V48" s="462"/>
      <c r="W48" s="450">
        <f t="shared" si="3"/>
        <v>0</v>
      </c>
    </row>
    <row r="49" spans="1:23" ht="24.95" hidden="1" customHeight="1" x14ac:dyDescent="0.2">
      <c r="A49" s="40"/>
      <c r="B49" s="31"/>
      <c r="C49" s="41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>
        <f t="shared" si="6"/>
        <v>0</v>
      </c>
      <c r="P49" s="176"/>
      <c r="Q49" s="176"/>
      <c r="R49" s="176"/>
      <c r="S49" s="176"/>
      <c r="T49" s="176"/>
      <c r="U49" s="176">
        <f t="shared" si="7"/>
        <v>0</v>
      </c>
      <c r="V49" s="462"/>
      <c r="W49" s="450">
        <f t="shared" si="3"/>
        <v>0</v>
      </c>
    </row>
    <row r="50" spans="1:23" ht="24.95" hidden="1" customHeight="1" x14ac:dyDescent="0.2">
      <c r="A50" s="40"/>
      <c r="B50" s="31"/>
      <c r="C50" s="41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>
        <f t="shared" si="6"/>
        <v>0</v>
      </c>
      <c r="P50" s="176"/>
      <c r="Q50" s="176"/>
      <c r="R50" s="176"/>
      <c r="S50" s="176"/>
      <c r="T50" s="176"/>
      <c r="U50" s="176">
        <f t="shared" si="7"/>
        <v>0</v>
      </c>
      <c r="V50" s="462"/>
      <c r="W50" s="450">
        <f t="shared" si="3"/>
        <v>0</v>
      </c>
    </row>
    <row r="51" spans="1:23" ht="24.95" hidden="1" customHeight="1" x14ac:dyDescent="0.2">
      <c r="A51" s="40"/>
      <c r="B51" s="126"/>
      <c r="C51" s="41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>
        <f t="shared" si="6"/>
        <v>0</v>
      </c>
      <c r="P51" s="176"/>
      <c r="Q51" s="176"/>
      <c r="R51" s="176"/>
      <c r="S51" s="176"/>
      <c r="T51" s="176"/>
      <c r="U51" s="176">
        <f t="shared" si="7"/>
        <v>0</v>
      </c>
      <c r="V51" s="462"/>
      <c r="W51" s="450">
        <f t="shared" si="3"/>
        <v>0</v>
      </c>
    </row>
    <row r="52" spans="1:23" ht="24.95" hidden="1" customHeight="1" x14ac:dyDescent="0.2">
      <c r="A52" s="40"/>
      <c r="B52" s="126"/>
      <c r="C52" s="41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>
        <f t="shared" si="6"/>
        <v>0</v>
      </c>
      <c r="P52" s="176"/>
      <c r="Q52" s="176"/>
      <c r="R52" s="176"/>
      <c r="S52" s="176"/>
      <c r="T52" s="176"/>
      <c r="U52" s="176">
        <f t="shared" si="7"/>
        <v>0</v>
      </c>
      <c r="V52" s="462"/>
      <c r="W52" s="450">
        <f t="shared" si="3"/>
        <v>0</v>
      </c>
    </row>
    <row r="53" spans="1:23" ht="24.95" hidden="1" customHeight="1" x14ac:dyDescent="0.2">
      <c r="A53" s="40"/>
      <c r="B53" s="126"/>
      <c r="C53" s="41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>
        <f t="shared" si="6"/>
        <v>0</v>
      </c>
      <c r="P53" s="176"/>
      <c r="Q53" s="176"/>
      <c r="R53" s="176"/>
      <c r="S53" s="176"/>
      <c r="T53" s="176"/>
      <c r="U53" s="176">
        <f t="shared" si="7"/>
        <v>0</v>
      </c>
      <c r="V53" s="462"/>
      <c r="W53" s="450">
        <f t="shared" si="3"/>
        <v>0</v>
      </c>
    </row>
    <row r="54" spans="1:23" ht="24.95" hidden="1" customHeight="1" x14ac:dyDescent="0.2">
      <c r="A54" s="40"/>
      <c r="B54" s="126"/>
      <c r="C54" s="41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>
        <f t="shared" si="6"/>
        <v>0</v>
      </c>
      <c r="P54" s="176"/>
      <c r="Q54" s="176"/>
      <c r="R54" s="176"/>
      <c r="S54" s="176"/>
      <c r="T54" s="176"/>
      <c r="U54" s="176">
        <f t="shared" si="7"/>
        <v>0</v>
      </c>
      <c r="V54" s="462"/>
      <c r="W54" s="450">
        <f t="shared" si="3"/>
        <v>0</v>
      </c>
    </row>
    <row r="55" spans="1:23" ht="24.95" hidden="1" customHeight="1" x14ac:dyDescent="0.2">
      <c r="A55" s="40"/>
      <c r="B55" s="126"/>
      <c r="C55" s="41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>
        <f t="shared" si="6"/>
        <v>0</v>
      </c>
      <c r="P55" s="176"/>
      <c r="Q55" s="176"/>
      <c r="R55" s="176"/>
      <c r="S55" s="176"/>
      <c r="T55" s="176"/>
      <c r="U55" s="176">
        <f t="shared" si="7"/>
        <v>0</v>
      </c>
      <c r="V55" s="462"/>
      <c r="W55" s="450">
        <f t="shared" si="3"/>
        <v>0</v>
      </c>
    </row>
    <row r="56" spans="1:23" ht="24.95" hidden="1" customHeight="1" x14ac:dyDescent="0.2">
      <c r="A56" s="40"/>
      <c r="B56" s="126"/>
      <c r="C56" s="41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>
        <f t="shared" si="6"/>
        <v>0</v>
      </c>
      <c r="P56" s="176"/>
      <c r="Q56" s="176"/>
      <c r="R56" s="176"/>
      <c r="S56" s="176"/>
      <c r="T56" s="176"/>
      <c r="U56" s="176">
        <f t="shared" si="7"/>
        <v>0</v>
      </c>
      <c r="V56" s="462"/>
      <c r="W56" s="450">
        <f t="shared" si="3"/>
        <v>0</v>
      </c>
    </row>
    <row r="57" spans="1:23" ht="24.95" hidden="1" customHeight="1" x14ac:dyDescent="0.2">
      <c r="A57" s="40"/>
      <c r="B57" s="126"/>
      <c r="C57" s="41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>
        <f t="shared" si="6"/>
        <v>0</v>
      </c>
      <c r="P57" s="176"/>
      <c r="Q57" s="176"/>
      <c r="R57" s="176"/>
      <c r="S57" s="176"/>
      <c r="T57" s="176"/>
      <c r="U57" s="176">
        <f t="shared" si="7"/>
        <v>0</v>
      </c>
      <c r="V57" s="462"/>
      <c r="W57" s="450">
        <f t="shared" si="3"/>
        <v>0</v>
      </c>
    </row>
    <row r="58" spans="1:23" ht="24.95" hidden="1" customHeight="1" x14ac:dyDescent="0.2">
      <c r="A58" s="40"/>
      <c r="B58" s="126"/>
      <c r="C58" s="41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>
        <f t="shared" si="6"/>
        <v>0</v>
      </c>
      <c r="P58" s="176"/>
      <c r="Q58" s="176"/>
      <c r="R58" s="176"/>
      <c r="S58" s="176"/>
      <c r="T58" s="176"/>
      <c r="U58" s="176">
        <f t="shared" si="7"/>
        <v>0</v>
      </c>
      <c r="V58" s="462"/>
      <c r="W58" s="450">
        <f t="shared" si="3"/>
        <v>0</v>
      </c>
    </row>
    <row r="59" spans="1:23" ht="24.95" hidden="1" customHeight="1" x14ac:dyDescent="0.2">
      <c r="A59" s="40"/>
      <c r="B59" s="126"/>
      <c r="C59" s="41" t="s">
        <v>75</v>
      </c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>
        <f t="shared" si="6"/>
        <v>0</v>
      </c>
      <c r="P59" s="176"/>
      <c r="Q59" s="176"/>
      <c r="R59" s="176"/>
      <c r="S59" s="176"/>
      <c r="T59" s="176"/>
      <c r="U59" s="176">
        <f t="shared" si="7"/>
        <v>0</v>
      </c>
      <c r="V59" s="462"/>
      <c r="W59" s="450">
        <f t="shared" si="3"/>
        <v>0</v>
      </c>
    </row>
    <row r="60" spans="1:23" ht="24.95" hidden="1" customHeight="1" thickBot="1" x14ac:dyDescent="0.25">
      <c r="A60" s="40"/>
      <c r="B60" s="106"/>
      <c r="C60" s="107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463"/>
      <c r="W60" s="451">
        <f t="shared" si="3"/>
        <v>0</v>
      </c>
    </row>
    <row r="61" spans="1:23" ht="24.95" hidden="1" customHeight="1" thickTop="1" thickBot="1" x14ac:dyDescent="0.25">
      <c r="A61" s="47"/>
      <c r="B61" s="111" t="s">
        <v>211</v>
      </c>
      <c r="C61" s="44" t="s">
        <v>19</v>
      </c>
      <c r="D61" s="180">
        <f t="shared" ref="D61:O61" si="8">SUM(D26:D60)</f>
        <v>55357.407000000007</v>
      </c>
      <c r="E61" s="213">
        <f t="shared" si="8"/>
        <v>0</v>
      </c>
      <c r="F61" s="180">
        <f t="shared" si="8"/>
        <v>0</v>
      </c>
      <c r="G61" s="180">
        <f t="shared" si="8"/>
        <v>0</v>
      </c>
      <c r="H61" s="180">
        <f t="shared" si="8"/>
        <v>3919</v>
      </c>
      <c r="I61" s="180">
        <f t="shared" si="8"/>
        <v>810</v>
      </c>
      <c r="J61" s="180">
        <f t="shared" si="8"/>
        <v>73861.686000000002</v>
      </c>
      <c r="K61" s="180">
        <f t="shared" si="8"/>
        <v>2500</v>
      </c>
      <c r="L61" s="180">
        <f t="shared" si="8"/>
        <v>0</v>
      </c>
      <c r="M61" s="180">
        <f t="shared" si="8"/>
        <v>0</v>
      </c>
      <c r="N61" s="180">
        <f t="shared" si="8"/>
        <v>2548</v>
      </c>
      <c r="O61" s="180">
        <f t="shared" si="8"/>
        <v>138996.09300000002</v>
      </c>
      <c r="P61" s="180"/>
      <c r="Q61" s="180">
        <f>SUM(Q26:Q60)</f>
        <v>0</v>
      </c>
      <c r="R61" s="180">
        <f>SUM(R26:R60)</f>
        <v>0</v>
      </c>
      <c r="S61" s="180">
        <f>SUM(S26:S60)</f>
        <v>0</v>
      </c>
      <c r="T61" s="180">
        <f>SUM(T26:T60)</f>
        <v>0</v>
      </c>
      <c r="U61" s="180">
        <f>SUM(U26:U60)</f>
        <v>0</v>
      </c>
      <c r="V61" s="191"/>
      <c r="W61" s="452">
        <f>SUM(W26:W60)</f>
        <v>138996.09300000002</v>
      </c>
    </row>
    <row r="62" spans="1:23" ht="24.95" hidden="1" customHeight="1" thickTop="1" x14ac:dyDescent="0.2">
      <c r="A62" s="40"/>
      <c r="B62" s="31"/>
      <c r="C62" s="41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>
        <f t="shared" ref="O62:O72" si="9">SUM(D62:N62)</f>
        <v>0</v>
      </c>
      <c r="P62" s="176"/>
      <c r="Q62" s="176"/>
      <c r="R62" s="176"/>
      <c r="S62" s="176"/>
      <c r="T62" s="176"/>
      <c r="U62" s="176">
        <f t="shared" ref="U62:U72" si="10">SUM(Q62:T62)</f>
        <v>0</v>
      </c>
      <c r="V62" s="462"/>
      <c r="W62" s="450">
        <f t="shared" ref="W62:W71" si="11">O62+U62</f>
        <v>0</v>
      </c>
    </row>
    <row r="63" spans="1:23" ht="24.95" hidden="1" customHeight="1" x14ac:dyDescent="0.2">
      <c r="A63" s="40"/>
      <c r="B63" s="31"/>
      <c r="C63" s="41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>
        <f t="shared" si="9"/>
        <v>0</v>
      </c>
      <c r="P63" s="176"/>
      <c r="Q63" s="176"/>
      <c r="R63" s="176"/>
      <c r="S63" s="176"/>
      <c r="T63" s="176"/>
      <c r="U63" s="176">
        <f t="shared" si="10"/>
        <v>0</v>
      </c>
      <c r="V63" s="462"/>
      <c r="W63" s="450">
        <f t="shared" si="11"/>
        <v>0</v>
      </c>
    </row>
    <row r="64" spans="1:23" ht="24.95" hidden="1" customHeight="1" x14ac:dyDescent="0.2">
      <c r="A64" s="40"/>
      <c r="B64" s="32"/>
      <c r="C64" s="41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>
        <f t="shared" si="9"/>
        <v>0</v>
      </c>
      <c r="P64" s="176"/>
      <c r="Q64" s="176"/>
      <c r="R64" s="176"/>
      <c r="S64" s="176"/>
      <c r="T64" s="176"/>
      <c r="U64" s="176">
        <f t="shared" si="10"/>
        <v>0</v>
      </c>
      <c r="V64" s="462"/>
      <c r="W64" s="450">
        <f t="shared" si="11"/>
        <v>0</v>
      </c>
    </row>
    <row r="65" spans="1:23" ht="24.95" hidden="1" customHeight="1" x14ac:dyDescent="0.2">
      <c r="A65" s="40"/>
      <c r="B65" s="32"/>
      <c r="C65" s="41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>
        <f t="shared" si="9"/>
        <v>0</v>
      </c>
      <c r="P65" s="176"/>
      <c r="Q65" s="176"/>
      <c r="R65" s="176"/>
      <c r="S65" s="176"/>
      <c r="T65" s="176"/>
      <c r="U65" s="176">
        <f t="shared" si="10"/>
        <v>0</v>
      </c>
      <c r="V65" s="462"/>
      <c r="W65" s="450">
        <f t="shared" si="11"/>
        <v>0</v>
      </c>
    </row>
    <row r="66" spans="1:23" ht="24.95" hidden="1" customHeight="1" x14ac:dyDescent="0.2">
      <c r="A66" s="40"/>
      <c r="B66" s="32"/>
      <c r="C66" s="41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>
        <f t="shared" si="9"/>
        <v>0</v>
      </c>
      <c r="P66" s="176"/>
      <c r="Q66" s="176"/>
      <c r="R66" s="176"/>
      <c r="S66" s="176"/>
      <c r="T66" s="176"/>
      <c r="U66" s="176">
        <f t="shared" si="10"/>
        <v>0</v>
      </c>
      <c r="V66" s="462"/>
      <c r="W66" s="450">
        <f t="shared" si="11"/>
        <v>0</v>
      </c>
    </row>
    <row r="67" spans="1:23" ht="24.95" hidden="1" customHeight="1" x14ac:dyDescent="0.2">
      <c r="A67" s="40"/>
      <c r="B67" s="32"/>
      <c r="C67" s="41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>
        <f t="shared" si="9"/>
        <v>0</v>
      </c>
      <c r="P67" s="176"/>
      <c r="Q67" s="176"/>
      <c r="R67" s="176"/>
      <c r="S67" s="176"/>
      <c r="T67" s="176"/>
      <c r="U67" s="176">
        <f t="shared" si="10"/>
        <v>0</v>
      </c>
      <c r="V67" s="462"/>
      <c r="W67" s="450">
        <f t="shared" si="11"/>
        <v>0</v>
      </c>
    </row>
    <row r="68" spans="1:23" ht="24.95" hidden="1" customHeight="1" x14ac:dyDescent="0.2">
      <c r="A68" s="40"/>
      <c r="B68" s="32"/>
      <c r="C68" s="41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>
        <f t="shared" si="9"/>
        <v>0</v>
      </c>
      <c r="P68" s="176"/>
      <c r="Q68" s="176"/>
      <c r="R68" s="176"/>
      <c r="S68" s="176"/>
      <c r="T68" s="176"/>
      <c r="U68" s="176">
        <f t="shared" si="10"/>
        <v>0</v>
      </c>
      <c r="V68" s="462"/>
      <c r="W68" s="450">
        <f t="shared" si="11"/>
        <v>0</v>
      </c>
    </row>
    <row r="69" spans="1:23" ht="24.95" hidden="1" customHeight="1" x14ac:dyDescent="0.2">
      <c r="A69" s="40"/>
      <c r="B69" s="31"/>
      <c r="C69" s="41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>
        <f t="shared" si="9"/>
        <v>0</v>
      </c>
      <c r="P69" s="176"/>
      <c r="Q69" s="176"/>
      <c r="R69" s="176"/>
      <c r="S69" s="176"/>
      <c r="T69" s="176"/>
      <c r="U69" s="176">
        <f t="shared" si="10"/>
        <v>0</v>
      </c>
      <c r="V69" s="462"/>
      <c r="W69" s="450">
        <f t="shared" si="11"/>
        <v>0</v>
      </c>
    </row>
    <row r="70" spans="1:23" ht="24.95" hidden="1" customHeight="1" x14ac:dyDescent="0.2">
      <c r="A70" s="40"/>
      <c r="B70" s="31"/>
      <c r="C70" s="41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>
        <f t="shared" si="9"/>
        <v>0</v>
      </c>
      <c r="P70" s="176"/>
      <c r="Q70" s="176"/>
      <c r="R70" s="176"/>
      <c r="S70" s="176"/>
      <c r="T70" s="176"/>
      <c r="U70" s="176">
        <f t="shared" si="10"/>
        <v>0</v>
      </c>
      <c r="V70" s="462"/>
      <c r="W70" s="450">
        <f t="shared" si="11"/>
        <v>0</v>
      </c>
    </row>
    <row r="71" spans="1:23" ht="24.95" hidden="1" customHeight="1" x14ac:dyDescent="0.2">
      <c r="A71" s="40"/>
      <c r="B71" s="31"/>
      <c r="C71" s="41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>
        <f t="shared" si="9"/>
        <v>0</v>
      </c>
      <c r="P71" s="176"/>
      <c r="Q71" s="176"/>
      <c r="R71" s="176"/>
      <c r="S71" s="176"/>
      <c r="T71" s="176"/>
      <c r="U71" s="176">
        <f t="shared" si="10"/>
        <v>0</v>
      </c>
      <c r="V71" s="462"/>
      <c r="W71" s="450">
        <f t="shared" si="11"/>
        <v>0</v>
      </c>
    </row>
    <row r="72" spans="1:23" ht="24.95" hidden="1" customHeight="1" thickBot="1" x14ac:dyDescent="0.25">
      <c r="A72" s="40"/>
      <c r="B72" s="32"/>
      <c r="C72" s="34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>
        <f t="shared" si="9"/>
        <v>0</v>
      </c>
      <c r="P72" s="176"/>
      <c r="Q72" s="176"/>
      <c r="R72" s="176"/>
      <c r="S72" s="176"/>
      <c r="T72" s="176"/>
      <c r="U72" s="176">
        <f t="shared" si="10"/>
        <v>0</v>
      </c>
      <c r="V72" s="462"/>
      <c r="W72" s="450"/>
    </row>
    <row r="73" spans="1:23" ht="24.95" hidden="1" customHeight="1" thickTop="1" thickBot="1" x14ac:dyDescent="0.25">
      <c r="A73" s="42"/>
      <c r="B73" s="112" t="s">
        <v>68</v>
      </c>
      <c r="C73" s="44" t="s">
        <v>19</v>
      </c>
      <c r="D73" s="180">
        <f t="shared" ref="D73:Q73" si="12">SUM(D62:D65)</f>
        <v>0</v>
      </c>
      <c r="E73" s="180">
        <f t="shared" si="12"/>
        <v>0</v>
      </c>
      <c r="F73" s="180">
        <f t="shared" si="12"/>
        <v>0</v>
      </c>
      <c r="G73" s="180">
        <f t="shared" si="12"/>
        <v>0</v>
      </c>
      <c r="H73" s="180">
        <f t="shared" si="12"/>
        <v>0</v>
      </c>
      <c r="I73" s="180">
        <f t="shared" si="12"/>
        <v>0</v>
      </c>
      <c r="J73" s="180">
        <f t="shared" si="12"/>
        <v>0</v>
      </c>
      <c r="K73" s="180">
        <f t="shared" si="12"/>
        <v>0</v>
      </c>
      <c r="L73" s="180">
        <f t="shared" si="12"/>
        <v>0</v>
      </c>
      <c r="M73" s="180">
        <f t="shared" si="12"/>
        <v>0</v>
      </c>
      <c r="N73" s="180">
        <f>SUM(N62:N65)</f>
        <v>0</v>
      </c>
      <c r="O73" s="180">
        <f t="shared" si="12"/>
        <v>0</v>
      </c>
      <c r="P73" s="180"/>
      <c r="Q73" s="180">
        <f t="shared" si="12"/>
        <v>0</v>
      </c>
      <c r="R73" s="180">
        <f>SUM(R62:R65)</f>
        <v>0</v>
      </c>
      <c r="S73" s="180"/>
      <c r="T73" s="180">
        <f>SUM(T62:T65)</f>
        <v>0</v>
      </c>
      <c r="U73" s="180">
        <f>SUM(U62:U65)</f>
        <v>0</v>
      </c>
      <c r="V73" s="191"/>
      <c r="W73" s="452">
        <f>SUM(W62:W65)</f>
        <v>0</v>
      </c>
    </row>
    <row r="74" spans="1:23" ht="24.95" hidden="1" customHeight="1" thickTop="1" thickBot="1" x14ac:dyDescent="0.25">
      <c r="A74" s="42"/>
      <c r="B74" s="111" t="s">
        <v>212</v>
      </c>
      <c r="C74" s="44" t="s">
        <v>166</v>
      </c>
      <c r="D74" s="212">
        <f t="shared" ref="D74:O74" si="13">D25+D61+D73</f>
        <v>2251746.4070000001</v>
      </c>
      <c r="E74" s="212">
        <f t="shared" si="13"/>
        <v>0</v>
      </c>
      <c r="F74" s="212">
        <f t="shared" si="13"/>
        <v>59087</v>
      </c>
      <c r="G74" s="212">
        <f t="shared" si="13"/>
        <v>7538311</v>
      </c>
      <c r="H74" s="212">
        <f t="shared" si="13"/>
        <v>2064525.2949999999</v>
      </c>
      <c r="I74" s="212">
        <f t="shared" si="13"/>
        <v>810</v>
      </c>
      <c r="J74" s="212">
        <f t="shared" si="13"/>
        <v>73861.686000000002</v>
      </c>
      <c r="K74" s="212">
        <f t="shared" si="13"/>
        <v>284358.70500000002</v>
      </c>
      <c r="L74" s="212">
        <f t="shared" si="13"/>
        <v>881000</v>
      </c>
      <c r="M74" s="212">
        <f t="shared" si="13"/>
        <v>23000</v>
      </c>
      <c r="N74" s="212">
        <f t="shared" si="13"/>
        <v>2548</v>
      </c>
      <c r="O74" s="212">
        <f t="shared" si="13"/>
        <v>13179248.093</v>
      </c>
      <c r="P74" s="212"/>
      <c r="Q74" s="212">
        <f>Q25+Q61+Q73</f>
        <v>0</v>
      </c>
      <c r="R74" s="212">
        <f>R25+R61+R73</f>
        <v>4587899</v>
      </c>
      <c r="S74" s="212">
        <f>S25+S61+S73</f>
        <v>0</v>
      </c>
      <c r="T74" s="212">
        <f>T25+T61+T73</f>
        <v>0</v>
      </c>
      <c r="U74" s="212">
        <f>U25+U61+U73</f>
        <v>4587899</v>
      </c>
      <c r="V74" s="287"/>
      <c r="W74" s="452">
        <f>W25+W61+W73</f>
        <v>17767147.092999998</v>
      </c>
    </row>
    <row r="75" spans="1:23" ht="24.95" hidden="1" customHeight="1" x14ac:dyDescent="0.2">
      <c r="A75" s="189"/>
      <c r="B75" s="190" t="s">
        <v>300</v>
      </c>
      <c r="C75" s="230" t="s">
        <v>18</v>
      </c>
      <c r="D75" s="231">
        <f>D74</f>
        <v>2251746.4070000001</v>
      </c>
      <c r="E75" s="231">
        <f t="shared" ref="E75:L75" si="14">E74</f>
        <v>0</v>
      </c>
      <c r="F75" s="231">
        <f t="shared" si="14"/>
        <v>59087</v>
      </c>
      <c r="G75" s="231">
        <f t="shared" si="14"/>
        <v>7538311</v>
      </c>
      <c r="H75" s="231">
        <f t="shared" si="14"/>
        <v>2064525.2949999999</v>
      </c>
      <c r="I75" s="231">
        <f t="shared" si="14"/>
        <v>810</v>
      </c>
      <c r="J75" s="231">
        <f t="shared" si="14"/>
        <v>73861.686000000002</v>
      </c>
      <c r="K75" s="231">
        <f t="shared" si="14"/>
        <v>284358.70500000002</v>
      </c>
      <c r="L75" s="231">
        <f t="shared" si="14"/>
        <v>881000</v>
      </c>
      <c r="M75" s="231">
        <f t="shared" ref="M75:U75" si="15">M74</f>
        <v>23000</v>
      </c>
      <c r="N75" s="231">
        <f t="shared" si="15"/>
        <v>2548</v>
      </c>
      <c r="O75" s="231">
        <f t="shared" si="15"/>
        <v>13179248.093</v>
      </c>
      <c r="P75" s="231"/>
      <c r="Q75" s="231">
        <f t="shared" si="15"/>
        <v>0</v>
      </c>
      <c r="R75" s="231">
        <f t="shared" si="15"/>
        <v>4587899</v>
      </c>
      <c r="S75" s="231"/>
      <c r="T75" s="231">
        <f t="shared" si="15"/>
        <v>0</v>
      </c>
      <c r="U75" s="231">
        <f t="shared" si="15"/>
        <v>4587899</v>
      </c>
      <c r="V75" s="464"/>
      <c r="W75" s="453">
        <f t="shared" ref="W75:W96" si="16">O75+U75</f>
        <v>17767147.093000002</v>
      </c>
    </row>
    <row r="76" spans="1:23" ht="24.95" hidden="1" customHeight="1" x14ac:dyDescent="0.2">
      <c r="A76" s="40">
        <v>1</v>
      </c>
      <c r="B76" s="120" t="s">
        <v>304</v>
      </c>
      <c r="C76" s="28" t="s">
        <v>311</v>
      </c>
      <c r="D76" s="176"/>
      <c r="E76" s="176"/>
      <c r="F76" s="176">
        <f>1063</f>
        <v>1063</v>
      </c>
      <c r="G76" s="176"/>
      <c r="H76" s="176"/>
      <c r="I76" s="176"/>
      <c r="J76" s="176"/>
      <c r="K76" s="176"/>
      <c r="L76" s="176"/>
      <c r="M76" s="176"/>
      <c r="O76" s="176">
        <f t="shared" ref="O76:O96" si="17">SUM(D76:N76)</f>
        <v>1063</v>
      </c>
      <c r="P76" s="176"/>
      <c r="Q76" s="176"/>
      <c r="R76" s="176"/>
      <c r="S76" s="176"/>
      <c r="T76" s="176"/>
      <c r="U76" s="176">
        <f t="shared" ref="U76:U96" si="18">SUM(Q76:T76)</f>
        <v>0</v>
      </c>
      <c r="V76" s="462"/>
      <c r="W76" s="450">
        <f t="shared" si="16"/>
        <v>1063</v>
      </c>
    </row>
    <row r="77" spans="1:23" ht="24.95" hidden="1" customHeight="1" x14ac:dyDescent="0.2">
      <c r="A77" s="40">
        <v>2</v>
      </c>
      <c r="B77" s="347" t="s">
        <v>306</v>
      </c>
      <c r="C77" s="28" t="s">
        <v>313</v>
      </c>
      <c r="D77" s="176"/>
      <c r="E77" s="176"/>
      <c r="F77" s="176"/>
      <c r="G77" s="176"/>
      <c r="H77" s="176"/>
      <c r="I77" s="176">
        <f>2000</f>
        <v>2000</v>
      </c>
      <c r="J77" s="176"/>
      <c r="K77" s="176"/>
      <c r="L77" s="176"/>
      <c r="M77" s="176"/>
      <c r="O77" s="176">
        <f t="shared" si="17"/>
        <v>2000</v>
      </c>
      <c r="P77" s="176"/>
      <c r="Q77" s="176"/>
      <c r="R77" s="176"/>
      <c r="S77" s="176"/>
      <c r="T77" s="176"/>
      <c r="U77" s="176">
        <f t="shared" si="18"/>
        <v>0</v>
      </c>
      <c r="V77" s="462"/>
      <c r="W77" s="450">
        <f t="shared" si="16"/>
        <v>2000</v>
      </c>
    </row>
    <row r="78" spans="1:23" ht="24.95" hidden="1" customHeight="1" x14ac:dyDescent="0.2">
      <c r="A78" s="40">
        <v>3</v>
      </c>
      <c r="B78" s="238" t="s">
        <v>310</v>
      </c>
      <c r="C78" s="28" t="s">
        <v>315</v>
      </c>
      <c r="D78" s="176"/>
      <c r="E78" s="176"/>
      <c r="F78" s="176"/>
      <c r="G78" s="176"/>
      <c r="H78" s="176"/>
      <c r="I78" s="176">
        <f>1000+787</f>
        <v>1787</v>
      </c>
      <c r="J78" s="176"/>
      <c r="K78" s="176"/>
      <c r="L78" s="176"/>
      <c r="M78" s="176"/>
      <c r="O78" s="176">
        <f t="shared" si="17"/>
        <v>1787</v>
      </c>
      <c r="P78" s="176"/>
      <c r="Q78" s="176"/>
      <c r="R78" s="176"/>
      <c r="S78" s="176"/>
      <c r="T78" s="176"/>
      <c r="U78" s="176">
        <f>SUM(Q78:T78)</f>
        <v>0</v>
      </c>
      <c r="V78" s="462"/>
      <c r="W78" s="450">
        <f t="shared" si="16"/>
        <v>1787</v>
      </c>
    </row>
    <row r="79" spans="1:23" ht="24.95" hidden="1" customHeight="1" x14ac:dyDescent="0.2">
      <c r="A79" s="40">
        <v>4</v>
      </c>
      <c r="B79" s="30" t="s">
        <v>324</v>
      </c>
      <c r="C79" s="28" t="s">
        <v>243</v>
      </c>
      <c r="D79" s="176"/>
      <c r="E79" s="176"/>
      <c r="F79" s="176"/>
      <c r="G79" s="176"/>
      <c r="H79" s="176">
        <f>2400+648</f>
        <v>3048</v>
      </c>
      <c r="I79" s="176"/>
      <c r="J79" s="176"/>
      <c r="K79" s="176"/>
      <c r="L79" s="176"/>
      <c r="M79" s="176"/>
      <c r="N79" s="176"/>
      <c r="O79" s="176">
        <f t="shared" si="17"/>
        <v>3048</v>
      </c>
      <c r="P79" s="176"/>
      <c r="Q79" s="176"/>
      <c r="R79" s="176"/>
      <c r="S79" s="176"/>
      <c r="T79" s="176"/>
      <c r="U79" s="176">
        <f t="shared" si="18"/>
        <v>0</v>
      </c>
      <c r="V79" s="462"/>
      <c r="W79" s="450">
        <f t="shared" si="16"/>
        <v>3048</v>
      </c>
    </row>
    <row r="80" spans="1:23" ht="24.95" hidden="1" customHeight="1" x14ac:dyDescent="0.2">
      <c r="A80" s="40">
        <v>5</v>
      </c>
      <c r="B80" s="238" t="s">
        <v>344</v>
      </c>
      <c r="C80" s="28" t="s">
        <v>345</v>
      </c>
      <c r="D80" s="176"/>
      <c r="E80" s="176"/>
      <c r="F80" s="176"/>
      <c r="G80" s="176"/>
      <c r="H80" s="176"/>
      <c r="I80" s="176"/>
      <c r="J80" s="176">
        <f>1250</f>
        <v>1250</v>
      </c>
      <c r="L80" s="176"/>
      <c r="M80" s="176"/>
      <c r="N80" s="176"/>
      <c r="O80" s="176">
        <f t="shared" si="17"/>
        <v>1250</v>
      </c>
      <c r="P80" s="176"/>
      <c r="Q80" s="176"/>
      <c r="R80" s="176"/>
      <c r="S80" s="176"/>
      <c r="T80" s="176"/>
      <c r="U80" s="176">
        <f t="shared" si="18"/>
        <v>0</v>
      </c>
      <c r="V80" s="462"/>
      <c r="W80" s="450">
        <f t="shared" si="16"/>
        <v>1250</v>
      </c>
    </row>
    <row r="81" spans="1:23" ht="24.95" hidden="1" customHeight="1" x14ac:dyDescent="0.2">
      <c r="A81" s="40">
        <v>6</v>
      </c>
      <c r="B81" s="30" t="s">
        <v>371</v>
      </c>
      <c r="C81" s="28" t="s">
        <v>370</v>
      </c>
      <c r="D81" s="176"/>
      <c r="E81" s="176"/>
      <c r="F81" s="176">
        <f>125</f>
        <v>125</v>
      </c>
      <c r="G81" s="176"/>
      <c r="H81" s="176"/>
      <c r="I81" s="176"/>
      <c r="J81" s="176"/>
      <c r="K81" s="176"/>
      <c r="L81" s="176"/>
      <c r="M81" s="176"/>
      <c r="N81" s="176"/>
      <c r="O81" s="176">
        <f t="shared" si="17"/>
        <v>125</v>
      </c>
      <c r="P81" s="176"/>
      <c r="Q81" s="176"/>
      <c r="R81" s="176"/>
      <c r="S81" s="176"/>
      <c r="T81" s="176"/>
      <c r="U81" s="176">
        <f t="shared" si="18"/>
        <v>0</v>
      </c>
      <c r="V81" s="462"/>
      <c r="W81" s="450">
        <f t="shared" si="16"/>
        <v>125</v>
      </c>
    </row>
    <row r="82" spans="1:23" ht="24.95" hidden="1" customHeight="1" x14ac:dyDescent="0.2">
      <c r="A82" s="40">
        <v>7</v>
      </c>
      <c r="B82" s="240" t="s">
        <v>372</v>
      </c>
      <c r="C82" s="33" t="s">
        <v>373</v>
      </c>
      <c r="D82" s="176"/>
      <c r="E82" s="176"/>
      <c r="F82" s="176"/>
      <c r="G82" s="176"/>
      <c r="H82" s="176">
        <f>35.3</f>
        <v>35.299999999999997</v>
      </c>
      <c r="I82" s="176"/>
      <c r="J82" s="176"/>
      <c r="K82" s="176"/>
      <c r="L82" s="176">
        <f>353</f>
        <v>353</v>
      </c>
      <c r="M82" s="176"/>
      <c r="N82" s="176"/>
      <c r="O82" s="176">
        <f t="shared" si="17"/>
        <v>388.3</v>
      </c>
      <c r="P82" s="176"/>
      <c r="Q82" s="176"/>
      <c r="R82" s="176"/>
      <c r="S82" s="176"/>
      <c r="T82" s="176"/>
      <c r="U82" s="176">
        <f t="shared" si="18"/>
        <v>0</v>
      </c>
      <c r="V82" s="462"/>
      <c r="W82" s="450">
        <f t="shared" si="16"/>
        <v>388.3</v>
      </c>
    </row>
    <row r="83" spans="1:23" ht="24.95" hidden="1" customHeight="1" x14ac:dyDescent="0.2">
      <c r="A83" s="40">
        <v>8</v>
      </c>
      <c r="B83" s="240" t="s">
        <v>395</v>
      </c>
      <c r="C83" s="34" t="s">
        <v>396</v>
      </c>
      <c r="D83" s="176">
        <f>1029</f>
        <v>1029</v>
      </c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176">
        <f t="shared" si="17"/>
        <v>1029</v>
      </c>
      <c r="P83" s="176"/>
      <c r="Q83" s="176"/>
      <c r="R83" s="176"/>
      <c r="S83" s="176"/>
      <c r="T83" s="176"/>
      <c r="U83" s="176">
        <f t="shared" si="18"/>
        <v>0</v>
      </c>
      <c r="V83" s="462"/>
      <c r="W83" s="450">
        <f t="shared" si="16"/>
        <v>1029</v>
      </c>
    </row>
    <row r="84" spans="1:23" ht="24.95" hidden="1" customHeight="1" x14ac:dyDescent="0.2">
      <c r="A84" s="40">
        <v>9</v>
      </c>
      <c r="B84" s="31" t="s">
        <v>385</v>
      </c>
      <c r="C84" s="41" t="s">
        <v>223</v>
      </c>
      <c r="D84" s="176">
        <f>8280.578</f>
        <v>8280.5779999999995</v>
      </c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>
        <f t="shared" si="17"/>
        <v>8280.5779999999995</v>
      </c>
      <c r="P84" s="176"/>
      <c r="Q84" s="176"/>
      <c r="R84" s="176"/>
      <c r="S84" s="176"/>
      <c r="T84" s="176"/>
      <c r="U84" s="176">
        <f t="shared" si="18"/>
        <v>0</v>
      </c>
      <c r="V84" s="462"/>
      <c r="W84" s="450">
        <f t="shared" si="16"/>
        <v>8280.5779999999995</v>
      </c>
    </row>
    <row r="85" spans="1:23" ht="24.95" hidden="1" customHeight="1" x14ac:dyDescent="0.2">
      <c r="A85" s="40">
        <v>10</v>
      </c>
      <c r="B85" s="237" t="s">
        <v>386</v>
      </c>
      <c r="C85" s="41" t="s">
        <v>223</v>
      </c>
      <c r="D85" s="176">
        <f>10321.925</f>
        <v>10321.924999999999</v>
      </c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>
        <f>SUM(D85:N85)</f>
        <v>10321.924999999999</v>
      </c>
      <c r="P85" s="176"/>
      <c r="Q85" s="176"/>
      <c r="R85" s="176"/>
      <c r="S85" s="176"/>
      <c r="T85" s="176"/>
      <c r="U85" s="176">
        <f>SUM(Q85:T85)</f>
        <v>0</v>
      </c>
      <c r="V85" s="462"/>
      <c r="W85" s="450">
        <f>O85+U85</f>
        <v>10321.924999999999</v>
      </c>
    </row>
    <row r="86" spans="1:23" ht="24.95" hidden="1" customHeight="1" x14ac:dyDescent="0.2">
      <c r="A86" s="40">
        <v>11</v>
      </c>
      <c r="B86" s="237" t="s">
        <v>386</v>
      </c>
      <c r="C86" s="41" t="s">
        <v>389</v>
      </c>
      <c r="D86" s="176">
        <f>6993.89</f>
        <v>6993.89</v>
      </c>
      <c r="E86" s="176"/>
      <c r="F86" s="176"/>
      <c r="G86" s="176"/>
      <c r="H86" s="176"/>
      <c r="I86" s="176"/>
      <c r="J86" s="176"/>
      <c r="K86" s="176"/>
      <c r="L86" s="176"/>
      <c r="M86" s="176"/>
      <c r="N86" s="176"/>
      <c r="O86" s="176">
        <f t="shared" si="17"/>
        <v>6993.89</v>
      </c>
      <c r="P86" s="176"/>
      <c r="Q86" s="176"/>
      <c r="R86" s="176"/>
      <c r="S86" s="176"/>
      <c r="T86" s="176"/>
      <c r="U86" s="176">
        <f t="shared" si="18"/>
        <v>0</v>
      </c>
      <c r="V86" s="462"/>
      <c r="W86" s="450">
        <f t="shared" si="16"/>
        <v>6993.89</v>
      </c>
    </row>
    <row r="87" spans="1:23" ht="24.95" hidden="1" customHeight="1" x14ac:dyDescent="0.2">
      <c r="A87" s="40">
        <v>12</v>
      </c>
      <c r="B87" s="237" t="s">
        <v>417</v>
      </c>
      <c r="C87" s="41" t="s">
        <v>418</v>
      </c>
      <c r="D87" s="176">
        <f>3384.423</f>
        <v>3384.4229999999998</v>
      </c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>
        <f t="shared" si="17"/>
        <v>3384.4229999999998</v>
      </c>
      <c r="P87" s="176"/>
      <c r="Q87" s="176"/>
      <c r="R87" s="176"/>
      <c r="S87" s="176"/>
      <c r="T87" s="176"/>
      <c r="U87" s="176">
        <f t="shared" si="18"/>
        <v>0</v>
      </c>
      <c r="V87" s="462"/>
      <c r="W87" s="450">
        <f t="shared" si="16"/>
        <v>3384.4229999999998</v>
      </c>
    </row>
    <row r="88" spans="1:23" ht="24.95" hidden="1" customHeight="1" x14ac:dyDescent="0.2">
      <c r="A88" s="40">
        <v>13</v>
      </c>
      <c r="B88" s="237" t="s">
        <v>417</v>
      </c>
      <c r="C88" s="41" t="s">
        <v>419</v>
      </c>
      <c r="D88" s="176">
        <v>2257.328</v>
      </c>
      <c r="E88" s="176"/>
      <c r="F88" s="176"/>
      <c r="G88" s="176"/>
      <c r="H88" s="176"/>
      <c r="I88" s="176"/>
      <c r="J88" s="176"/>
      <c r="K88" s="176"/>
      <c r="L88" s="176"/>
      <c r="M88" s="176"/>
      <c r="N88" s="176"/>
      <c r="O88" s="176">
        <f t="shared" si="17"/>
        <v>2257.328</v>
      </c>
      <c r="P88" s="176"/>
      <c r="Q88" s="176"/>
      <c r="R88" s="176"/>
      <c r="S88" s="176"/>
      <c r="T88" s="176"/>
      <c r="U88" s="176">
        <f t="shared" si="18"/>
        <v>0</v>
      </c>
      <c r="V88" s="462"/>
      <c r="W88" s="450">
        <f t="shared" si="16"/>
        <v>2257.328</v>
      </c>
    </row>
    <row r="89" spans="1:23" ht="24.95" hidden="1" customHeight="1" x14ac:dyDescent="0.2">
      <c r="A89" s="40">
        <v>14</v>
      </c>
      <c r="B89" s="31" t="s">
        <v>410</v>
      </c>
      <c r="C89" s="41" t="s">
        <v>411</v>
      </c>
      <c r="D89" s="176">
        <f>1486.027+4342.892</f>
        <v>5828.9189999999999</v>
      </c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O89" s="176">
        <f t="shared" si="17"/>
        <v>5828.9189999999999</v>
      </c>
      <c r="P89" s="176"/>
      <c r="Q89" s="176"/>
      <c r="R89" s="176"/>
      <c r="S89" s="176"/>
      <c r="T89" s="176"/>
      <c r="U89" s="176">
        <f t="shared" si="18"/>
        <v>0</v>
      </c>
      <c r="V89" s="462"/>
      <c r="W89" s="450">
        <f t="shared" si="16"/>
        <v>5828.9189999999999</v>
      </c>
    </row>
    <row r="90" spans="1:23" ht="24.95" hidden="1" customHeight="1" x14ac:dyDescent="0.2">
      <c r="A90" s="40">
        <v>15</v>
      </c>
      <c r="B90" s="238" t="s">
        <v>421</v>
      </c>
      <c r="C90" s="41" t="s">
        <v>422</v>
      </c>
      <c r="D90" s="176">
        <f>1950</f>
        <v>1950</v>
      </c>
      <c r="E90" s="176"/>
      <c r="G90" s="176"/>
      <c r="H90" s="176"/>
      <c r="I90" s="176"/>
      <c r="J90" s="176"/>
      <c r="K90" s="176"/>
      <c r="L90" s="176"/>
      <c r="M90" s="176"/>
      <c r="N90" s="176"/>
      <c r="O90" s="176">
        <f>SUM(D90:N90)</f>
        <v>1950</v>
      </c>
      <c r="P90" s="176"/>
      <c r="Q90" s="176"/>
      <c r="R90" s="176"/>
      <c r="S90" s="176"/>
      <c r="T90" s="176"/>
      <c r="U90" s="176">
        <f t="shared" si="18"/>
        <v>0</v>
      </c>
      <c r="V90" s="462"/>
      <c r="W90" s="450">
        <f t="shared" si="16"/>
        <v>1950</v>
      </c>
    </row>
    <row r="91" spans="1:23" ht="24.95" hidden="1" customHeight="1" x14ac:dyDescent="0.2">
      <c r="A91" s="40">
        <v>16</v>
      </c>
      <c r="B91" s="45" t="s">
        <v>425</v>
      </c>
      <c r="C91" s="33" t="s">
        <v>482</v>
      </c>
      <c r="D91" s="176"/>
      <c r="E91" s="176"/>
      <c r="F91" s="176"/>
      <c r="G91" s="176">
        <f>200</f>
        <v>200</v>
      </c>
      <c r="H91" s="176">
        <f>220+60+1032+115+15+934</f>
        <v>2376</v>
      </c>
      <c r="I91" s="176"/>
      <c r="J91" s="176"/>
      <c r="K91" s="176"/>
      <c r="L91" s="176"/>
      <c r="M91" s="176"/>
      <c r="N91" s="176"/>
      <c r="O91" s="176">
        <f t="shared" si="17"/>
        <v>2576</v>
      </c>
      <c r="P91" s="176"/>
      <c r="Q91" s="176"/>
      <c r="R91" s="176"/>
      <c r="S91" s="176"/>
      <c r="T91" s="176"/>
      <c r="U91" s="176">
        <f t="shared" si="18"/>
        <v>0</v>
      </c>
      <c r="V91" s="462"/>
      <c r="W91" s="450">
        <f t="shared" si="16"/>
        <v>2576</v>
      </c>
    </row>
    <row r="92" spans="1:23" ht="24.95" hidden="1" customHeight="1" x14ac:dyDescent="0.2">
      <c r="A92" s="40">
        <v>17</v>
      </c>
      <c r="B92" s="126" t="s">
        <v>427</v>
      </c>
      <c r="C92" s="41" t="s">
        <v>428</v>
      </c>
      <c r="D92" s="176"/>
      <c r="E92" s="176"/>
      <c r="F92" s="176"/>
      <c r="G92" s="176"/>
      <c r="H92" s="176">
        <f>270</f>
        <v>270</v>
      </c>
      <c r="I92" s="176"/>
      <c r="J92" s="176"/>
      <c r="K92" s="176"/>
      <c r="L92" s="176">
        <f>1000</f>
        <v>1000</v>
      </c>
      <c r="M92" s="176"/>
      <c r="N92" s="176"/>
      <c r="O92" s="176">
        <f t="shared" si="17"/>
        <v>1270</v>
      </c>
      <c r="P92" s="176"/>
      <c r="Q92" s="176"/>
      <c r="R92" s="176"/>
      <c r="S92" s="176"/>
      <c r="T92" s="176"/>
      <c r="U92" s="176">
        <f t="shared" si="18"/>
        <v>0</v>
      </c>
      <c r="V92" s="462"/>
      <c r="W92" s="450">
        <f t="shared" si="16"/>
        <v>1270</v>
      </c>
    </row>
    <row r="93" spans="1:23" ht="24.95" hidden="1" customHeight="1" x14ac:dyDescent="0.2">
      <c r="A93" s="40">
        <v>18</v>
      </c>
      <c r="B93" s="188" t="s">
        <v>429</v>
      </c>
      <c r="C93" s="41" t="s">
        <v>430</v>
      </c>
      <c r="D93" s="176"/>
      <c r="E93" s="176"/>
      <c r="F93" s="176"/>
      <c r="G93" s="176"/>
      <c r="H93" s="176">
        <f>56</f>
        <v>56</v>
      </c>
      <c r="I93" s="176"/>
      <c r="J93" s="176"/>
      <c r="K93" s="176"/>
      <c r="L93" s="176"/>
      <c r="M93" s="176"/>
      <c r="N93" s="176"/>
      <c r="O93" s="176">
        <f t="shared" si="17"/>
        <v>56</v>
      </c>
      <c r="P93" s="176"/>
      <c r="Q93" s="176"/>
      <c r="R93" s="176"/>
      <c r="S93" s="176"/>
      <c r="T93" s="176"/>
      <c r="U93" s="176">
        <f t="shared" si="18"/>
        <v>0</v>
      </c>
      <c r="V93" s="462"/>
      <c r="W93" s="450">
        <f t="shared" si="16"/>
        <v>56</v>
      </c>
    </row>
    <row r="94" spans="1:23" ht="24.95" hidden="1" customHeight="1" x14ac:dyDescent="0.2">
      <c r="A94" s="40">
        <v>19</v>
      </c>
      <c r="B94" s="188" t="s">
        <v>439</v>
      </c>
      <c r="C94" s="41" t="s">
        <v>440</v>
      </c>
      <c r="D94" s="176"/>
      <c r="E94" s="176"/>
      <c r="F94" s="176">
        <f>61+43</f>
        <v>104</v>
      </c>
      <c r="G94" s="176"/>
      <c r="H94" s="176">
        <f>2170+5300+666+221+408</f>
        <v>8765</v>
      </c>
      <c r="I94" s="176">
        <f>289</f>
        <v>289</v>
      </c>
      <c r="J94" s="176"/>
      <c r="K94" s="176"/>
      <c r="L94" s="176"/>
      <c r="M94" s="176"/>
      <c r="N94" s="176"/>
      <c r="O94" s="176">
        <f t="shared" si="17"/>
        <v>9158</v>
      </c>
      <c r="P94" s="176"/>
      <c r="Q94" s="176"/>
      <c r="R94" s="176"/>
      <c r="S94" s="176"/>
      <c r="T94" s="176"/>
      <c r="U94" s="176">
        <f t="shared" si="18"/>
        <v>0</v>
      </c>
      <c r="V94" s="462"/>
      <c r="W94" s="450">
        <f t="shared" si="16"/>
        <v>9158</v>
      </c>
    </row>
    <row r="95" spans="1:23" ht="24.95" hidden="1" customHeight="1" x14ac:dyDescent="0.2">
      <c r="A95" s="40">
        <v>20</v>
      </c>
      <c r="B95" s="571" t="s">
        <v>458</v>
      </c>
      <c r="C95" s="41" t="s">
        <v>243</v>
      </c>
      <c r="D95" s="176"/>
      <c r="E95" s="176"/>
      <c r="F95" s="176"/>
      <c r="G95" s="176"/>
      <c r="H95" s="176">
        <f>700+189</f>
        <v>889</v>
      </c>
      <c r="I95" s="176"/>
      <c r="J95" s="176"/>
      <c r="K95" s="176"/>
      <c r="L95" s="176"/>
      <c r="M95" s="176"/>
      <c r="N95" s="176"/>
      <c r="O95" s="176">
        <f t="shared" si="17"/>
        <v>889</v>
      </c>
      <c r="P95" s="176"/>
      <c r="Q95" s="176"/>
      <c r="R95" s="176"/>
      <c r="S95" s="176"/>
      <c r="T95" s="176"/>
      <c r="U95" s="176">
        <f t="shared" si="18"/>
        <v>0</v>
      </c>
      <c r="V95" s="462"/>
      <c r="W95" s="450">
        <f t="shared" si="16"/>
        <v>889</v>
      </c>
    </row>
    <row r="96" spans="1:23" ht="24.95" hidden="1" customHeight="1" x14ac:dyDescent="0.2">
      <c r="A96" s="40">
        <v>21</v>
      </c>
      <c r="B96" s="126"/>
      <c r="C96" s="41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>
        <f t="shared" si="17"/>
        <v>0</v>
      </c>
      <c r="P96" s="176"/>
      <c r="Q96" s="176"/>
      <c r="R96" s="176"/>
      <c r="S96" s="176"/>
      <c r="T96" s="176"/>
      <c r="U96" s="176">
        <f t="shared" si="18"/>
        <v>0</v>
      </c>
      <c r="V96" s="462"/>
      <c r="W96" s="450">
        <f t="shared" si="16"/>
        <v>0</v>
      </c>
    </row>
    <row r="97" spans="1:24" ht="24.95" hidden="1" customHeight="1" x14ac:dyDescent="0.2">
      <c r="A97" s="40"/>
      <c r="B97" s="126"/>
      <c r="C97" s="41"/>
      <c r="D97" s="176"/>
      <c r="E97" s="176"/>
      <c r="F97" s="176"/>
      <c r="G97" s="176"/>
      <c r="H97" s="176"/>
      <c r="I97" s="176"/>
      <c r="J97" s="176"/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462"/>
      <c r="W97" s="450"/>
    </row>
    <row r="98" spans="1:24" ht="13.5" hidden="1" customHeight="1" thickBot="1" x14ac:dyDescent="0.25">
      <c r="A98" s="40"/>
      <c r="B98" s="32"/>
      <c r="C98" s="34"/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462"/>
      <c r="W98" s="450"/>
    </row>
    <row r="99" spans="1:24" ht="24.95" hidden="1" customHeight="1" thickTop="1" thickBot="1" x14ac:dyDescent="0.25">
      <c r="A99" s="46"/>
      <c r="B99" s="42" t="s">
        <v>300</v>
      </c>
      <c r="C99" s="44" t="s">
        <v>19</v>
      </c>
      <c r="D99" s="212">
        <f t="shared" ref="D99:O99" si="19">SUM(D76:D98)</f>
        <v>40046.062999999995</v>
      </c>
      <c r="E99" s="212">
        <f t="shared" si="19"/>
        <v>0</v>
      </c>
      <c r="F99" s="212">
        <f t="shared" si="19"/>
        <v>1292</v>
      </c>
      <c r="G99" s="212">
        <f t="shared" si="19"/>
        <v>200</v>
      </c>
      <c r="H99" s="212">
        <f t="shared" si="19"/>
        <v>15439.3</v>
      </c>
      <c r="I99" s="212">
        <f t="shared" si="19"/>
        <v>4076</v>
      </c>
      <c r="J99" s="212">
        <f t="shared" si="19"/>
        <v>1250</v>
      </c>
      <c r="K99" s="212">
        <f t="shared" si="19"/>
        <v>0</v>
      </c>
      <c r="L99" s="212">
        <f t="shared" si="19"/>
        <v>1353</v>
      </c>
      <c r="M99" s="212">
        <f t="shared" si="19"/>
        <v>0</v>
      </c>
      <c r="N99" s="212">
        <f t="shared" si="19"/>
        <v>0</v>
      </c>
      <c r="O99" s="212">
        <f t="shared" si="19"/>
        <v>63656.363000000005</v>
      </c>
      <c r="P99" s="350"/>
      <c r="Q99" s="212">
        <f>SUM(Q76:Q98)</f>
        <v>0</v>
      </c>
      <c r="R99" s="212">
        <f>SUM(R76:R98)</f>
        <v>0</v>
      </c>
      <c r="S99" s="212">
        <f>SUM(S76:S98)</f>
        <v>0</v>
      </c>
      <c r="T99" s="212">
        <f>SUM(T76:T98)</f>
        <v>0</v>
      </c>
      <c r="U99" s="212">
        <f>SUM(U76:U98)</f>
        <v>0</v>
      </c>
      <c r="V99" s="465"/>
      <c r="W99" s="452">
        <f>O99+U99</f>
        <v>63656.363000000005</v>
      </c>
    </row>
    <row r="100" spans="1:24" ht="24.95" hidden="1" customHeight="1" thickTop="1" x14ac:dyDescent="0.2">
      <c r="A100" s="215"/>
      <c r="B100" s="232"/>
      <c r="C100" s="596"/>
      <c r="D100" s="597"/>
      <c r="E100" s="270"/>
      <c r="F100" s="270"/>
      <c r="G100" s="270"/>
      <c r="H100" s="270"/>
      <c r="I100" s="270"/>
      <c r="J100" s="270"/>
      <c r="K100" s="270"/>
      <c r="L100" s="270"/>
      <c r="M100" s="270"/>
      <c r="N100" s="270"/>
      <c r="O100" s="270"/>
      <c r="P100" s="270"/>
      <c r="Q100" s="270"/>
      <c r="R100" s="270"/>
      <c r="S100" s="270"/>
      <c r="T100" s="270"/>
      <c r="U100" s="270"/>
      <c r="V100" s="466"/>
      <c r="W100" s="454"/>
      <c r="X100" s="29"/>
    </row>
    <row r="101" spans="1:24" ht="24.95" hidden="1" customHeight="1" x14ac:dyDescent="0.2">
      <c r="A101" s="40"/>
      <c r="B101" s="48"/>
      <c r="C101" s="28" t="s">
        <v>479</v>
      </c>
      <c r="D101" s="161"/>
      <c r="E101" s="161"/>
      <c r="F101" s="161"/>
      <c r="G101" s="161"/>
      <c r="H101" s="176">
        <f>10550+2491+2848</f>
        <v>15889</v>
      </c>
      <c r="I101" s="161"/>
      <c r="J101" s="161"/>
      <c r="K101" s="161"/>
      <c r="L101" s="161"/>
      <c r="M101" s="161"/>
      <c r="N101" s="161"/>
      <c r="O101" s="161">
        <f t="shared" ref="O101:O115" si="20">SUM(D101:N101)</f>
        <v>15889</v>
      </c>
      <c r="P101" s="161"/>
      <c r="Q101" s="161"/>
      <c r="R101" s="161"/>
      <c r="S101" s="161"/>
      <c r="T101" s="161"/>
      <c r="U101" s="161">
        <f t="shared" ref="U101:U115" si="21">SUM(Q101:T101)</f>
        <v>0</v>
      </c>
      <c r="V101" s="467"/>
      <c r="W101" s="450">
        <f t="shared" ref="W101:W116" si="22">O101+U101</f>
        <v>15889</v>
      </c>
    </row>
    <row r="102" spans="1:24" ht="24.95" hidden="1" customHeight="1" thickBot="1" x14ac:dyDescent="0.25">
      <c r="A102" s="40"/>
      <c r="B102" s="48"/>
      <c r="C102" s="28"/>
      <c r="D102" s="161"/>
      <c r="E102" s="161"/>
      <c r="F102" s="161"/>
      <c r="G102" s="161"/>
      <c r="H102" s="176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467"/>
      <c r="W102" s="450"/>
    </row>
    <row r="103" spans="1:24" ht="24.95" hidden="1" customHeight="1" x14ac:dyDescent="0.2">
      <c r="A103" s="40"/>
      <c r="B103" s="48" t="s">
        <v>22</v>
      </c>
      <c r="C103" s="49" t="s">
        <v>23</v>
      </c>
      <c r="D103" s="375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>
        <f t="shared" si="20"/>
        <v>0</v>
      </c>
      <c r="P103" s="161"/>
      <c r="Q103" s="161"/>
      <c r="R103" s="161"/>
      <c r="S103" s="161"/>
      <c r="T103" s="161"/>
      <c r="U103" s="161">
        <f t="shared" si="21"/>
        <v>0</v>
      </c>
      <c r="V103" s="467"/>
      <c r="W103" s="450">
        <f t="shared" si="22"/>
        <v>0</v>
      </c>
    </row>
    <row r="104" spans="1:24" ht="24.95" hidden="1" customHeight="1" x14ac:dyDescent="0.2">
      <c r="A104" s="40"/>
      <c r="B104" s="48" t="s">
        <v>24</v>
      </c>
      <c r="C104" s="49" t="s">
        <v>23</v>
      </c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>
        <f t="shared" si="20"/>
        <v>0</v>
      </c>
      <c r="P104" s="161"/>
      <c r="Q104" s="161"/>
      <c r="R104" s="161"/>
      <c r="S104" s="161"/>
      <c r="T104" s="161"/>
      <c r="U104" s="161">
        <f t="shared" si="21"/>
        <v>0</v>
      </c>
      <c r="V104" s="467"/>
      <c r="W104" s="450">
        <f t="shared" si="22"/>
        <v>0</v>
      </c>
    </row>
    <row r="105" spans="1:24" ht="24.95" hidden="1" customHeight="1" x14ac:dyDescent="0.2">
      <c r="A105" s="40"/>
      <c r="B105" s="48" t="s">
        <v>27</v>
      </c>
      <c r="C105" s="49" t="s">
        <v>23</v>
      </c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>
        <f t="shared" si="20"/>
        <v>0</v>
      </c>
      <c r="P105" s="161"/>
      <c r="Q105" s="161"/>
      <c r="R105" s="161"/>
      <c r="S105" s="161"/>
      <c r="T105" s="161"/>
      <c r="U105" s="161">
        <f t="shared" si="21"/>
        <v>0</v>
      </c>
      <c r="V105" s="467"/>
      <c r="W105" s="450">
        <f t="shared" si="22"/>
        <v>0</v>
      </c>
    </row>
    <row r="106" spans="1:24" ht="24.95" hidden="1" customHeight="1" x14ac:dyDescent="0.2">
      <c r="A106" s="40"/>
      <c r="B106" s="48" t="s">
        <v>78</v>
      </c>
      <c r="C106" s="49" t="s">
        <v>23</v>
      </c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>
        <f t="shared" si="20"/>
        <v>0</v>
      </c>
      <c r="P106" s="161"/>
      <c r="Q106" s="161"/>
      <c r="R106" s="161"/>
      <c r="S106" s="161"/>
      <c r="T106" s="161"/>
      <c r="U106" s="161">
        <f t="shared" si="21"/>
        <v>0</v>
      </c>
      <c r="V106" s="467"/>
      <c r="W106" s="450">
        <f t="shared" si="22"/>
        <v>0</v>
      </c>
    </row>
    <row r="107" spans="1:24" ht="24.95" hidden="1" customHeight="1" x14ac:dyDescent="0.2">
      <c r="A107" s="40"/>
      <c r="B107" s="48" t="s">
        <v>28</v>
      </c>
      <c r="C107" s="49" t="s">
        <v>23</v>
      </c>
      <c r="D107" s="161"/>
      <c r="E107" s="161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>
        <f t="shared" si="20"/>
        <v>0</v>
      </c>
      <c r="P107" s="161"/>
      <c r="Q107" s="161"/>
      <c r="R107" s="161"/>
      <c r="S107" s="161"/>
      <c r="T107" s="161"/>
      <c r="U107" s="161">
        <f t="shared" si="21"/>
        <v>0</v>
      </c>
      <c r="V107" s="467"/>
      <c r="W107" s="450">
        <f t="shared" si="22"/>
        <v>0</v>
      </c>
    </row>
    <row r="108" spans="1:24" ht="24.95" hidden="1" customHeight="1" x14ac:dyDescent="0.2">
      <c r="A108" s="40"/>
      <c r="B108" s="48" t="s">
        <v>124</v>
      </c>
      <c r="C108" s="49" t="s">
        <v>23</v>
      </c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>
        <f t="shared" si="20"/>
        <v>0</v>
      </c>
      <c r="Q108" s="161"/>
      <c r="R108" s="161"/>
      <c r="S108" s="161"/>
      <c r="T108" s="161"/>
      <c r="U108" s="161">
        <f t="shared" si="21"/>
        <v>0</v>
      </c>
      <c r="V108" s="467"/>
      <c r="W108" s="450">
        <f t="shared" si="22"/>
        <v>0</v>
      </c>
    </row>
    <row r="109" spans="1:24" ht="24.95" hidden="1" customHeight="1" x14ac:dyDescent="0.2">
      <c r="A109" s="40"/>
      <c r="B109" s="48" t="s">
        <v>81</v>
      </c>
      <c r="C109" s="49" t="s">
        <v>23</v>
      </c>
      <c r="D109" s="161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>
        <f t="shared" si="20"/>
        <v>0</v>
      </c>
      <c r="Q109" s="161"/>
      <c r="R109" s="161"/>
      <c r="S109" s="161"/>
      <c r="T109" s="161"/>
      <c r="U109" s="161">
        <f t="shared" si="21"/>
        <v>0</v>
      </c>
      <c r="V109" s="467"/>
      <c r="W109" s="450">
        <f t="shared" si="22"/>
        <v>0</v>
      </c>
    </row>
    <row r="110" spans="1:24" ht="24.95" hidden="1" customHeight="1" x14ac:dyDescent="0.2">
      <c r="A110" s="40"/>
      <c r="B110" s="48" t="s">
        <v>82</v>
      </c>
      <c r="C110" s="49" t="s">
        <v>23</v>
      </c>
      <c r="D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>
        <f t="shared" si="20"/>
        <v>0</v>
      </c>
      <c r="P110" s="161"/>
      <c r="Q110" s="161"/>
      <c r="R110" s="161"/>
      <c r="S110" s="161"/>
      <c r="T110" s="161"/>
      <c r="U110" s="161">
        <f t="shared" si="21"/>
        <v>0</v>
      </c>
      <c r="V110" s="467"/>
      <c r="W110" s="450">
        <f t="shared" si="22"/>
        <v>0</v>
      </c>
    </row>
    <row r="111" spans="1:24" ht="24.95" hidden="1" customHeight="1" x14ac:dyDescent="0.2">
      <c r="A111" s="40"/>
      <c r="B111" s="48" t="s">
        <v>31</v>
      </c>
      <c r="C111" s="49" t="s">
        <v>23</v>
      </c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>
        <f t="shared" si="20"/>
        <v>0</v>
      </c>
      <c r="P111" s="472"/>
      <c r="Q111" s="161"/>
      <c r="R111" s="161"/>
      <c r="S111" s="161"/>
      <c r="T111" s="161"/>
      <c r="U111" s="161">
        <f t="shared" si="21"/>
        <v>0</v>
      </c>
      <c r="V111" s="467"/>
      <c r="W111" s="450">
        <f t="shared" si="22"/>
        <v>0</v>
      </c>
    </row>
    <row r="112" spans="1:24" ht="24.95" hidden="1" customHeight="1" x14ac:dyDescent="0.2">
      <c r="A112" s="40"/>
      <c r="B112" s="48" t="s">
        <v>83</v>
      </c>
      <c r="C112" s="49" t="s">
        <v>23</v>
      </c>
      <c r="D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>
        <f t="shared" si="20"/>
        <v>0</v>
      </c>
      <c r="P112" s="161"/>
      <c r="Q112" s="161"/>
      <c r="R112" s="161"/>
      <c r="S112" s="161"/>
      <c r="T112" s="161"/>
      <c r="U112" s="161">
        <f t="shared" si="21"/>
        <v>0</v>
      </c>
      <c r="V112" s="467"/>
      <c r="W112" s="450">
        <f t="shared" si="22"/>
        <v>0</v>
      </c>
    </row>
    <row r="113" spans="1:24" ht="24.95" hidden="1" customHeight="1" x14ac:dyDescent="0.2">
      <c r="A113" s="40"/>
      <c r="B113" s="48" t="s">
        <v>125</v>
      </c>
      <c r="C113" s="49" t="s">
        <v>23</v>
      </c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>
        <f t="shared" si="20"/>
        <v>0</v>
      </c>
      <c r="P113" s="161"/>
      <c r="Q113" s="161"/>
      <c r="R113" s="161"/>
      <c r="S113" s="161"/>
      <c r="T113" s="161"/>
      <c r="U113" s="161">
        <f t="shared" si="21"/>
        <v>0</v>
      </c>
      <c r="V113" s="467"/>
      <c r="W113" s="450">
        <f t="shared" si="22"/>
        <v>0</v>
      </c>
    </row>
    <row r="114" spans="1:24" ht="24.95" hidden="1" customHeight="1" x14ac:dyDescent="0.2">
      <c r="A114" s="40"/>
      <c r="B114" s="48" t="s">
        <v>126</v>
      </c>
      <c r="C114" s="49" t="s">
        <v>23</v>
      </c>
      <c r="D114" s="161"/>
      <c r="E114" s="161"/>
      <c r="F114" s="161"/>
      <c r="G114" s="161"/>
      <c r="H114" s="161"/>
      <c r="I114" s="161"/>
      <c r="J114" s="161"/>
      <c r="K114" s="161"/>
      <c r="L114" s="161"/>
      <c r="M114" s="161"/>
      <c r="N114" s="161"/>
      <c r="O114" s="161">
        <f t="shared" si="20"/>
        <v>0</v>
      </c>
      <c r="P114" s="161"/>
      <c r="Q114" s="161"/>
      <c r="R114" s="161"/>
      <c r="S114" s="161"/>
      <c r="T114" s="161"/>
      <c r="U114" s="161">
        <f t="shared" si="21"/>
        <v>0</v>
      </c>
      <c r="V114" s="467"/>
      <c r="W114" s="450">
        <f t="shared" si="22"/>
        <v>0</v>
      </c>
    </row>
    <row r="115" spans="1:24" ht="24.95" hidden="1" customHeight="1" x14ac:dyDescent="0.2">
      <c r="A115" s="40"/>
      <c r="B115" s="48"/>
      <c r="C115" s="41" t="s">
        <v>75</v>
      </c>
      <c r="D115" s="161"/>
      <c r="E115" s="161"/>
      <c r="F115" s="161"/>
      <c r="G115" s="161"/>
      <c r="H115" s="161"/>
      <c r="I115" s="161"/>
      <c r="J115" s="161"/>
      <c r="K115" s="161"/>
      <c r="L115" s="161"/>
      <c r="M115" s="161"/>
      <c r="N115" s="161"/>
      <c r="O115" s="161">
        <f t="shared" si="20"/>
        <v>0</v>
      </c>
      <c r="P115" s="161"/>
      <c r="Q115" s="161"/>
      <c r="R115" s="161"/>
      <c r="S115" s="161"/>
      <c r="T115" s="161"/>
      <c r="U115" s="161">
        <f t="shared" si="21"/>
        <v>0</v>
      </c>
      <c r="V115" s="467"/>
      <c r="W115" s="450">
        <f t="shared" si="22"/>
        <v>0</v>
      </c>
    </row>
    <row r="116" spans="1:24" ht="24.95" hidden="1" customHeight="1" thickBot="1" x14ac:dyDescent="0.25">
      <c r="A116" s="40"/>
      <c r="B116" s="48"/>
      <c r="C116" s="49"/>
      <c r="D116" s="161"/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467"/>
      <c r="W116" s="450">
        <f t="shared" si="22"/>
        <v>0</v>
      </c>
    </row>
    <row r="117" spans="1:24" ht="24.95" hidden="1" customHeight="1" thickTop="1" thickBot="1" x14ac:dyDescent="0.25">
      <c r="A117" s="47"/>
      <c r="B117" s="43"/>
      <c r="C117" s="44" t="s">
        <v>32</v>
      </c>
      <c r="D117" s="169">
        <f t="shared" ref="D117:O117" si="23">SUM(D101:D116)</f>
        <v>0</v>
      </c>
      <c r="E117" s="169">
        <f t="shared" si="23"/>
        <v>0</v>
      </c>
      <c r="F117" s="169">
        <f t="shared" si="23"/>
        <v>0</v>
      </c>
      <c r="G117" s="169">
        <f t="shared" si="23"/>
        <v>0</v>
      </c>
      <c r="H117" s="169">
        <f t="shared" si="23"/>
        <v>15889</v>
      </c>
      <c r="I117" s="169">
        <f t="shared" si="23"/>
        <v>0</v>
      </c>
      <c r="J117" s="169">
        <f t="shared" si="23"/>
        <v>0</v>
      </c>
      <c r="K117" s="169">
        <f t="shared" si="23"/>
        <v>0</v>
      </c>
      <c r="L117" s="169">
        <f t="shared" si="23"/>
        <v>0</v>
      </c>
      <c r="M117" s="169">
        <f t="shared" si="23"/>
        <v>0</v>
      </c>
      <c r="N117" s="169">
        <f t="shared" si="23"/>
        <v>0</v>
      </c>
      <c r="O117" s="169">
        <f t="shared" si="23"/>
        <v>15889</v>
      </c>
      <c r="P117" s="169"/>
      <c r="Q117" s="169">
        <f>SUM(Q101:Q116)</f>
        <v>0</v>
      </c>
      <c r="R117" s="169">
        <f>SUM(R101:R116)</f>
        <v>0</v>
      </c>
      <c r="S117" s="169">
        <f>SUM(S101:S116)</f>
        <v>0</v>
      </c>
      <c r="T117" s="169">
        <f>SUM(T101:T116)</f>
        <v>0</v>
      </c>
      <c r="U117" s="169">
        <f>SUM(U101:U116)</f>
        <v>0</v>
      </c>
      <c r="V117" s="286"/>
      <c r="W117" s="455">
        <f>O117+U117</f>
        <v>15889</v>
      </c>
    </row>
    <row r="118" spans="1:24" ht="9.9499999999999993" hidden="1" customHeight="1" thickTop="1" x14ac:dyDescent="0.2">
      <c r="A118" s="194"/>
      <c r="B118" s="195"/>
      <c r="C118" s="196"/>
      <c r="D118" s="197"/>
      <c r="E118" s="197"/>
      <c r="F118" s="197"/>
      <c r="G118" s="197"/>
      <c r="H118" s="197"/>
      <c r="I118" s="197"/>
      <c r="J118" s="197"/>
      <c r="K118" s="197"/>
      <c r="L118" s="197"/>
      <c r="M118" s="197"/>
      <c r="N118" s="197"/>
      <c r="O118" s="197"/>
      <c r="P118" s="197"/>
      <c r="Q118" s="197"/>
      <c r="R118" s="197"/>
      <c r="S118" s="197"/>
      <c r="T118" s="197"/>
      <c r="U118" s="468"/>
      <c r="V118" s="198"/>
      <c r="W118" s="456"/>
    </row>
    <row r="119" spans="1:24" ht="24.95" hidden="1" customHeight="1" x14ac:dyDescent="0.2">
      <c r="A119" s="199"/>
      <c r="B119" s="200"/>
      <c r="C119" s="208" t="s">
        <v>75</v>
      </c>
      <c r="D119" s="201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>
        <f>SUM(D119:N119)</f>
        <v>0</v>
      </c>
      <c r="P119" s="201"/>
      <c r="Q119" s="201"/>
      <c r="R119" s="201"/>
      <c r="S119" s="201"/>
      <c r="T119" s="201"/>
      <c r="U119" s="469">
        <f>SUM(Q119:T119)</f>
        <v>0</v>
      </c>
      <c r="V119" s="470"/>
      <c r="W119" s="450">
        <f>O119+U119</f>
        <v>0</v>
      </c>
    </row>
    <row r="120" spans="1:24" ht="9.9499999999999993" hidden="1" customHeight="1" thickBot="1" x14ac:dyDescent="0.25">
      <c r="A120" s="203"/>
      <c r="B120" s="204"/>
      <c r="C120" s="205"/>
      <c r="D120" s="206"/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206"/>
      <c r="T120" s="206"/>
      <c r="U120" s="471"/>
      <c r="V120" s="207"/>
      <c r="W120" s="457"/>
    </row>
    <row r="121" spans="1:24" ht="24.95" hidden="1" customHeight="1" thickTop="1" thickBot="1" x14ac:dyDescent="0.25">
      <c r="A121" s="92"/>
      <c r="B121" s="92" t="s">
        <v>104</v>
      </c>
      <c r="C121" s="44" t="s">
        <v>166</v>
      </c>
      <c r="D121" s="212">
        <f t="shared" ref="D121:O121" si="24">D75+D99+D117</f>
        <v>2291792.4700000002</v>
      </c>
      <c r="E121" s="212">
        <f t="shared" si="24"/>
        <v>0</v>
      </c>
      <c r="F121" s="212">
        <f t="shared" si="24"/>
        <v>60379</v>
      </c>
      <c r="G121" s="212">
        <f t="shared" si="24"/>
        <v>7538511</v>
      </c>
      <c r="H121" s="212">
        <f t="shared" si="24"/>
        <v>2095853.595</v>
      </c>
      <c r="I121" s="212">
        <f t="shared" si="24"/>
        <v>4886</v>
      </c>
      <c r="J121" s="212">
        <f t="shared" si="24"/>
        <v>75111.686000000002</v>
      </c>
      <c r="K121" s="212">
        <f t="shared" si="24"/>
        <v>284358.70500000002</v>
      </c>
      <c r="L121" s="212">
        <f t="shared" si="24"/>
        <v>882353</v>
      </c>
      <c r="M121" s="212">
        <f t="shared" si="24"/>
        <v>23000</v>
      </c>
      <c r="N121" s="212">
        <f t="shared" si="24"/>
        <v>2548</v>
      </c>
      <c r="O121" s="212">
        <f t="shared" si="24"/>
        <v>13258793.456</v>
      </c>
      <c r="P121" s="212"/>
      <c r="Q121" s="212">
        <f>Q75+Q99+Q117</f>
        <v>0</v>
      </c>
      <c r="R121" s="212">
        <f>R75+R99+R117</f>
        <v>4587899</v>
      </c>
      <c r="S121" s="212">
        <f>S75+S99+S117</f>
        <v>0</v>
      </c>
      <c r="T121" s="212">
        <f>T75+T99+T117</f>
        <v>0</v>
      </c>
      <c r="U121" s="212">
        <f>U75+U99+U117</f>
        <v>4587899</v>
      </c>
      <c r="V121" s="287"/>
      <c r="W121" s="452">
        <f>W75+W99+W117</f>
        <v>17846692.456000004</v>
      </c>
      <c r="X121" s="29"/>
    </row>
    <row r="122" spans="1:24" ht="24.95" hidden="1" customHeight="1" thickTop="1" x14ac:dyDescent="0.2">
      <c r="A122" s="598"/>
      <c r="B122" s="598" t="s">
        <v>483</v>
      </c>
      <c r="C122" s="616" t="s">
        <v>18</v>
      </c>
      <c r="D122" s="599">
        <f t="shared" ref="D122:U122" si="25">D121</f>
        <v>2291792.4700000002</v>
      </c>
      <c r="E122" s="599">
        <f t="shared" si="25"/>
        <v>0</v>
      </c>
      <c r="F122" s="599">
        <f t="shared" si="25"/>
        <v>60379</v>
      </c>
      <c r="G122" s="599">
        <f t="shared" si="25"/>
        <v>7538511</v>
      </c>
      <c r="H122" s="599">
        <f t="shared" si="25"/>
        <v>2095853.595</v>
      </c>
      <c r="I122" s="599">
        <f t="shared" si="25"/>
        <v>4886</v>
      </c>
      <c r="J122" s="599">
        <f t="shared" si="25"/>
        <v>75111.686000000002</v>
      </c>
      <c r="K122" s="599">
        <f t="shared" si="25"/>
        <v>284358.70500000002</v>
      </c>
      <c r="L122" s="599">
        <f t="shared" si="25"/>
        <v>882353</v>
      </c>
      <c r="M122" s="599">
        <f t="shared" si="25"/>
        <v>23000</v>
      </c>
      <c r="N122" s="599">
        <f t="shared" si="25"/>
        <v>2548</v>
      </c>
      <c r="O122" s="599">
        <f t="shared" si="25"/>
        <v>13258793.456</v>
      </c>
      <c r="P122" s="599"/>
      <c r="Q122" s="599">
        <f t="shared" si="25"/>
        <v>0</v>
      </c>
      <c r="R122" s="599">
        <f t="shared" si="25"/>
        <v>4587899</v>
      </c>
      <c r="S122" s="599">
        <f t="shared" si="25"/>
        <v>0</v>
      </c>
      <c r="T122" s="599">
        <f t="shared" si="25"/>
        <v>0</v>
      </c>
      <c r="U122" s="599">
        <f t="shared" si="25"/>
        <v>4587899</v>
      </c>
      <c r="V122" s="600"/>
      <c r="W122" s="601">
        <f>O122+U122+W119</f>
        <v>17846692.456</v>
      </c>
    </row>
    <row r="123" spans="1:24" ht="20.100000000000001" hidden="1" customHeight="1" x14ac:dyDescent="0.2">
      <c r="A123" s="40">
        <v>1</v>
      </c>
      <c r="B123" s="614" t="s">
        <v>522</v>
      </c>
      <c r="C123" s="33" t="s">
        <v>518</v>
      </c>
      <c r="D123" s="176">
        <v>6534.277</v>
      </c>
      <c r="E123" s="176"/>
      <c r="G123" s="176"/>
      <c r="H123" s="184"/>
      <c r="I123" s="176"/>
      <c r="J123" s="176"/>
      <c r="K123" s="176"/>
      <c r="L123" s="176"/>
      <c r="M123" s="176"/>
      <c r="N123" s="176"/>
      <c r="O123" s="176">
        <f>SUM(D123:N123)</f>
        <v>6534.277</v>
      </c>
      <c r="P123" s="176"/>
      <c r="Q123" s="176"/>
      <c r="R123" s="176"/>
      <c r="S123" s="176"/>
      <c r="T123" s="176"/>
      <c r="U123" s="176">
        <f t="shared" ref="U123:U150" si="26">SUM(Q123:T123)</f>
        <v>0</v>
      </c>
      <c r="V123" s="462"/>
      <c r="W123" s="450">
        <f t="shared" ref="W123:W150" si="27">O123+U123</f>
        <v>6534.277</v>
      </c>
    </row>
    <row r="124" spans="1:24" ht="20.100000000000001" hidden="1" customHeight="1" x14ac:dyDescent="0.2">
      <c r="A124" s="40">
        <v>2</v>
      </c>
      <c r="B124" s="50" t="s">
        <v>522</v>
      </c>
      <c r="C124" s="33" t="s">
        <v>523</v>
      </c>
      <c r="D124" s="176">
        <v>4758.4359999999997</v>
      </c>
      <c r="E124" s="176"/>
      <c r="G124" s="176"/>
      <c r="H124" s="184"/>
      <c r="I124" s="176"/>
      <c r="J124" s="176"/>
      <c r="K124" s="176"/>
      <c r="L124" s="176"/>
      <c r="M124" s="176"/>
      <c r="N124" s="176"/>
      <c r="O124" s="176">
        <f>SUM(D124:N124)</f>
        <v>4758.4359999999997</v>
      </c>
      <c r="P124" s="176"/>
      <c r="Q124" s="176"/>
      <c r="R124" s="176"/>
      <c r="S124" s="176"/>
      <c r="T124" s="176"/>
      <c r="U124" s="176">
        <f t="shared" si="26"/>
        <v>0</v>
      </c>
      <c r="V124" s="462"/>
      <c r="W124" s="450">
        <f t="shared" si="27"/>
        <v>4758.4359999999997</v>
      </c>
    </row>
    <row r="125" spans="1:24" ht="20.100000000000001" hidden="1" customHeight="1" x14ac:dyDescent="0.2">
      <c r="A125" s="610">
        <v>3</v>
      </c>
      <c r="B125" s="611" t="s">
        <v>517</v>
      </c>
      <c r="C125" s="33" t="s">
        <v>518</v>
      </c>
      <c r="D125" s="176">
        <f>2699.131</f>
        <v>2699.1309999999999</v>
      </c>
      <c r="E125" s="176"/>
      <c r="G125" s="176"/>
      <c r="H125" s="184"/>
      <c r="I125" s="176"/>
      <c r="J125" s="176"/>
      <c r="K125" s="176"/>
      <c r="L125" s="176"/>
      <c r="M125" s="176"/>
      <c r="N125" s="176"/>
      <c r="O125" s="176">
        <f>SUM(D125:N125)</f>
        <v>2699.1309999999999</v>
      </c>
      <c r="P125" s="176"/>
      <c r="Q125" s="176"/>
      <c r="R125" s="176"/>
      <c r="S125" s="176"/>
      <c r="T125" s="176"/>
      <c r="U125" s="176">
        <f>SUM(Q125:T125)</f>
        <v>0</v>
      </c>
      <c r="V125" s="462"/>
      <c r="W125" s="450">
        <f>O125+U125</f>
        <v>2699.1309999999999</v>
      </c>
    </row>
    <row r="126" spans="1:24" ht="20.100000000000001" hidden="1" customHeight="1" x14ac:dyDescent="0.2">
      <c r="A126" s="40"/>
      <c r="B126" s="50"/>
      <c r="C126" s="33"/>
      <c r="D126" s="184"/>
      <c r="E126" s="176"/>
      <c r="F126" s="176"/>
      <c r="G126" s="176"/>
      <c r="H126" s="184"/>
      <c r="I126" s="176"/>
      <c r="J126" s="176"/>
      <c r="K126" s="176"/>
      <c r="L126" s="176"/>
      <c r="M126" s="176"/>
      <c r="N126" s="176"/>
      <c r="O126" s="176">
        <f t="shared" ref="O126:O150" si="28">SUM(D126:N126)</f>
        <v>0</v>
      </c>
      <c r="P126" s="176"/>
      <c r="Q126" s="176"/>
      <c r="R126" s="176"/>
      <c r="S126" s="176"/>
      <c r="T126" s="176"/>
      <c r="U126" s="176">
        <f t="shared" si="26"/>
        <v>0</v>
      </c>
      <c r="V126" s="462"/>
      <c r="W126" s="450">
        <f t="shared" si="27"/>
        <v>0</v>
      </c>
    </row>
    <row r="127" spans="1:24" ht="20.100000000000001" hidden="1" customHeight="1" x14ac:dyDescent="0.2">
      <c r="A127" s="40"/>
      <c r="B127" s="50"/>
      <c r="C127" s="33"/>
      <c r="D127" s="184"/>
      <c r="E127" s="176"/>
      <c r="F127" s="176"/>
      <c r="G127" s="176"/>
      <c r="H127" s="184"/>
      <c r="I127" s="176"/>
      <c r="J127" s="176"/>
      <c r="K127" s="176"/>
      <c r="L127" s="176"/>
      <c r="M127" s="176"/>
      <c r="N127" s="355"/>
      <c r="O127" s="176">
        <f t="shared" si="28"/>
        <v>0</v>
      </c>
      <c r="P127" s="176"/>
      <c r="Q127" s="176"/>
      <c r="R127" s="176"/>
      <c r="S127" s="176"/>
      <c r="T127" s="176"/>
      <c r="U127" s="176">
        <f t="shared" si="26"/>
        <v>0</v>
      </c>
      <c r="V127" s="462"/>
      <c r="W127" s="450">
        <f t="shared" si="27"/>
        <v>0</v>
      </c>
    </row>
    <row r="128" spans="1:24" ht="20.100000000000001" hidden="1" customHeight="1" x14ac:dyDescent="0.2">
      <c r="A128" s="40"/>
      <c r="B128" s="50"/>
      <c r="C128" s="33"/>
      <c r="D128" s="184"/>
      <c r="E128" s="176"/>
      <c r="F128" s="176"/>
      <c r="G128" s="176"/>
      <c r="H128" s="184"/>
      <c r="I128" s="176"/>
      <c r="J128" s="176"/>
      <c r="K128" s="176"/>
      <c r="L128" s="176"/>
      <c r="M128" s="176"/>
      <c r="O128" s="176">
        <f t="shared" si="28"/>
        <v>0</v>
      </c>
      <c r="P128" s="176"/>
      <c r="Q128" s="176"/>
      <c r="R128" s="176"/>
      <c r="S128" s="176"/>
      <c r="T128" s="176"/>
      <c r="U128" s="176">
        <f t="shared" si="26"/>
        <v>0</v>
      </c>
      <c r="V128" s="462"/>
      <c r="W128" s="450">
        <f t="shared" si="27"/>
        <v>0</v>
      </c>
    </row>
    <row r="129" spans="1:23" ht="20.100000000000001" hidden="1" customHeight="1" x14ac:dyDescent="0.2">
      <c r="A129" s="40"/>
      <c r="B129" s="301"/>
      <c r="C129" s="33"/>
      <c r="D129" s="184"/>
      <c r="E129" s="176"/>
      <c r="F129" s="176"/>
      <c r="G129" s="176"/>
      <c r="H129" s="184"/>
      <c r="I129" s="176"/>
      <c r="J129" s="176"/>
      <c r="K129" s="176"/>
      <c r="L129" s="176"/>
      <c r="M129" s="176"/>
      <c r="N129" s="176"/>
      <c r="O129" s="176">
        <f t="shared" si="28"/>
        <v>0</v>
      </c>
      <c r="P129" s="176"/>
      <c r="Q129" s="176"/>
      <c r="R129" s="176"/>
      <c r="S129" s="176"/>
      <c r="T129" s="176"/>
      <c r="U129" s="176">
        <f t="shared" si="26"/>
        <v>0</v>
      </c>
      <c r="V129" s="462"/>
      <c r="W129" s="450">
        <f t="shared" si="27"/>
        <v>0</v>
      </c>
    </row>
    <row r="130" spans="1:23" ht="20.100000000000001" hidden="1" customHeight="1" x14ac:dyDescent="0.2">
      <c r="A130" s="40"/>
      <c r="B130" s="50"/>
      <c r="C130" s="33"/>
      <c r="D130" s="184"/>
      <c r="E130" s="176"/>
      <c r="F130" s="176"/>
      <c r="G130" s="176"/>
      <c r="H130" s="184"/>
      <c r="I130" s="176"/>
      <c r="J130" s="176"/>
      <c r="K130" s="176"/>
      <c r="L130" s="176"/>
      <c r="M130" s="176"/>
      <c r="N130" s="176"/>
      <c r="O130" s="176">
        <f t="shared" si="28"/>
        <v>0</v>
      </c>
      <c r="P130" s="176"/>
      <c r="Q130" s="176"/>
      <c r="R130" s="176"/>
      <c r="S130" s="176"/>
      <c r="T130" s="176"/>
      <c r="U130" s="176">
        <f t="shared" si="26"/>
        <v>0</v>
      </c>
      <c r="V130" s="462"/>
      <c r="W130" s="450">
        <f t="shared" si="27"/>
        <v>0</v>
      </c>
    </row>
    <row r="131" spans="1:23" ht="20.100000000000001" hidden="1" customHeight="1" x14ac:dyDescent="0.2">
      <c r="A131" s="40"/>
      <c r="B131" s="50"/>
      <c r="C131" s="33"/>
      <c r="D131" s="184"/>
      <c r="E131" s="176"/>
      <c r="F131" s="176"/>
      <c r="G131" s="176"/>
      <c r="H131" s="184"/>
      <c r="I131" s="176"/>
      <c r="J131" s="176"/>
      <c r="K131" s="176"/>
      <c r="L131" s="176"/>
      <c r="M131" s="176"/>
      <c r="N131" s="176"/>
      <c r="O131" s="176">
        <f t="shared" si="28"/>
        <v>0</v>
      </c>
      <c r="P131" s="176"/>
      <c r="Q131" s="176"/>
      <c r="R131" s="176"/>
      <c r="S131" s="176"/>
      <c r="T131" s="176"/>
      <c r="U131" s="176">
        <f t="shared" si="26"/>
        <v>0</v>
      </c>
      <c r="V131" s="462"/>
      <c r="W131" s="450">
        <f t="shared" si="27"/>
        <v>0</v>
      </c>
    </row>
    <row r="132" spans="1:23" ht="20.100000000000001" hidden="1" customHeight="1" x14ac:dyDescent="0.2">
      <c r="A132" s="40"/>
      <c r="B132" s="50"/>
      <c r="C132" s="33"/>
      <c r="D132" s="184"/>
      <c r="E132" s="176"/>
      <c r="F132" s="176"/>
      <c r="G132" s="176"/>
      <c r="H132" s="184"/>
      <c r="I132" s="176"/>
      <c r="J132" s="176"/>
      <c r="K132" s="176"/>
      <c r="M132" s="176"/>
      <c r="N132" s="176"/>
      <c r="O132" s="176">
        <f t="shared" si="28"/>
        <v>0</v>
      </c>
      <c r="P132" s="176"/>
      <c r="Q132" s="176"/>
      <c r="R132" s="176"/>
      <c r="S132" s="176"/>
      <c r="T132" s="176"/>
      <c r="U132" s="176">
        <f t="shared" si="26"/>
        <v>0</v>
      </c>
      <c r="V132" s="462"/>
      <c r="W132" s="450">
        <f t="shared" si="27"/>
        <v>0</v>
      </c>
    </row>
    <row r="133" spans="1:23" ht="20.100000000000001" hidden="1" customHeight="1" x14ac:dyDescent="0.2">
      <c r="A133" s="40"/>
      <c r="B133" s="425"/>
      <c r="C133" s="33"/>
      <c r="D133" s="184"/>
      <c r="E133" s="176"/>
      <c r="F133" s="176"/>
      <c r="G133" s="176"/>
      <c r="H133" s="184"/>
      <c r="I133" s="176"/>
      <c r="J133" s="176"/>
      <c r="K133" s="176"/>
      <c r="M133" s="176"/>
      <c r="N133" s="176"/>
      <c r="O133" s="176">
        <f t="shared" si="28"/>
        <v>0</v>
      </c>
      <c r="P133" s="176"/>
      <c r="Q133" s="176"/>
      <c r="R133" s="176"/>
      <c r="S133" s="176"/>
      <c r="T133" s="176"/>
      <c r="U133" s="176">
        <f t="shared" si="26"/>
        <v>0</v>
      </c>
      <c r="V133" s="462"/>
      <c r="W133" s="450">
        <f t="shared" si="27"/>
        <v>0</v>
      </c>
    </row>
    <row r="134" spans="1:23" ht="20.100000000000001" hidden="1" customHeight="1" x14ac:dyDescent="0.2">
      <c r="A134" s="40"/>
      <c r="B134" s="425"/>
      <c r="C134" s="33"/>
      <c r="D134" s="184"/>
      <c r="E134" s="176"/>
      <c r="F134" s="176"/>
      <c r="G134" s="176"/>
      <c r="H134" s="184"/>
      <c r="I134" s="176"/>
      <c r="J134" s="176"/>
      <c r="K134" s="176"/>
      <c r="M134" s="176"/>
      <c r="N134" s="176"/>
      <c r="O134" s="176">
        <f t="shared" si="28"/>
        <v>0</v>
      </c>
      <c r="P134" s="176"/>
      <c r="Q134" s="176"/>
      <c r="R134" s="176"/>
      <c r="S134" s="176"/>
      <c r="T134" s="176"/>
      <c r="U134" s="176">
        <f t="shared" si="26"/>
        <v>0</v>
      </c>
      <c r="V134" s="462"/>
      <c r="W134" s="450">
        <f t="shared" si="27"/>
        <v>0</v>
      </c>
    </row>
    <row r="135" spans="1:23" ht="20.100000000000001" hidden="1" customHeight="1" x14ac:dyDescent="0.2">
      <c r="A135" s="40"/>
      <c r="B135" s="50"/>
      <c r="C135" s="33"/>
      <c r="D135" s="184"/>
      <c r="E135" s="176"/>
      <c r="F135" s="176"/>
      <c r="G135" s="176"/>
      <c r="H135" s="184"/>
      <c r="I135" s="176"/>
      <c r="J135" s="176"/>
      <c r="K135" s="176"/>
      <c r="L135" s="176"/>
      <c r="M135" s="176"/>
      <c r="N135" s="176"/>
      <c r="O135" s="176">
        <f t="shared" si="28"/>
        <v>0</v>
      </c>
      <c r="P135" s="176"/>
      <c r="Q135" s="176"/>
      <c r="R135" s="176"/>
      <c r="S135" s="176"/>
      <c r="T135" s="176"/>
      <c r="U135" s="176">
        <f t="shared" si="26"/>
        <v>0</v>
      </c>
      <c r="V135" s="473"/>
      <c r="W135" s="450">
        <f t="shared" si="27"/>
        <v>0</v>
      </c>
    </row>
    <row r="136" spans="1:23" ht="20.100000000000001" hidden="1" customHeight="1" x14ac:dyDescent="0.2">
      <c r="A136" s="40"/>
      <c r="B136" s="50"/>
      <c r="C136" s="33"/>
      <c r="D136" s="184"/>
      <c r="E136" s="176"/>
      <c r="F136" s="176"/>
      <c r="G136" s="176"/>
      <c r="H136" s="184"/>
      <c r="I136" s="176"/>
      <c r="J136" s="176"/>
      <c r="K136" s="176"/>
      <c r="L136" s="176"/>
      <c r="M136" s="176"/>
      <c r="N136" s="176"/>
      <c r="O136" s="176">
        <f t="shared" si="28"/>
        <v>0</v>
      </c>
      <c r="P136" s="176"/>
      <c r="Q136" s="176"/>
      <c r="R136" s="176"/>
      <c r="S136" s="176"/>
      <c r="T136" s="176"/>
      <c r="U136" s="176">
        <f t="shared" si="26"/>
        <v>0</v>
      </c>
      <c r="V136" s="462"/>
      <c r="W136" s="450">
        <f t="shared" si="27"/>
        <v>0</v>
      </c>
    </row>
    <row r="137" spans="1:23" ht="20.100000000000001" hidden="1" customHeight="1" x14ac:dyDescent="0.2">
      <c r="A137" s="40"/>
      <c r="B137" s="425"/>
      <c r="C137" s="33"/>
      <c r="D137" s="184"/>
      <c r="E137" s="176"/>
      <c r="F137" s="176"/>
      <c r="G137" s="176"/>
      <c r="H137" s="184"/>
      <c r="I137" s="176"/>
      <c r="J137" s="176"/>
      <c r="K137" s="176"/>
      <c r="L137" s="176"/>
      <c r="M137" s="176"/>
      <c r="N137" s="176"/>
      <c r="O137" s="176">
        <f t="shared" si="28"/>
        <v>0</v>
      </c>
      <c r="P137" s="176"/>
      <c r="Q137" s="176"/>
      <c r="R137" s="176"/>
      <c r="S137" s="176"/>
      <c r="T137" s="176"/>
      <c r="U137" s="176">
        <f t="shared" si="26"/>
        <v>0</v>
      </c>
      <c r="V137" s="462"/>
      <c r="W137" s="450">
        <f t="shared" si="27"/>
        <v>0</v>
      </c>
    </row>
    <row r="138" spans="1:23" ht="20.100000000000001" hidden="1" customHeight="1" x14ac:dyDescent="0.2">
      <c r="A138" s="40"/>
      <c r="B138" s="50"/>
      <c r="C138" s="33"/>
      <c r="D138" s="184"/>
      <c r="E138" s="176"/>
      <c r="F138" s="176"/>
      <c r="G138" s="176"/>
      <c r="H138" s="184"/>
      <c r="I138" s="176"/>
      <c r="J138" s="176"/>
      <c r="K138" s="176"/>
      <c r="L138" s="176"/>
      <c r="M138" s="176"/>
      <c r="N138" s="176"/>
      <c r="O138" s="176">
        <f t="shared" si="28"/>
        <v>0</v>
      </c>
      <c r="P138" s="176"/>
      <c r="Q138" s="176"/>
      <c r="R138" s="176"/>
      <c r="S138" s="176"/>
      <c r="T138" s="176"/>
      <c r="U138" s="176">
        <f t="shared" si="26"/>
        <v>0</v>
      </c>
      <c r="V138" s="462"/>
      <c r="W138" s="450">
        <f t="shared" si="27"/>
        <v>0</v>
      </c>
    </row>
    <row r="139" spans="1:23" ht="20.100000000000001" hidden="1" customHeight="1" x14ac:dyDescent="0.2">
      <c r="A139" s="40"/>
      <c r="B139" s="50"/>
      <c r="C139" s="33"/>
      <c r="D139" s="184"/>
      <c r="E139" s="176"/>
      <c r="F139" s="176"/>
      <c r="G139" s="176"/>
      <c r="H139" s="184"/>
      <c r="I139" s="176"/>
      <c r="J139" s="176"/>
      <c r="K139" s="176"/>
      <c r="L139" s="176"/>
      <c r="M139" s="176"/>
      <c r="N139" s="176"/>
      <c r="O139" s="176">
        <f t="shared" si="28"/>
        <v>0</v>
      </c>
      <c r="P139" s="176"/>
      <c r="Q139" s="176"/>
      <c r="R139" s="176"/>
      <c r="S139" s="176"/>
      <c r="T139" s="176"/>
      <c r="U139" s="176">
        <f t="shared" si="26"/>
        <v>0</v>
      </c>
      <c r="V139" s="462"/>
      <c r="W139" s="450">
        <f t="shared" si="27"/>
        <v>0</v>
      </c>
    </row>
    <row r="140" spans="1:23" ht="20.100000000000001" hidden="1" customHeight="1" x14ac:dyDescent="0.2">
      <c r="A140" s="40"/>
      <c r="B140" s="50"/>
      <c r="C140" s="33"/>
      <c r="D140" s="184"/>
      <c r="E140" s="176"/>
      <c r="F140" s="176"/>
      <c r="G140" s="176"/>
      <c r="H140" s="184"/>
      <c r="I140" s="176"/>
      <c r="J140" s="176"/>
      <c r="K140" s="176"/>
      <c r="L140" s="176"/>
      <c r="M140" s="176"/>
      <c r="N140" s="176"/>
      <c r="O140" s="176">
        <f t="shared" si="28"/>
        <v>0</v>
      </c>
      <c r="P140" s="176"/>
      <c r="Q140" s="176"/>
      <c r="R140" s="176"/>
      <c r="S140" s="176"/>
      <c r="T140" s="176"/>
      <c r="U140" s="176">
        <f t="shared" si="26"/>
        <v>0</v>
      </c>
      <c r="V140" s="462"/>
      <c r="W140" s="450">
        <f t="shared" si="27"/>
        <v>0</v>
      </c>
    </row>
    <row r="141" spans="1:23" ht="20.100000000000001" hidden="1" customHeight="1" x14ac:dyDescent="0.2">
      <c r="A141" s="40"/>
      <c r="B141" s="50"/>
      <c r="C141" s="33"/>
      <c r="D141" s="184"/>
      <c r="E141" s="176"/>
      <c r="F141" s="176"/>
      <c r="G141" s="176"/>
      <c r="H141" s="184"/>
      <c r="I141" s="176"/>
      <c r="J141" s="176"/>
      <c r="K141" s="176"/>
      <c r="L141" s="176"/>
      <c r="M141" s="176"/>
      <c r="N141" s="176"/>
      <c r="O141" s="176">
        <f t="shared" si="28"/>
        <v>0</v>
      </c>
      <c r="P141" s="176"/>
      <c r="Q141" s="176"/>
      <c r="R141" s="176"/>
      <c r="S141" s="176"/>
      <c r="T141" s="176"/>
      <c r="U141" s="176">
        <f t="shared" si="26"/>
        <v>0</v>
      </c>
      <c r="V141" s="462"/>
      <c r="W141" s="450">
        <f t="shared" si="27"/>
        <v>0</v>
      </c>
    </row>
    <row r="142" spans="1:23" ht="20.100000000000001" hidden="1" customHeight="1" x14ac:dyDescent="0.2">
      <c r="A142" s="40"/>
      <c r="B142" s="50"/>
      <c r="C142" s="33"/>
      <c r="D142" s="184"/>
      <c r="E142" s="176"/>
      <c r="F142" s="176"/>
      <c r="G142" s="176"/>
      <c r="H142" s="184"/>
      <c r="I142" s="176"/>
      <c r="J142" s="176"/>
      <c r="K142" s="176"/>
      <c r="L142" s="176"/>
      <c r="M142" s="176"/>
      <c r="N142" s="176"/>
      <c r="O142" s="176">
        <f t="shared" si="28"/>
        <v>0</v>
      </c>
      <c r="P142" s="176"/>
      <c r="Q142" s="176"/>
      <c r="R142" s="176"/>
      <c r="S142" s="176"/>
      <c r="T142" s="176"/>
      <c r="U142" s="176">
        <f t="shared" si="26"/>
        <v>0</v>
      </c>
      <c r="V142" s="462"/>
      <c r="W142" s="450">
        <f t="shared" si="27"/>
        <v>0</v>
      </c>
    </row>
    <row r="143" spans="1:23" ht="20.100000000000001" hidden="1" customHeight="1" x14ac:dyDescent="0.2">
      <c r="A143" s="40"/>
      <c r="B143" s="50"/>
      <c r="C143" s="33"/>
      <c r="D143" s="184"/>
      <c r="E143" s="176"/>
      <c r="F143" s="176"/>
      <c r="G143" s="176"/>
      <c r="H143" s="184"/>
      <c r="I143" s="176"/>
      <c r="J143" s="176"/>
      <c r="K143" s="176"/>
      <c r="L143" s="176"/>
      <c r="M143" s="176"/>
      <c r="N143" s="176"/>
      <c r="O143" s="176">
        <f t="shared" si="28"/>
        <v>0</v>
      </c>
      <c r="P143" s="176"/>
      <c r="Q143" s="176"/>
      <c r="R143" s="176"/>
      <c r="S143" s="176"/>
      <c r="T143" s="176"/>
      <c r="U143" s="176">
        <f t="shared" si="26"/>
        <v>0</v>
      </c>
      <c r="V143" s="462"/>
      <c r="W143" s="450">
        <f t="shared" si="27"/>
        <v>0</v>
      </c>
    </row>
    <row r="144" spans="1:23" ht="20.100000000000001" hidden="1" customHeight="1" x14ac:dyDescent="0.2">
      <c r="A144" s="40"/>
      <c r="B144" s="50"/>
      <c r="C144" s="33"/>
      <c r="D144" s="184"/>
      <c r="E144" s="176"/>
      <c r="F144" s="176"/>
      <c r="G144" s="176"/>
      <c r="H144" s="184"/>
      <c r="I144" s="176"/>
      <c r="J144" s="176"/>
      <c r="K144" s="176"/>
      <c r="L144" s="176"/>
      <c r="M144" s="176"/>
      <c r="N144" s="176"/>
      <c r="O144" s="176">
        <f t="shared" si="28"/>
        <v>0</v>
      </c>
      <c r="P144" s="176"/>
      <c r="Q144" s="176"/>
      <c r="R144" s="176"/>
      <c r="S144" s="176"/>
      <c r="T144" s="176"/>
      <c r="U144" s="176">
        <f t="shared" si="26"/>
        <v>0</v>
      </c>
      <c r="V144" s="462"/>
      <c r="W144" s="450">
        <f t="shared" si="27"/>
        <v>0</v>
      </c>
    </row>
    <row r="145" spans="1:23" ht="20.100000000000001" hidden="1" customHeight="1" x14ac:dyDescent="0.2">
      <c r="A145" s="40"/>
      <c r="B145" s="50"/>
      <c r="C145" s="33"/>
      <c r="D145" s="184"/>
      <c r="E145" s="176"/>
      <c r="F145" s="176"/>
      <c r="G145" s="176"/>
      <c r="H145" s="184"/>
      <c r="I145" s="176"/>
      <c r="J145" s="176"/>
      <c r="K145" s="176"/>
      <c r="L145" s="176"/>
      <c r="M145" s="176"/>
      <c r="N145" s="176"/>
      <c r="O145" s="176">
        <f t="shared" si="28"/>
        <v>0</v>
      </c>
      <c r="P145" s="176"/>
      <c r="Q145" s="176"/>
      <c r="R145" s="176"/>
      <c r="S145" s="176"/>
      <c r="T145" s="176"/>
      <c r="U145" s="176">
        <f t="shared" si="26"/>
        <v>0</v>
      </c>
      <c r="V145" s="462"/>
      <c r="W145" s="450">
        <f t="shared" si="27"/>
        <v>0</v>
      </c>
    </row>
    <row r="146" spans="1:23" ht="20.100000000000001" hidden="1" customHeight="1" x14ac:dyDescent="0.2">
      <c r="A146" s="40"/>
      <c r="B146" s="50"/>
      <c r="C146" s="33"/>
      <c r="D146" s="184"/>
      <c r="E146" s="176"/>
      <c r="F146" s="176"/>
      <c r="G146" s="176"/>
      <c r="H146" s="184"/>
      <c r="I146" s="176"/>
      <c r="J146" s="176"/>
      <c r="K146" s="176"/>
      <c r="L146" s="176"/>
      <c r="M146" s="176"/>
      <c r="N146" s="176"/>
      <c r="O146" s="176">
        <f t="shared" si="28"/>
        <v>0</v>
      </c>
      <c r="P146" s="176"/>
      <c r="Q146" s="176"/>
      <c r="R146" s="176"/>
      <c r="S146" s="176"/>
      <c r="T146" s="176"/>
      <c r="U146" s="176">
        <f t="shared" si="26"/>
        <v>0</v>
      </c>
      <c r="V146" s="462"/>
      <c r="W146" s="450">
        <f t="shared" si="27"/>
        <v>0</v>
      </c>
    </row>
    <row r="147" spans="1:23" ht="20.100000000000001" hidden="1" customHeight="1" x14ac:dyDescent="0.2">
      <c r="A147" s="40"/>
      <c r="B147" s="50"/>
      <c r="C147" s="39"/>
      <c r="D147" s="184"/>
      <c r="E147" s="176"/>
      <c r="F147" s="176"/>
      <c r="G147" s="176"/>
      <c r="H147" s="184"/>
      <c r="I147" s="176"/>
      <c r="J147" s="176"/>
      <c r="K147" s="176"/>
      <c r="L147" s="176"/>
      <c r="M147" s="176"/>
      <c r="N147" s="176"/>
      <c r="O147" s="176">
        <f t="shared" si="28"/>
        <v>0</v>
      </c>
      <c r="P147" s="176"/>
      <c r="Q147" s="176"/>
      <c r="R147" s="176"/>
      <c r="S147" s="176"/>
      <c r="T147" s="176"/>
      <c r="U147" s="176">
        <f t="shared" si="26"/>
        <v>0</v>
      </c>
      <c r="V147" s="462"/>
      <c r="W147" s="450">
        <f t="shared" si="27"/>
        <v>0</v>
      </c>
    </row>
    <row r="148" spans="1:23" ht="20.100000000000001" hidden="1" customHeight="1" x14ac:dyDescent="0.2">
      <c r="A148" s="40"/>
      <c r="B148" s="50"/>
      <c r="C148" s="33"/>
      <c r="D148" s="184"/>
      <c r="E148" s="176"/>
      <c r="F148" s="176"/>
      <c r="G148" s="176"/>
      <c r="H148" s="184"/>
      <c r="I148" s="176"/>
      <c r="J148" s="176"/>
      <c r="K148" s="176"/>
      <c r="L148" s="176"/>
      <c r="M148" s="176"/>
      <c r="N148" s="176"/>
      <c r="O148" s="176">
        <f t="shared" si="28"/>
        <v>0</v>
      </c>
      <c r="P148" s="176"/>
      <c r="Q148" s="176"/>
      <c r="R148" s="176"/>
      <c r="S148" s="176"/>
      <c r="T148" s="176"/>
      <c r="U148" s="176">
        <f t="shared" si="26"/>
        <v>0</v>
      </c>
      <c r="V148" s="462"/>
      <c r="W148" s="450">
        <f t="shared" si="27"/>
        <v>0</v>
      </c>
    </row>
    <row r="149" spans="1:23" ht="9.9499999999999993" hidden="1" customHeight="1" x14ac:dyDescent="0.2">
      <c r="A149" s="40"/>
      <c r="B149" s="50"/>
      <c r="C149" s="33"/>
      <c r="D149" s="184"/>
      <c r="E149" s="176"/>
      <c r="F149" s="176"/>
      <c r="G149" s="176"/>
      <c r="H149" s="184"/>
      <c r="I149" s="176"/>
      <c r="J149" s="176"/>
      <c r="K149" s="176"/>
      <c r="L149" s="176"/>
      <c r="M149" s="176"/>
      <c r="N149" s="176"/>
      <c r="O149" s="176"/>
      <c r="P149" s="176"/>
      <c r="Q149" s="176"/>
      <c r="R149" s="176"/>
      <c r="S149" s="176"/>
      <c r="T149" s="176"/>
      <c r="U149" s="176">
        <f t="shared" si="26"/>
        <v>0</v>
      </c>
      <c r="V149" s="462"/>
      <c r="W149" s="450">
        <f t="shared" si="27"/>
        <v>0</v>
      </c>
    </row>
    <row r="150" spans="1:23" ht="20.100000000000001" hidden="1" customHeight="1" x14ac:dyDescent="0.2">
      <c r="A150" s="40"/>
      <c r="B150" s="50"/>
      <c r="C150" s="33" t="s">
        <v>75</v>
      </c>
      <c r="D150" s="184"/>
      <c r="E150" s="176"/>
      <c r="F150" s="176"/>
      <c r="G150" s="176"/>
      <c r="H150" s="184"/>
      <c r="I150" s="176"/>
      <c r="J150" s="176"/>
      <c r="K150" s="176"/>
      <c r="L150" s="176"/>
      <c r="M150" s="176"/>
      <c r="N150" s="176"/>
      <c r="O150" s="176">
        <f t="shared" si="28"/>
        <v>0</v>
      </c>
      <c r="P150" s="176"/>
      <c r="Q150" s="176"/>
      <c r="R150" s="176"/>
      <c r="S150" s="176"/>
      <c r="T150" s="176"/>
      <c r="U150" s="176">
        <f t="shared" si="26"/>
        <v>0</v>
      </c>
      <c r="V150" s="462"/>
      <c r="W150" s="450">
        <f t="shared" si="27"/>
        <v>0</v>
      </c>
    </row>
    <row r="151" spans="1:23" ht="9.9499999999999993" hidden="1" customHeight="1" thickBot="1" x14ac:dyDescent="0.25">
      <c r="A151" s="40"/>
      <c r="B151" s="50"/>
      <c r="C151" s="328"/>
      <c r="D151" s="184"/>
      <c r="E151" s="176"/>
      <c r="F151" s="176"/>
      <c r="G151" s="176"/>
      <c r="H151" s="184"/>
      <c r="I151" s="176"/>
      <c r="J151" s="176"/>
      <c r="K151" s="176"/>
      <c r="L151" s="176"/>
      <c r="M151" s="176"/>
      <c r="N151" s="176"/>
      <c r="O151" s="176"/>
      <c r="P151" s="176"/>
      <c r="Q151" s="176"/>
      <c r="R151" s="176"/>
      <c r="S151" s="176"/>
      <c r="T151" s="176"/>
      <c r="U151" s="176"/>
      <c r="V151" s="462"/>
      <c r="W151" s="450"/>
    </row>
    <row r="152" spans="1:23" ht="24.95" hidden="1" customHeight="1" thickTop="1" thickBot="1" x14ac:dyDescent="0.25">
      <c r="A152" s="47"/>
      <c r="B152" s="272" t="s">
        <v>484</v>
      </c>
      <c r="C152" s="44" t="s">
        <v>33</v>
      </c>
      <c r="D152" s="185">
        <f>SUM(D123:D151)</f>
        <v>13991.843999999999</v>
      </c>
      <c r="E152" s="185">
        <f t="shared" ref="E152:U152" si="29">SUM(E123:E151)</f>
        <v>0</v>
      </c>
      <c r="F152" s="185">
        <f t="shared" si="29"/>
        <v>0</v>
      </c>
      <c r="G152" s="185">
        <f t="shared" si="29"/>
        <v>0</v>
      </c>
      <c r="H152" s="185">
        <f t="shared" si="29"/>
        <v>0</v>
      </c>
      <c r="I152" s="185">
        <f t="shared" si="29"/>
        <v>0</v>
      </c>
      <c r="J152" s="185">
        <f t="shared" si="29"/>
        <v>0</v>
      </c>
      <c r="K152" s="185">
        <f t="shared" si="29"/>
        <v>0</v>
      </c>
      <c r="L152" s="185">
        <f t="shared" si="29"/>
        <v>0</v>
      </c>
      <c r="M152" s="426">
        <f t="shared" si="29"/>
        <v>0</v>
      </c>
      <c r="N152" s="185">
        <f t="shared" si="29"/>
        <v>0</v>
      </c>
      <c r="O152" s="185">
        <f t="shared" si="29"/>
        <v>13991.843999999999</v>
      </c>
      <c r="P152" s="185"/>
      <c r="Q152" s="185">
        <f t="shared" si="29"/>
        <v>0</v>
      </c>
      <c r="R152" s="213">
        <f t="shared" si="29"/>
        <v>0</v>
      </c>
      <c r="S152" s="213">
        <f t="shared" si="29"/>
        <v>0</v>
      </c>
      <c r="T152" s="185">
        <f t="shared" si="29"/>
        <v>0</v>
      </c>
      <c r="U152" s="185">
        <f t="shared" si="29"/>
        <v>0</v>
      </c>
      <c r="V152" s="174"/>
      <c r="W152" s="458">
        <f>O152+U152</f>
        <v>13991.843999999999</v>
      </c>
    </row>
    <row r="153" spans="1:23" ht="24.95" hidden="1" customHeight="1" thickTop="1" thickBot="1" x14ac:dyDescent="0.25">
      <c r="A153" s="47"/>
      <c r="B153" s="629" t="s">
        <v>483</v>
      </c>
      <c r="C153" s="44" t="s">
        <v>167</v>
      </c>
      <c r="D153" s="212">
        <f t="shared" ref="D153:W153" si="30">D122+D152</f>
        <v>2305784.3140000002</v>
      </c>
      <c r="E153" s="212">
        <f t="shared" si="30"/>
        <v>0</v>
      </c>
      <c r="F153" s="212">
        <f t="shared" si="30"/>
        <v>60379</v>
      </c>
      <c r="G153" s="212">
        <f t="shared" si="30"/>
        <v>7538511</v>
      </c>
      <c r="H153" s="212">
        <f t="shared" si="30"/>
        <v>2095853.595</v>
      </c>
      <c r="I153" s="212">
        <f t="shared" si="30"/>
        <v>4886</v>
      </c>
      <c r="J153" s="212">
        <f t="shared" si="30"/>
        <v>75111.686000000002</v>
      </c>
      <c r="K153" s="212">
        <f t="shared" si="30"/>
        <v>284358.70500000002</v>
      </c>
      <c r="L153" s="212">
        <f t="shared" si="30"/>
        <v>882353</v>
      </c>
      <c r="M153" s="212">
        <f t="shared" si="30"/>
        <v>23000</v>
      </c>
      <c r="N153" s="212">
        <f t="shared" si="30"/>
        <v>2548</v>
      </c>
      <c r="O153" s="212">
        <f t="shared" si="30"/>
        <v>13272785.300000001</v>
      </c>
      <c r="P153" s="212"/>
      <c r="Q153" s="212">
        <f t="shared" si="30"/>
        <v>0</v>
      </c>
      <c r="R153" s="212">
        <f t="shared" si="30"/>
        <v>4587899</v>
      </c>
      <c r="S153" s="212">
        <f t="shared" si="30"/>
        <v>0</v>
      </c>
      <c r="T153" s="212">
        <f t="shared" si="30"/>
        <v>0</v>
      </c>
      <c r="U153" s="414">
        <f t="shared" si="30"/>
        <v>4587899</v>
      </c>
      <c r="V153" s="474"/>
      <c r="W153" s="458">
        <f t="shared" si="30"/>
        <v>17860684.300000001</v>
      </c>
    </row>
    <row r="154" spans="1:23" ht="24.95" customHeight="1" thickTop="1" x14ac:dyDescent="0.2">
      <c r="A154" s="630"/>
      <c r="B154" s="552" t="s">
        <v>534</v>
      </c>
      <c r="C154" s="615" t="s">
        <v>18</v>
      </c>
      <c r="D154" s="599">
        <f t="shared" ref="D154:U154" si="31">D153</f>
        <v>2305784.3140000002</v>
      </c>
      <c r="E154" s="599">
        <f t="shared" si="31"/>
        <v>0</v>
      </c>
      <c r="F154" s="599">
        <f t="shared" si="31"/>
        <v>60379</v>
      </c>
      <c r="G154" s="599">
        <f t="shared" si="31"/>
        <v>7538511</v>
      </c>
      <c r="H154" s="599">
        <f t="shared" si="31"/>
        <v>2095853.595</v>
      </c>
      <c r="I154" s="599">
        <f t="shared" si="31"/>
        <v>4886</v>
      </c>
      <c r="J154" s="599">
        <f t="shared" si="31"/>
        <v>75111.686000000002</v>
      </c>
      <c r="K154" s="599">
        <f t="shared" si="31"/>
        <v>284358.70500000002</v>
      </c>
      <c r="L154" s="599">
        <f t="shared" si="31"/>
        <v>882353</v>
      </c>
      <c r="M154" s="599">
        <f t="shared" si="31"/>
        <v>23000</v>
      </c>
      <c r="N154" s="599">
        <f t="shared" si="31"/>
        <v>2548</v>
      </c>
      <c r="O154" s="599">
        <f t="shared" si="31"/>
        <v>13272785.300000001</v>
      </c>
      <c r="P154" s="599"/>
      <c r="Q154" s="599">
        <f t="shared" si="31"/>
        <v>0</v>
      </c>
      <c r="R154" s="599">
        <f t="shared" si="31"/>
        <v>4587899</v>
      </c>
      <c r="S154" s="599">
        <f t="shared" si="31"/>
        <v>0</v>
      </c>
      <c r="T154" s="599">
        <f t="shared" si="31"/>
        <v>0</v>
      </c>
      <c r="U154" s="599">
        <f t="shared" si="31"/>
        <v>4587899</v>
      </c>
      <c r="V154" s="600"/>
      <c r="W154" s="601">
        <f>O154+U154+W151</f>
        <v>17860684.300000001</v>
      </c>
    </row>
    <row r="155" spans="1:23" ht="24.95" customHeight="1" x14ac:dyDescent="0.2">
      <c r="A155" s="40">
        <v>1</v>
      </c>
      <c r="B155" s="50" t="s">
        <v>560</v>
      </c>
      <c r="C155" s="51" t="s">
        <v>561</v>
      </c>
      <c r="D155" s="176"/>
      <c r="E155" s="176"/>
      <c r="F155" s="176"/>
      <c r="G155" s="176"/>
      <c r="H155" s="176">
        <f>2300</f>
        <v>2300</v>
      </c>
      <c r="I155" s="176"/>
      <c r="J155" s="176"/>
      <c r="K155" s="176"/>
      <c r="L155" s="176"/>
      <c r="M155" s="176"/>
      <c r="N155" s="176"/>
      <c r="O155" s="176">
        <f t="shared" ref="O155:O169" si="32">SUM(D155:N155)</f>
        <v>2300</v>
      </c>
      <c r="P155" s="176"/>
      <c r="Q155" s="176"/>
      <c r="R155" s="176"/>
      <c r="S155" s="176"/>
      <c r="T155" s="176"/>
      <c r="U155" s="300">
        <f>SUM(Q155:T155)</f>
        <v>0</v>
      </c>
      <c r="V155" s="617"/>
      <c r="W155" s="178">
        <f>O155+U155</f>
        <v>2300</v>
      </c>
    </row>
    <row r="156" spans="1:23" ht="24.95" hidden="1" customHeight="1" x14ac:dyDescent="0.2">
      <c r="A156" s="40"/>
      <c r="B156" s="301" t="s">
        <v>563</v>
      </c>
      <c r="C156" s="51" t="s">
        <v>562</v>
      </c>
      <c r="D156" s="176">
        <f>-74.661+74.661</f>
        <v>0</v>
      </c>
      <c r="E156" s="176"/>
      <c r="F156" s="176"/>
      <c r="G156" s="176"/>
      <c r="H156" s="176"/>
      <c r="I156" s="176"/>
      <c r="J156" s="176"/>
      <c r="K156" s="176"/>
      <c r="L156" s="176"/>
      <c r="M156" s="176"/>
      <c r="N156" s="176"/>
      <c r="O156" s="176">
        <f t="shared" si="32"/>
        <v>0</v>
      </c>
      <c r="P156" s="176"/>
      <c r="Q156" s="176"/>
      <c r="R156" s="176"/>
      <c r="S156" s="176"/>
      <c r="T156" s="176"/>
      <c r="U156" s="176">
        <f>SUM(Q156:T156)</f>
        <v>0</v>
      </c>
      <c r="V156" s="462"/>
      <c r="W156" s="178">
        <f t="shared" ref="W156:W169" si="33">O156+U156</f>
        <v>0</v>
      </c>
    </row>
    <row r="157" spans="1:23" ht="24.95" customHeight="1" x14ac:dyDescent="0.2">
      <c r="A157" s="40">
        <v>2</v>
      </c>
      <c r="B157" s="301" t="s">
        <v>572</v>
      </c>
      <c r="C157" s="51" t="s">
        <v>573</v>
      </c>
      <c r="D157" s="176"/>
      <c r="E157" s="176"/>
      <c r="F157" s="176">
        <f>3868.34</f>
        <v>3868.34</v>
      </c>
      <c r="G157" s="176"/>
      <c r="H157" s="176"/>
      <c r="I157" s="176"/>
      <c r="J157" s="176"/>
      <c r="K157" s="176"/>
      <c r="L157" s="176"/>
      <c r="M157" s="176"/>
      <c r="N157" s="176"/>
      <c r="O157" s="176">
        <f t="shared" si="32"/>
        <v>3868.34</v>
      </c>
      <c r="P157" s="176"/>
      <c r="Q157" s="176"/>
      <c r="R157" s="176"/>
      <c r="S157" s="176"/>
      <c r="T157" s="176"/>
      <c r="U157" s="176">
        <f t="shared" ref="U157:U169" si="34">SUM(Q157:T157)</f>
        <v>0</v>
      </c>
      <c r="V157" s="462"/>
      <c r="W157" s="178">
        <f t="shared" si="33"/>
        <v>3868.34</v>
      </c>
    </row>
    <row r="158" spans="1:23" ht="24.95" customHeight="1" x14ac:dyDescent="0.2">
      <c r="A158" s="40">
        <v>3</v>
      </c>
      <c r="B158" s="301" t="s">
        <v>583</v>
      </c>
      <c r="C158" s="51" t="s">
        <v>582</v>
      </c>
      <c r="D158" s="176"/>
      <c r="E158" s="176"/>
      <c r="F158" s="176"/>
      <c r="G158" s="176"/>
      <c r="H158" s="176"/>
      <c r="I158" s="176"/>
      <c r="J158" s="176"/>
      <c r="K158" s="176">
        <f>15000</f>
        <v>15000</v>
      </c>
      <c r="L158" s="176"/>
      <c r="M158" s="176"/>
      <c r="N158" s="176"/>
      <c r="O158" s="176">
        <f t="shared" si="32"/>
        <v>15000</v>
      </c>
      <c r="P158" s="176"/>
      <c r="Q158" s="176"/>
      <c r="R158" s="176"/>
      <c r="S158" s="176"/>
      <c r="T158" s="176"/>
      <c r="U158" s="176">
        <f t="shared" si="34"/>
        <v>0</v>
      </c>
      <c r="V158" s="462"/>
      <c r="W158" s="178">
        <f t="shared" si="33"/>
        <v>15000</v>
      </c>
    </row>
    <row r="159" spans="1:23" ht="24.95" customHeight="1" x14ac:dyDescent="0.2">
      <c r="A159" s="40">
        <v>4</v>
      </c>
      <c r="B159" s="50" t="s">
        <v>574</v>
      </c>
      <c r="C159" s="51" t="s">
        <v>576</v>
      </c>
      <c r="D159" s="176">
        <f>1747.429+972.679</f>
        <v>2720.1080000000002</v>
      </c>
      <c r="E159" s="176"/>
      <c r="F159" s="176"/>
      <c r="G159" s="176"/>
      <c r="H159" s="176"/>
      <c r="I159" s="176"/>
      <c r="J159" s="176"/>
      <c r="K159" s="176"/>
      <c r="L159" s="176"/>
      <c r="M159" s="176"/>
      <c r="N159" s="176"/>
      <c r="O159" s="176">
        <f t="shared" si="32"/>
        <v>2720.1080000000002</v>
      </c>
      <c r="P159" s="176"/>
      <c r="Q159" s="176"/>
      <c r="R159" s="176"/>
      <c r="S159" s="176"/>
      <c r="T159" s="176"/>
      <c r="U159" s="176">
        <f t="shared" si="34"/>
        <v>0</v>
      </c>
      <c r="V159" s="462"/>
      <c r="W159" s="178">
        <f t="shared" si="33"/>
        <v>2720.1080000000002</v>
      </c>
    </row>
    <row r="160" spans="1:23" ht="24.95" customHeight="1" x14ac:dyDescent="0.2">
      <c r="A160" s="40">
        <v>5</v>
      </c>
      <c r="B160" s="50" t="s">
        <v>580</v>
      </c>
      <c r="C160" s="51" t="s">
        <v>581</v>
      </c>
      <c r="D160" s="176">
        <f>8444.45</f>
        <v>8444.4500000000007</v>
      </c>
      <c r="E160" s="176"/>
      <c r="F160" s="176"/>
      <c r="G160" s="176"/>
      <c r="H160" s="176"/>
      <c r="I160" s="176"/>
      <c r="J160" s="176"/>
      <c r="K160" s="176"/>
      <c r="L160" s="176"/>
      <c r="M160" s="176"/>
      <c r="N160" s="176"/>
      <c r="O160" s="176">
        <f t="shared" si="32"/>
        <v>8444.4500000000007</v>
      </c>
      <c r="P160" s="176"/>
      <c r="Q160" s="176"/>
      <c r="R160" s="176"/>
      <c r="S160" s="176"/>
      <c r="T160" s="176"/>
      <c r="U160" s="176">
        <f t="shared" si="34"/>
        <v>0</v>
      </c>
      <c r="V160" s="462"/>
      <c r="W160" s="178">
        <f t="shared" si="33"/>
        <v>8444.4500000000007</v>
      </c>
    </row>
    <row r="161" spans="1:23" ht="24.95" customHeight="1" x14ac:dyDescent="0.2">
      <c r="A161" s="40">
        <v>6</v>
      </c>
      <c r="B161" s="301" t="s">
        <v>584</v>
      </c>
      <c r="C161" s="51" t="s">
        <v>411</v>
      </c>
      <c r="D161" s="176">
        <v>674.71699999999998</v>
      </c>
      <c r="E161" s="176"/>
      <c r="F161" s="176"/>
      <c r="G161" s="176"/>
      <c r="H161" s="176"/>
      <c r="I161" s="176"/>
      <c r="J161" s="176"/>
      <c r="K161" s="176"/>
      <c r="L161" s="176"/>
      <c r="M161" s="176"/>
      <c r="N161" s="176"/>
      <c r="O161" s="176">
        <f t="shared" si="32"/>
        <v>674.71699999999998</v>
      </c>
      <c r="P161" s="176"/>
      <c r="Q161" s="176"/>
      <c r="R161" s="176"/>
      <c r="S161" s="176"/>
      <c r="T161" s="176"/>
      <c r="U161" s="176">
        <f t="shared" si="34"/>
        <v>0</v>
      </c>
      <c r="V161" s="462"/>
      <c r="W161" s="178">
        <f t="shared" si="33"/>
        <v>674.71699999999998</v>
      </c>
    </row>
    <row r="162" spans="1:23" ht="24.95" customHeight="1" x14ac:dyDescent="0.2">
      <c r="A162" s="40">
        <v>7</v>
      </c>
      <c r="B162" s="50" t="s">
        <v>593</v>
      </c>
      <c r="C162" s="51" t="s">
        <v>592</v>
      </c>
      <c r="D162" s="176">
        <f>0.038-6315.56-2613.667-443.064+9230.469+141.08+0.2-0.02+0.524-5927.04</f>
        <v>-5927.0400000000018</v>
      </c>
      <c r="E162" s="176"/>
      <c r="F162" s="176"/>
      <c r="G162" s="176"/>
      <c r="H162" s="176"/>
      <c r="I162" s="176"/>
      <c r="J162" s="176"/>
      <c r="K162" s="176"/>
      <c r="L162" s="176"/>
      <c r="M162" s="176"/>
      <c r="N162" s="176"/>
      <c r="O162" s="176">
        <f t="shared" si="32"/>
        <v>-5927.0400000000018</v>
      </c>
      <c r="P162" s="176"/>
      <c r="Q162" s="176"/>
      <c r="R162" s="176"/>
      <c r="S162" s="176"/>
      <c r="T162" s="176"/>
      <c r="U162" s="176">
        <f t="shared" si="34"/>
        <v>0</v>
      </c>
      <c r="V162" s="462"/>
      <c r="W162" s="178">
        <f t="shared" si="33"/>
        <v>-5927.0400000000018</v>
      </c>
    </row>
    <row r="163" spans="1:23" ht="24.95" customHeight="1" x14ac:dyDescent="0.2">
      <c r="A163" s="40">
        <v>8</v>
      </c>
      <c r="B163" s="301" t="s">
        <v>594</v>
      </c>
      <c r="C163" s="51" t="s">
        <v>595</v>
      </c>
      <c r="D163" s="176"/>
      <c r="E163" s="176"/>
      <c r="F163" s="176"/>
      <c r="G163" s="176"/>
      <c r="H163" s="176">
        <f>1664+408</f>
        <v>2072</v>
      </c>
      <c r="I163" s="176"/>
      <c r="J163" s="176"/>
      <c r="K163" s="176"/>
      <c r="L163" s="176"/>
      <c r="M163" s="176"/>
      <c r="N163" s="176"/>
      <c r="O163" s="176">
        <f t="shared" si="32"/>
        <v>2072</v>
      </c>
      <c r="P163" s="176"/>
      <c r="Q163" s="176"/>
      <c r="R163" s="176"/>
      <c r="S163" s="176"/>
      <c r="T163" s="176"/>
      <c r="U163" s="176">
        <f t="shared" si="34"/>
        <v>0</v>
      </c>
      <c r="V163" s="462"/>
      <c r="W163" s="178">
        <f t="shared" si="33"/>
        <v>2072</v>
      </c>
    </row>
    <row r="164" spans="1:23" ht="24.95" customHeight="1" x14ac:dyDescent="0.2">
      <c r="A164" s="40">
        <v>9</v>
      </c>
      <c r="B164" s="301" t="s">
        <v>608</v>
      </c>
      <c r="C164" s="51" t="s">
        <v>609</v>
      </c>
      <c r="D164" s="176">
        <f>-1842.739-31312.848-200-500-3020.08-362.308-0.245+0.245</f>
        <v>-37237.974999999999</v>
      </c>
      <c r="E164" s="176"/>
      <c r="F164" s="176">
        <f>-6902-185</f>
        <v>-7087</v>
      </c>
      <c r="G164" s="176"/>
      <c r="H164" s="176"/>
      <c r="I164" s="176"/>
      <c r="J164" s="176"/>
      <c r="K164" s="176"/>
      <c r="L164" s="176"/>
      <c r="M164" s="176"/>
      <c r="N164" s="176"/>
      <c r="O164" s="176">
        <f t="shared" si="32"/>
        <v>-44324.974999999999</v>
      </c>
      <c r="P164" s="176"/>
      <c r="Q164" s="176"/>
      <c r="R164" s="176"/>
      <c r="S164" s="176"/>
      <c r="T164" s="176"/>
      <c r="U164" s="176">
        <f t="shared" si="34"/>
        <v>0</v>
      </c>
      <c r="V164" s="462"/>
      <c r="W164" s="178">
        <f t="shared" si="33"/>
        <v>-44324.974999999999</v>
      </c>
    </row>
    <row r="165" spans="1:23" ht="24.95" customHeight="1" x14ac:dyDescent="0.2">
      <c r="A165" s="40">
        <v>10</v>
      </c>
      <c r="B165" s="301" t="s">
        <v>619</v>
      </c>
      <c r="C165" s="51" t="s">
        <v>440</v>
      </c>
      <c r="D165" s="176"/>
      <c r="E165" s="176"/>
      <c r="F165" s="176"/>
      <c r="G165" s="176"/>
      <c r="H165" s="176">
        <f>11200+3024</f>
        <v>14224</v>
      </c>
      <c r="I165" s="176"/>
      <c r="J165" s="176"/>
      <c r="K165" s="176"/>
      <c r="L165" s="176"/>
      <c r="M165" s="176"/>
      <c r="N165" s="176"/>
      <c r="O165" s="176">
        <f t="shared" si="32"/>
        <v>14224</v>
      </c>
      <c r="P165" s="176"/>
      <c r="Q165" s="176"/>
      <c r="R165" s="176"/>
      <c r="S165" s="176"/>
      <c r="T165" s="176"/>
      <c r="U165" s="176">
        <f t="shared" si="34"/>
        <v>0</v>
      </c>
      <c r="V165" s="462"/>
      <c r="W165" s="178">
        <f t="shared" si="33"/>
        <v>14224</v>
      </c>
    </row>
    <row r="166" spans="1:23" ht="24.95" customHeight="1" x14ac:dyDescent="0.2">
      <c r="A166" s="40">
        <v>11</v>
      </c>
      <c r="B166" s="50" t="s">
        <v>621</v>
      </c>
      <c r="C166" s="51" t="s">
        <v>620</v>
      </c>
      <c r="D166" s="176"/>
      <c r="E166" s="176"/>
      <c r="F166" s="176">
        <f>681</f>
        <v>681</v>
      </c>
      <c r="G166" s="176"/>
      <c r="H166" s="176"/>
      <c r="I166" s="176"/>
      <c r="J166" s="176"/>
      <c r="K166" s="176"/>
      <c r="L166" s="176"/>
      <c r="M166" s="176"/>
      <c r="N166" s="176"/>
      <c r="O166" s="176">
        <f t="shared" si="32"/>
        <v>681</v>
      </c>
      <c r="P166" s="176"/>
      <c r="Q166" s="176"/>
      <c r="R166" s="176"/>
      <c r="S166" s="176"/>
      <c r="T166" s="176"/>
      <c r="U166" s="176">
        <f t="shared" si="34"/>
        <v>0</v>
      </c>
      <c r="V166" s="462"/>
      <c r="W166" s="178">
        <f t="shared" si="33"/>
        <v>681</v>
      </c>
    </row>
    <row r="167" spans="1:23" ht="24.95" customHeight="1" x14ac:dyDescent="0.2">
      <c r="A167" s="40">
        <v>12</v>
      </c>
      <c r="B167" s="301" t="s">
        <v>622</v>
      </c>
      <c r="C167" s="51" t="s">
        <v>623</v>
      </c>
      <c r="D167" s="176"/>
      <c r="E167" s="176"/>
      <c r="F167" s="176"/>
      <c r="G167" s="176"/>
      <c r="H167" s="176"/>
      <c r="I167" s="176"/>
      <c r="J167" s="176"/>
      <c r="K167" s="176"/>
      <c r="L167" s="176"/>
      <c r="M167" s="176"/>
      <c r="N167" s="176"/>
      <c r="O167" s="176">
        <f t="shared" si="32"/>
        <v>0</v>
      </c>
      <c r="P167" s="176"/>
      <c r="Q167" s="176"/>
      <c r="R167" s="176"/>
      <c r="S167" s="176">
        <f>39177</f>
        <v>39177</v>
      </c>
      <c r="T167" s="176"/>
      <c r="U167" s="176">
        <f t="shared" si="34"/>
        <v>39177</v>
      </c>
      <c r="V167" s="462"/>
      <c r="W167" s="178">
        <f t="shared" si="33"/>
        <v>39177</v>
      </c>
    </row>
    <row r="168" spans="1:23" ht="24.95" customHeight="1" x14ac:dyDescent="0.2">
      <c r="A168" s="40">
        <v>13</v>
      </c>
      <c r="B168" s="50" t="s">
        <v>633</v>
      </c>
      <c r="C168" s="51" t="s">
        <v>634</v>
      </c>
      <c r="D168" s="176"/>
      <c r="E168" s="176"/>
      <c r="F168" s="176"/>
      <c r="G168" s="176"/>
      <c r="H168" s="176">
        <f>10910</f>
        <v>10910</v>
      </c>
      <c r="I168" s="176"/>
      <c r="J168" s="176"/>
      <c r="K168" s="176"/>
      <c r="L168" s="176"/>
      <c r="M168" s="176"/>
      <c r="N168" s="176"/>
      <c r="O168" s="176">
        <f t="shared" si="32"/>
        <v>10910</v>
      </c>
      <c r="P168" s="176"/>
      <c r="Q168" s="176"/>
      <c r="R168" s="176"/>
      <c r="S168" s="176"/>
      <c r="T168" s="176"/>
      <c r="U168" s="176">
        <f t="shared" si="34"/>
        <v>0</v>
      </c>
      <c r="V168" s="462"/>
      <c r="W168" s="178">
        <f t="shared" si="33"/>
        <v>10910</v>
      </c>
    </row>
    <row r="169" spans="1:23" ht="24.95" customHeight="1" x14ac:dyDescent="0.2">
      <c r="A169" s="40">
        <v>14</v>
      </c>
      <c r="B169" s="611" t="s">
        <v>636</v>
      </c>
      <c r="C169" s="51" t="s">
        <v>635</v>
      </c>
      <c r="D169" s="176"/>
      <c r="E169" s="176"/>
      <c r="F169" s="176"/>
      <c r="G169" s="176"/>
      <c r="H169" s="176">
        <f>13853</f>
        <v>13853</v>
      </c>
      <c r="I169" s="176"/>
      <c r="J169" s="176"/>
      <c r="K169" s="176"/>
      <c r="L169" s="176"/>
      <c r="M169" s="176"/>
      <c r="N169" s="176"/>
      <c r="O169" s="176">
        <f t="shared" si="32"/>
        <v>13853</v>
      </c>
      <c r="P169" s="176"/>
      <c r="Q169" s="176"/>
      <c r="R169" s="176"/>
      <c r="S169" s="176"/>
      <c r="T169" s="176"/>
      <c r="U169" s="176">
        <f t="shared" si="34"/>
        <v>0</v>
      </c>
      <c r="V169" s="462"/>
      <c r="W169" s="178">
        <f t="shared" si="33"/>
        <v>13853</v>
      </c>
    </row>
    <row r="170" spans="1:23" ht="24.95" customHeight="1" thickBot="1" x14ac:dyDescent="0.25">
      <c r="A170" s="40"/>
      <c r="B170" s="50"/>
      <c r="C170" s="51"/>
      <c r="D170" s="176"/>
      <c r="E170" s="176"/>
      <c r="F170" s="176"/>
      <c r="G170" s="176"/>
      <c r="H170" s="176"/>
      <c r="I170" s="176"/>
      <c r="J170" s="176"/>
      <c r="K170" s="176"/>
      <c r="L170" s="176"/>
      <c r="M170" s="176"/>
      <c r="N170" s="176"/>
      <c r="O170" s="176"/>
      <c r="P170" s="176"/>
      <c r="Q170" s="176"/>
      <c r="R170" s="176"/>
      <c r="S170" s="176"/>
      <c r="T170" s="176"/>
      <c r="U170" s="618"/>
      <c r="V170" s="619"/>
      <c r="W170" s="178"/>
    </row>
    <row r="171" spans="1:23" ht="24.95" customHeight="1" thickTop="1" thickBot="1" x14ac:dyDescent="0.25">
      <c r="A171" s="47"/>
      <c r="B171" s="272" t="s">
        <v>533</v>
      </c>
      <c r="C171" s="44" t="s">
        <v>33</v>
      </c>
      <c r="D171" s="185">
        <f>SUM(D155:D170)</f>
        <v>-31325.739999999998</v>
      </c>
      <c r="E171" s="185">
        <f>SUM(E155:E170)</f>
        <v>0</v>
      </c>
      <c r="F171" s="185">
        <f>SUM(F155:F170)</f>
        <v>-2537.66</v>
      </c>
      <c r="G171" s="185">
        <f>SUM(G155:G170)</f>
        <v>0</v>
      </c>
      <c r="H171" s="185">
        <f>SUM(H155:H170)</f>
        <v>43359</v>
      </c>
      <c r="I171" s="185">
        <f>SUM(I155:I170)</f>
        <v>0</v>
      </c>
      <c r="J171" s="185">
        <f>SUM(J155:J170)</f>
        <v>0</v>
      </c>
      <c r="K171" s="185">
        <f>SUM(K155:K170)</f>
        <v>15000</v>
      </c>
      <c r="L171" s="185">
        <f>SUM(L155:L170)</f>
        <v>0</v>
      </c>
      <c r="M171" s="426">
        <f>SUM(M155:M170)</f>
        <v>0</v>
      </c>
      <c r="N171" s="185">
        <f>SUM(N155:N170)</f>
        <v>0</v>
      </c>
      <c r="O171" s="185">
        <f>SUM(O155:O170)</f>
        <v>24495.599999999999</v>
      </c>
      <c r="P171" s="185"/>
      <c r="Q171" s="185">
        <f>SUM(Q155:Q170)</f>
        <v>0</v>
      </c>
      <c r="R171" s="213">
        <f>SUM(R155:R170)</f>
        <v>0</v>
      </c>
      <c r="S171" s="213">
        <f>SUM(S155:S170)</f>
        <v>39177</v>
      </c>
      <c r="T171" s="185">
        <f>SUM(T155:T170)</f>
        <v>0</v>
      </c>
      <c r="U171" s="185">
        <f>SUM(U155:U170)</f>
        <v>39177</v>
      </c>
      <c r="V171" s="174"/>
      <c r="W171" s="458">
        <f>SUM(W155:W170)</f>
        <v>63672.6</v>
      </c>
    </row>
    <row r="172" spans="1:23" ht="24.95" customHeight="1" thickTop="1" thickBot="1" x14ac:dyDescent="0.25">
      <c r="A172" s="47"/>
      <c r="B172" s="43" t="s">
        <v>534</v>
      </c>
      <c r="C172" s="44" t="s">
        <v>167</v>
      </c>
      <c r="D172" s="212">
        <f>D154+D171</f>
        <v>2274458.574</v>
      </c>
      <c r="E172" s="212">
        <f>E154+E171</f>
        <v>0</v>
      </c>
      <c r="F172" s="212">
        <f>F154+F171</f>
        <v>57841.34</v>
      </c>
      <c r="G172" s="212">
        <f>G154+G171</f>
        <v>7538511</v>
      </c>
      <c r="H172" s="212">
        <f>H154+H171</f>
        <v>2139212.5949999997</v>
      </c>
      <c r="I172" s="212">
        <f>I154+I171</f>
        <v>4886</v>
      </c>
      <c r="J172" s="212">
        <f>J154+J171</f>
        <v>75111.686000000002</v>
      </c>
      <c r="K172" s="212">
        <f>K154+K171</f>
        <v>299358.70500000002</v>
      </c>
      <c r="L172" s="212">
        <f>L154+L171</f>
        <v>882353</v>
      </c>
      <c r="M172" s="212">
        <f>M154+M171</f>
        <v>23000</v>
      </c>
      <c r="N172" s="212">
        <f>N154+N171</f>
        <v>2548</v>
      </c>
      <c r="O172" s="212">
        <f>O154+O171</f>
        <v>13297280.9</v>
      </c>
      <c r="P172" s="212"/>
      <c r="Q172" s="212">
        <f>Q154+Q171</f>
        <v>0</v>
      </c>
      <c r="R172" s="212">
        <f>R154+R171</f>
        <v>4587899</v>
      </c>
      <c r="S172" s="212">
        <f>S154+S171</f>
        <v>39177</v>
      </c>
      <c r="T172" s="212">
        <f>T154+T171</f>
        <v>0</v>
      </c>
      <c r="U172" s="414">
        <f>U154+U171</f>
        <v>4627076</v>
      </c>
      <c r="V172" s="474"/>
      <c r="W172" s="458">
        <f>W154+W171</f>
        <v>17924356.900000002</v>
      </c>
    </row>
    <row r="173" spans="1:23" ht="24.95" customHeight="1" thickTop="1" x14ac:dyDescent="0.25"/>
    <row r="174" spans="1:23" ht="24.95" customHeight="1" x14ac:dyDescent="0.25">
      <c r="R174" s="29"/>
    </row>
    <row r="175" spans="1:23" ht="24.95" customHeight="1" x14ac:dyDescent="0.25"/>
    <row r="176" spans="1:23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  <row r="257" ht="24.95" customHeight="1" x14ac:dyDescent="0.25"/>
    <row r="258" ht="24.95" customHeight="1" x14ac:dyDescent="0.25"/>
    <row r="259" ht="24.95" customHeight="1" x14ac:dyDescent="0.25"/>
    <row r="260" ht="24.95" customHeight="1" x14ac:dyDescent="0.25"/>
    <row r="261" ht="24.95" customHeight="1" x14ac:dyDescent="0.25"/>
    <row r="262" ht="24.95" customHeight="1" x14ac:dyDescent="0.25"/>
    <row r="263" ht="24.95" customHeight="1" x14ac:dyDescent="0.25"/>
    <row r="264" ht="24.95" customHeight="1" x14ac:dyDescent="0.25"/>
    <row r="265" ht="24.95" customHeight="1" x14ac:dyDescent="0.25"/>
    <row r="266" ht="24.95" customHeight="1" x14ac:dyDescent="0.25"/>
    <row r="267" ht="24.95" customHeight="1" x14ac:dyDescent="0.25"/>
    <row r="268" ht="24.95" customHeight="1" x14ac:dyDescent="0.25"/>
    <row r="269" ht="24.95" customHeight="1" x14ac:dyDescent="0.25"/>
    <row r="270" ht="24.95" customHeight="1" x14ac:dyDescent="0.25"/>
    <row r="271" ht="24.95" customHeight="1" x14ac:dyDescent="0.25"/>
    <row r="272" ht="24.95" customHeight="1" x14ac:dyDescent="0.25"/>
    <row r="273" ht="24.95" customHeight="1" x14ac:dyDescent="0.25"/>
    <row r="274" ht="24.95" customHeight="1" x14ac:dyDescent="0.25"/>
    <row r="275" ht="24.95" customHeight="1" x14ac:dyDescent="0.25"/>
    <row r="276" ht="24.95" customHeight="1" x14ac:dyDescent="0.25"/>
    <row r="277" ht="24.95" customHeight="1" x14ac:dyDescent="0.25"/>
    <row r="278" ht="24.95" customHeight="1" x14ac:dyDescent="0.25"/>
    <row r="279" ht="24.95" customHeight="1" x14ac:dyDescent="0.25"/>
    <row r="280" ht="24.95" customHeight="1" x14ac:dyDescent="0.25"/>
    <row r="281" ht="24.95" customHeight="1" x14ac:dyDescent="0.25"/>
    <row r="282" ht="24.95" customHeight="1" x14ac:dyDescent="0.25"/>
    <row r="283" ht="24.95" customHeight="1" x14ac:dyDescent="0.25"/>
    <row r="467" spans="9:9" x14ac:dyDescent="0.25">
      <c r="I467" s="52">
        <f>-10437-1367-86-236+13-6357-200+31+71-310-1500-799-55-443-3970</f>
        <v>-25645</v>
      </c>
    </row>
  </sheetData>
  <mergeCells count="5">
    <mergeCell ref="D7:F7"/>
    <mergeCell ref="J7:K7"/>
    <mergeCell ref="Q7:T7"/>
    <mergeCell ref="A2:W2"/>
    <mergeCell ref="A4:W4"/>
  </mergeCells>
  <phoneticPr fontId="2" type="noConversion"/>
  <printOptions horizontalCentered="1" verticalCentered="1"/>
  <pageMargins left="0" right="0" top="0.51181102362204722" bottom="0.55118110236220474" header="7.874015748031496E-2" footer="7.874015748031496E-2"/>
  <pageSetup paperSize="9" scale="44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47"/>
  <sheetViews>
    <sheetView zoomScale="71" zoomScaleNormal="71" workbookViewId="0">
      <selection activeCell="D387" sqref="D387"/>
    </sheetView>
  </sheetViews>
  <sheetFormatPr defaultRowHeight="16.5" x14ac:dyDescent="0.25"/>
  <cols>
    <col min="1" max="1" width="3.85546875" style="93" customWidth="1"/>
    <col min="2" max="2" width="10.7109375" style="1" hidden="1" customWidth="1"/>
    <col min="3" max="3" width="53.7109375" style="2" customWidth="1"/>
    <col min="4" max="9" width="12.7109375" style="2" customWidth="1"/>
    <col min="10" max="10" width="13.7109375" style="2" customWidth="1"/>
    <col min="11" max="11" width="14.85546875" style="2" customWidth="1"/>
    <col min="12" max="12" width="14.140625" style="2" customWidth="1"/>
    <col min="13" max="17" width="12.7109375" style="2" customWidth="1"/>
    <col min="18" max="18" width="14.7109375" style="2" customWidth="1"/>
    <col min="19" max="19" width="1.7109375" style="2" customWidth="1"/>
    <col min="20" max="20" width="14.7109375" style="2" customWidth="1"/>
    <col min="21" max="24" width="12.7109375" style="2" customWidth="1"/>
    <col min="25" max="25" width="16.7109375" style="2" customWidth="1"/>
    <col min="26" max="26" width="16.7109375" style="53" customWidth="1"/>
    <col min="27" max="27" width="18.28515625" style="53" customWidth="1"/>
    <col min="28" max="28" width="16.28515625" style="53" customWidth="1"/>
    <col min="29" max="31" width="10.42578125" style="53" customWidth="1"/>
    <col min="32" max="32" width="12.28515625" style="53" customWidth="1"/>
    <col min="33" max="33" width="14" style="53" customWidth="1"/>
    <col min="34" max="34" width="12.28515625" style="53" customWidth="1"/>
    <col min="35" max="36" width="10.42578125" style="53" customWidth="1"/>
    <col min="37" max="37" width="12.28515625" style="53" customWidth="1"/>
    <col min="38" max="38" width="9.140625" style="53"/>
    <col min="39" max="40" width="10.42578125" style="53" customWidth="1"/>
    <col min="41" max="41" width="12.28515625" style="53" customWidth="1"/>
    <col min="42" max="42" width="12.7109375" style="53" customWidth="1"/>
    <col min="43" max="16384" width="9.140625" style="2"/>
  </cols>
  <sheetData>
    <row r="1" spans="1:42" ht="16.5" customHeight="1" x14ac:dyDescent="0.25">
      <c r="Z1" s="193" t="s">
        <v>101</v>
      </c>
      <c r="AA1" s="193"/>
    </row>
    <row r="2" spans="1:42" ht="30" customHeight="1" x14ac:dyDescent="0.2">
      <c r="A2" s="655" t="s">
        <v>0</v>
      </c>
      <c r="B2" s="655"/>
      <c r="C2" s="655"/>
      <c r="D2" s="655"/>
      <c r="E2" s="655"/>
      <c r="F2" s="655"/>
      <c r="G2" s="655"/>
      <c r="H2" s="655"/>
      <c r="I2" s="655"/>
      <c r="J2" s="655"/>
      <c r="K2" s="655"/>
      <c r="L2" s="655"/>
      <c r="M2" s="655"/>
      <c r="N2" s="655"/>
      <c r="O2" s="655"/>
      <c r="P2" s="655"/>
      <c r="Q2" s="655"/>
      <c r="R2" s="655"/>
      <c r="S2" s="655"/>
      <c r="T2" s="655"/>
      <c r="U2" s="655"/>
      <c r="V2" s="655"/>
      <c r="W2" s="655"/>
      <c r="X2" s="655"/>
      <c r="Y2" s="655"/>
      <c r="Z2" s="655"/>
      <c r="AA2" s="360"/>
    </row>
    <row r="3" spans="1:42" ht="30" customHeight="1" x14ac:dyDescent="0.2">
      <c r="A3" s="486"/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  <c r="AA3" s="360"/>
    </row>
    <row r="4" spans="1:42" ht="50.1" customHeight="1" x14ac:dyDescent="0.2">
      <c r="A4" s="656" t="s">
        <v>530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360"/>
    </row>
    <row r="5" spans="1:42" ht="24.95" customHeight="1" x14ac:dyDescent="0.2">
      <c r="A5" s="487"/>
      <c r="B5" s="486"/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/>
      <c r="W5" s="486"/>
      <c r="X5" s="486"/>
      <c r="Y5" s="486"/>
      <c r="Z5" s="486"/>
      <c r="AA5" s="360"/>
    </row>
    <row r="6" spans="1:42" ht="17.25" customHeight="1" thickBo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6" t="s">
        <v>1</v>
      </c>
      <c r="AA6" s="361"/>
    </row>
    <row r="7" spans="1:42" ht="17.25" thickBot="1" x14ac:dyDescent="0.3">
      <c r="A7" s="55"/>
      <c r="B7" s="8"/>
      <c r="C7" s="9"/>
      <c r="D7" s="657" t="s">
        <v>34</v>
      </c>
      <c r="E7" s="657"/>
      <c r="F7" s="657"/>
      <c r="G7" s="657"/>
      <c r="H7" s="657"/>
      <c r="I7" s="657"/>
      <c r="J7" s="657"/>
      <c r="K7" s="657"/>
      <c r="L7" s="657"/>
      <c r="M7" s="657"/>
      <c r="N7" s="657"/>
      <c r="O7" s="657"/>
      <c r="P7" s="657"/>
      <c r="Q7" s="657"/>
      <c r="R7" s="657"/>
      <c r="S7" s="657"/>
      <c r="T7" s="657"/>
      <c r="U7" s="657"/>
      <c r="V7" s="657"/>
      <c r="W7" s="657"/>
      <c r="X7" s="657"/>
      <c r="Y7" s="657"/>
      <c r="Z7" s="657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</row>
    <row r="8" spans="1:42" ht="17.25" customHeight="1" thickTop="1" x14ac:dyDescent="0.25">
      <c r="A8" s="57"/>
      <c r="B8" s="12"/>
      <c r="C8" s="13"/>
      <c r="D8" s="658" t="s">
        <v>189</v>
      </c>
      <c r="E8" s="659"/>
      <c r="F8" s="659"/>
      <c r="G8" s="659"/>
      <c r="H8" s="659"/>
      <c r="I8" s="659"/>
      <c r="J8" s="659"/>
      <c r="K8" s="660"/>
      <c r="L8" s="661" t="s">
        <v>190</v>
      </c>
      <c r="M8" s="662"/>
      <c r="N8" s="662"/>
      <c r="O8" s="662"/>
      <c r="P8" s="662"/>
      <c r="Q8" s="660"/>
      <c r="R8" s="503" t="s">
        <v>145</v>
      </c>
      <c r="S8" s="503"/>
      <c r="T8" s="661" t="s">
        <v>191</v>
      </c>
      <c r="U8" s="662"/>
      <c r="V8" s="662"/>
      <c r="W8" s="663"/>
      <c r="X8" s="507" t="s">
        <v>162</v>
      </c>
      <c r="Y8" s="378" t="s">
        <v>2</v>
      </c>
      <c r="Z8" s="395"/>
      <c r="AA8" s="56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56"/>
    </row>
    <row r="9" spans="1:42" x14ac:dyDescent="0.25">
      <c r="A9" s="18" t="s">
        <v>8</v>
      </c>
      <c r="B9" s="12"/>
      <c r="C9" s="13" t="s">
        <v>3</v>
      </c>
      <c r="D9" s="58"/>
      <c r="E9" s="210" t="s">
        <v>39</v>
      </c>
      <c r="F9" s="59"/>
      <c r="G9" s="59" t="s">
        <v>35</v>
      </c>
      <c r="H9" s="59" t="s">
        <v>131</v>
      </c>
      <c r="I9" s="59" t="s">
        <v>132</v>
      </c>
      <c r="J9" s="59" t="s">
        <v>132</v>
      </c>
      <c r="K9" s="210"/>
      <c r="L9" s="59"/>
      <c r="M9" s="59"/>
      <c r="N9" s="59" t="s">
        <v>4</v>
      </c>
      <c r="O9" s="59" t="s">
        <v>168</v>
      </c>
      <c r="P9" s="60" t="s">
        <v>169</v>
      </c>
      <c r="Q9" s="210" t="s">
        <v>4</v>
      </c>
      <c r="R9" s="504" t="s">
        <v>146</v>
      </c>
      <c r="S9" s="504"/>
      <c r="T9" s="17" t="s">
        <v>170</v>
      </c>
      <c r="U9" s="17" t="s">
        <v>171</v>
      </c>
      <c r="V9" s="17" t="s">
        <v>150</v>
      </c>
      <c r="W9" s="17" t="s">
        <v>172</v>
      </c>
      <c r="X9" s="508" t="s">
        <v>163</v>
      </c>
      <c r="Y9" s="379" t="s">
        <v>37</v>
      </c>
      <c r="Z9" s="252" t="s">
        <v>36</v>
      </c>
      <c r="AA9" s="56"/>
      <c r="AB9" s="4"/>
      <c r="AC9" s="4"/>
      <c r="AD9" s="4"/>
      <c r="AE9" s="4"/>
      <c r="AF9" s="4"/>
      <c r="AG9" s="4"/>
      <c r="AH9" s="4"/>
      <c r="AI9" s="4"/>
      <c r="AJ9" s="654"/>
      <c r="AK9" s="654"/>
      <c r="AL9" s="4"/>
      <c r="AM9" s="4"/>
      <c r="AN9" s="4"/>
      <c r="AO9" s="4"/>
      <c r="AP9" s="56"/>
    </row>
    <row r="10" spans="1:42" ht="16.5" customHeight="1" x14ac:dyDescent="0.25">
      <c r="A10" s="11"/>
      <c r="B10" s="12"/>
      <c r="C10" s="13" t="s">
        <v>9</v>
      </c>
      <c r="D10" s="59" t="s">
        <v>38</v>
      </c>
      <c r="E10" s="59" t="s">
        <v>84</v>
      </c>
      <c r="F10" s="59" t="s">
        <v>40</v>
      </c>
      <c r="G10" s="59" t="s">
        <v>41</v>
      </c>
      <c r="H10" s="59" t="s">
        <v>133</v>
      </c>
      <c r="I10" s="59" t="s">
        <v>86</v>
      </c>
      <c r="J10" s="59" t="s">
        <v>86</v>
      </c>
      <c r="K10" s="59" t="s">
        <v>44</v>
      </c>
      <c r="L10" s="59" t="s">
        <v>173</v>
      </c>
      <c r="M10" s="59" t="s">
        <v>174</v>
      </c>
      <c r="N10" s="59" t="s">
        <v>175</v>
      </c>
      <c r="O10" s="59" t="s">
        <v>176</v>
      </c>
      <c r="P10" s="59" t="s">
        <v>52</v>
      </c>
      <c r="Q10" s="59" t="s">
        <v>175</v>
      </c>
      <c r="R10" s="505" t="s">
        <v>42</v>
      </c>
      <c r="S10" s="505"/>
      <c r="T10" s="13" t="s">
        <v>177</v>
      </c>
      <c r="U10" s="13" t="s">
        <v>152</v>
      </c>
      <c r="V10" s="13" t="s">
        <v>154</v>
      </c>
      <c r="W10" s="13" t="s">
        <v>178</v>
      </c>
      <c r="X10" s="432" t="s">
        <v>42</v>
      </c>
      <c r="Y10" s="379" t="s">
        <v>12</v>
      </c>
      <c r="Z10" s="252" t="s">
        <v>45</v>
      </c>
      <c r="AA10" s="56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56"/>
    </row>
    <row r="11" spans="1:42" x14ac:dyDescent="0.25">
      <c r="A11" s="57"/>
      <c r="B11" s="12"/>
      <c r="C11" s="13" t="s">
        <v>13</v>
      </c>
      <c r="D11" s="59" t="s">
        <v>46</v>
      </c>
      <c r="E11" s="59" t="s">
        <v>51</v>
      </c>
      <c r="F11" s="59" t="s">
        <v>42</v>
      </c>
      <c r="G11" s="59" t="s">
        <v>47</v>
      </c>
      <c r="H11" s="59" t="s">
        <v>135</v>
      </c>
      <c r="I11" s="59" t="s">
        <v>136</v>
      </c>
      <c r="J11" s="59" t="s">
        <v>136</v>
      </c>
      <c r="K11" s="59"/>
      <c r="L11" s="59"/>
      <c r="M11" s="59"/>
      <c r="N11" s="59" t="s">
        <v>86</v>
      </c>
      <c r="O11" s="59" t="s">
        <v>48</v>
      </c>
      <c r="P11" s="59"/>
      <c r="Q11" s="59" t="s">
        <v>86</v>
      </c>
      <c r="R11" s="505" t="s">
        <v>12</v>
      </c>
      <c r="S11" s="505"/>
      <c r="T11" s="13" t="s">
        <v>179</v>
      </c>
      <c r="U11" s="13" t="s">
        <v>156</v>
      </c>
      <c r="V11" s="13" t="s">
        <v>180</v>
      </c>
      <c r="W11" s="13" t="s">
        <v>181</v>
      </c>
      <c r="X11" s="432" t="s">
        <v>12</v>
      </c>
      <c r="Y11" s="103" t="s">
        <v>209</v>
      </c>
      <c r="Z11" s="252" t="s">
        <v>50</v>
      </c>
      <c r="AA11" s="36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56"/>
    </row>
    <row r="12" spans="1:42" x14ac:dyDescent="0.25">
      <c r="A12" s="57"/>
      <c r="B12" s="12"/>
      <c r="C12" s="13"/>
      <c r="D12" s="61"/>
      <c r="E12" s="59" t="s">
        <v>210</v>
      </c>
      <c r="F12" s="59"/>
      <c r="G12" s="132"/>
      <c r="H12" s="62"/>
      <c r="I12" s="132" t="s">
        <v>182</v>
      </c>
      <c r="J12" s="132" t="s">
        <v>183</v>
      </c>
      <c r="K12" s="59"/>
      <c r="L12" s="62"/>
      <c r="M12" s="59"/>
      <c r="N12" s="59" t="s">
        <v>184</v>
      </c>
      <c r="O12" s="59" t="s">
        <v>185</v>
      </c>
      <c r="P12" s="59"/>
      <c r="Q12" s="59" t="s">
        <v>185</v>
      </c>
      <c r="R12" s="506" t="s">
        <v>207</v>
      </c>
      <c r="S12" s="506"/>
      <c r="T12" s="13" t="s">
        <v>186</v>
      </c>
      <c r="U12" s="13" t="s">
        <v>49</v>
      </c>
      <c r="V12" s="13" t="s">
        <v>187</v>
      </c>
      <c r="W12" s="13" t="s">
        <v>188</v>
      </c>
      <c r="X12" s="362" t="s">
        <v>208</v>
      </c>
      <c r="Y12" s="379"/>
      <c r="Z12" s="252"/>
      <c r="AA12" s="56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56"/>
    </row>
    <row r="13" spans="1:42" x14ac:dyDescent="0.25">
      <c r="A13" s="121"/>
      <c r="B13" s="114"/>
      <c r="C13" s="115"/>
      <c r="D13" s="116"/>
      <c r="E13" s="16"/>
      <c r="F13" s="16"/>
      <c r="G13" s="17"/>
      <c r="H13" s="122"/>
      <c r="I13" s="13"/>
      <c r="J13" s="17"/>
      <c r="K13" s="115"/>
      <c r="L13" s="122"/>
      <c r="M13" s="122"/>
      <c r="N13" s="122"/>
      <c r="O13" s="123"/>
      <c r="P13" s="115"/>
      <c r="Q13" s="115"/>
      <c r="R13" s="115"/>
      <c r="S13" s="115"/>
      <c r="T13" s="115"/>
      <c r="U13" s="115"/>
      <c r="V13" s="115"/>
      <c r="W13" s="124"/>
      <c r="X13" s="494"/>
      <c r="Y13" s="380"/>
      <c r="Z13" s="253"/>
      <c r="AA13" s="56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56"/>
    </row>
    <row r="14" spans="1:42" ht="18" customHeight="1" thickBot="1" x14ac:dyDescent="0.3">
      <c r="A14" s="199">
        <v>1</v>
      </c>
      <c r="B14" s="228"/>
      <c r="C14" s="225">
        <v>2</v>
      </c>
      <c r="D14" s="225">
        <v>3</v>
      </c>
      <c r="E14" s="225">
        <v>4</v>
      </c>
      <c r="F14" s="225">
        <v>5</v>
      </c>
      <c r="G14" s="225">
        <v>6</v>
      </c>
      <c r="H14" s="225">
        <v>7</v>
      </c>
      <c r="I14" s="225">
        <v>8</v>
      </c>
      <c r="J14" s="225">
        <v>9</v>
      </c>
      <c r="K14" s="225">
        <v>10</v>
      </c>
      <c r="L14" s="225">
        <v>11</v>
      </c>
      <c r="M14" s="225">
        <v>12</v>
      </c>
      <c r="N14" s="225">
        <v>13</v>
      </c>
      <c r="O14" s="225">
        <v>14</v>
      </c>
      <c r="P14" s="225">
        <v>15</v>
      </c>
      <c r="Q14" s="225">
        <v>16</v>
      </c>
      <c r="R14" s="225">
        <v>17</v>
      </c>
      <c r="S14" s="225"/>
      <c r="T14" s="225">
        <v>18</v>
      </c>
      <c r="U14" s="225">
        <v>19</v>
      </c>
      <c r="V14" s="225">
        <v>20</v>
      </c>
      <c r="W14" s="225">
        <v>21</v>
      </c>
      <c r="X14" s="509">
        <v>22</v>
      </c>
      <c r="Y14" s="381">
        <v>21</v>
      </c>
      <c r="Z14" s="254">
        <v>22</v>
      </c>
      <c r="AA14" s="363"/>
      <c r="AB14" s="4"/>
      <c r="AC14" s="4"/>
      <c r="AD14" s="4"/>
      <c r="AE14" s="4"/>
      <c r="AF14" s="4"/>
      <c r="AG14" s="4"/>
      <c r="AH14" s="4"/>
      <c r="AI14" s="4"/>
      <c r="AJ14" s="654"/>
      <c r="AK14" s="654"/>
      <c r="AL14" s="4"/>
      <c r="AM14" s="4"/>
      <c r="AN14" s="4"/>
      <c r="AO14" s="4"/>
      <c r="AP14" s="4"/>
    </row>
    <row r="15" spans="1:42" s="67" customFormat="1" ht="19.5" hidden="1" customHeight="1" x14ac:dyDescent="0.3">
      <c r="A15" s="63"/>
      <c r="B15" s="156"/>
      <c r="C15" s="64" t="s">
        <v>74</v>
      </c>
      <c r="D15" s="157">
        <v>31800</v>
      </c>
      <c r="E15" s="157">
        <v>11376</v>
      </c>
      <c r="F15" s="157">
        <v>4150278</v>
      </c>
      <c r="G15" s="157">
        <v>196820</v>
      </c>
      <c r="H15" s="157">
        <v>0</v>
      </c>
      <c r="I15" s="157">
        <v>25000</v>
      </c>
      <c r="J15" s="157">
        <v>470045</v>
      </c>
      <c r="K15" s="157">
        <v>1642331</v>
      </c>
      <c r="L15" s="157">
        <v>1781423</v>
      </c>
      <c r="M15" s="157">
        <v>28390</v>
      </c>
      <c r="N15" s="157">
        <v>500</v>
      </c>
      <c r="O15" s="157">
        <v>10000</v>
      </c>
      <c r="P15" s="157">
        <v>0</v>
      </c>
      <c r="Q15" s="157">
        <v>45950</v>
      </c>
      <c r="R15" s="475">
        <f>SUM(D15:Q15)</f>
        <v>8393913</v>
      </c>
      <c r="S15" s="475"/>
      <c r="T15" s="157">
        <v>20172</v>
      </c>
      <c r="U15" s="157">
        <v>0</v>
      </c>
      <c r="V15" s="157">
        <v>0</v>
      </c>
      <c r="W15" s="157">
        <v>0</v>
      </c>
      <c r="X15" s="510">
        <f>SUM(T15:W15)</f>
        <v>20172</v>
      </c>
      <c r="Y15" s="382">
        <f>R15+X15</f>
        <v>8414085</v>
      </c>
      <c r="Z15" s="257">
        <v>5667691</v>
      </c>
      <c r="AA15" s="364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6"/>
    </row>
    <row r="16" spans="1:42" ht="20.100000000000001" hidden="1" customHeight="1" x14ac:dyDescent="0.25">
      <c r="A16" s="68"/>
      <c r="B16" s="140" t="s">
        <v>70</v>
      </c>
      <c r="C16" s="41" t="s">
        <v>114</v>
      </c>
      <c r="D16" s="71"/>
      <c r="E16" s="71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3"/>
      <c r="Y16" s="211">
        <f>SUM(D16:W16)</f>
        <v>0</v>
      </c>
      <c r="Z16" s="256"/>
      <c r="AA16" s="365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70"/>
    </row>
    <row r="17" spans="1:42" ht="20.100000000000001" hidden="1" customHeight="1" x14ac:dyDescent="0.25">
      <c r="A17" s="162"/>
      <c r="B17" s="27"/>
      <c r="C17" s="24" t="s">
        <v>18</v>
      </c>
      <c r="D17" s="157">
        <f>SUM(D15:D16)</f>
        <v>31800</v>
      </c>
      <c r="E17" s="157">
        <f t="shared" ref="E17:W17" si="0">SUM(E15:E16)</f>
        <v>11376</v>
      </c>
      <c r="F17" s="157">
        <f t="shared" si="0"/>
        <v>4150278</v>
      </c>
      <c r="G17" s="157">
        <f t="shared" si="0"/>
        <v>196820</v>
      </c>
      <c r="H17" s="157">
        <f t="shared" si="0"/>
        <v>0</v>
      </c>
      <c r="I17" s="157">
        <f t="shared" si="0"/>
        <v>25000</v>
      </c>
      <c r="J17" s="157">
        <f t="shared" si="0"/>
        <v>470045</v>
      </c>
      <c r="K17" s="157">
        <f t="shared" si="0"/>
        <v>1642331</v>
      </c>
      <c r="L17" s="157">
        <f t="shared" si="0"/>
        <v>1781423</v>
      </c>
      <c r="M17" s="157">
        <f t="shared" si="0"/>
        <v>28390</v>
      </c>
      <c r="N17" s="157">
        <f t="shared" si="0"/>
        <v>500</v>
      </c>
      <c r="O17" s="157">
        <f t="shared" si="0"/>
        <v>10000</v>
      </c>
      <c r="P17" s="157">
        <f t="shared" si="0"/>
        <v>0</v>
      </c>
      <c r="Q17" s="157">
        <f t="shared" si="0"/>
        <v>45950</v>
      </c>
      <c r="R17" s="157"/>
      <c r="S17" s="157"/>
      <c r="T17" s="157">
        <f t="shared" si="0"/>
        <v>20172</v>
      </c>
      <c r="U17" s="157">
        <f t="shared" si="0"/>
        <v>0</v>
      </c>
      <c r="V17" s="157">
        <f t="shared" si="0"/>
        <v>0</v>
      </c>
      <c r="W17" s="157">
        <f t="shared" si="0"/>
        <v>0</v>
      </c>
      <c r="X17" s="158"/>
      <c r="Y17" s="383">
        <f>SUM(Y15:Y16)</f>
        <v>8414085</v>
      </c>
      <c r="Z17" s="257">
        <f>SUM(Z15:Z16)</f>
        <v>5667691</v>
      </c>
      <c r="AA17" s="364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70"/>
    </row>
    <row r="18" spans="1:42" ht="30" hidden="1" customHeight="1" x14ac:dyDescent="0.25">
      <c r="A18" s="82">
        <v>1</v>
      </c>
      <c r="B18" s="140" t="s">
        <v>196</v>
      </c>
      <c r="C18" s="28" t="s">
        <v>193</v>
      </c>
      <c r="D18" s="161"/>
      <c r="E18" s="161"/>
      <c r="F18" s="161">
        <f>1378+372</f>
        <v>1750</v>
      </c>
      <c r="G18" s="161"/>
      <c r="H18" s="161"/>
      <c r="I18" s="161"/>
      <c r="J18" s="161"/>
      <c r="K18" s="161">
        <f>-2500</f>
        <v>-2500</v>
      </c>
      <c r="L18" s="161">
        <f>590+160</f>
        <v>750</v>
      </c>
      <c r="N18" s="161"/>
      <c r="O18" s="161"/>
      <c r="P18" s="161"/>
      <c r="Q18" s="161"/>
      <c r="R18" s="161">
        <f t="shared" ref="R18:R39" si="1">SUM(D18:Q18)</f>
        <v>0</v>
      </c>
      <c r="S18" s="161"/>
      <c r="T18" s="161"/>
      <c r="U18" s="161"/>
      <c r="V18" s="161"/>
      <c r="W18" s="161"/>
      <c r="X18" s="167">
        <f t="shared" ref="X18:X81" si="2">SUM(T18:W18)</f>
        <v>0</v>
      </c>
      <c r="Y18" s="211">
        <f t="shared" ref="Y18:Y81" si="3">R18+X18</f>
        <v>0</v>
      </c>
      <c r="Z18" s="348"/>
      <c r="AA18" s="365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70"/>
    </row>
    <row r="19" spans="1:42" ht="30" hidden="1" customHeight="1" x14ac:dyDescent="0.25">
      <c r="A19" s="82">
        <v>2</v>
      </c>
      <c r="B19" s="140" t="s">
        <v>197</v>
      </c>
      <c r="C19" s="28" t="s">
        <v>194</v>
      </c>
      <c r="D19" s="161">
        <f>4710</f>
        <v>4710</v>
      </c>
      <c r="E19" s="161">
        <f>1145</f>
        <v>1145</v>
      </c>
      <c r="F19" s="161">
        <f>70+150+367+158</f>
        <v>745</v>
      </c>
      <c r="G19" s="161"/>
      <c r="H19" s="161"/>
      <c r="I19" s="161"/>
      <c r="J19" s="161">
        <f>400</f>
        <v>400</v>
      </c>
      <c r="K19" s="161">
        <f>-7000</f>
        <v>-7000</v>
      </c>
      <c r="L19" s="161"/>
      <c r="M19" s="161"/>
      <c r="N19" s="161"/>
      <c r="O19" s="161"/>
      <c r="P19" s="161"/>
      <c r="Q19" s="161"/>
      <c r="R19" s="161">
        <f t="shared" si="1"/>
        <v>0</v>
      </c>
      <c r="S19" s="161"/>
      <c r="T19" s="161"/>
      <c r="U19" s="161"/>
      <c r="V19" s="161"/>
      <c r="W19" s="161"/>
      <c r="X19" s="167">
        <f t="shared" si="2"/>
        <v>0</v>
      </c>
      <c r="Y19" s="211">
        <f t="shared" si="3"/>
        <v>0</v>
      </c>
      <c r="Z19" s="348"/>
      <c r="AA19" s="365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70"/>
    </row>
    <row r="20" spans="1:42" ht="30" hidden="1" customHeight="1" x14ac:dyDescent="0.25">
      <c r="A20" s="82">
        <v>3</v>
      </c>
      <c r="B20" s="140" t="s">
        <v>199</v>
      </c>
      <c r="C20" s="28" t="s">
        <v>200</v>
      </c>
      <c r="D20" s="161"/>
      <c r="E20" s="161"/>
      <c r="F20" s="161"/>
      <c r="G20" s="161"/>
      <c r="H20" s="161"/>
      <c r="I20" s="161"/>
      <c r="J20" s="161"/>
      <c r="K20" s="161">
        <f>-8550</f>
        <v>-8550</v>
      </c>
      <c r="L20" s="161"/>
      <c r="M20" s="161"/>
      <c r="N20" s="161"/>
      <c r="O20" s="161"/>
      <c r="P20" s="161"/>
      <c r="Q20" s="161"/>
      <c r="R20" s="161">
        <f t="shared" si="1"/>
        <v>-8550</v>
      </c>
      <c r="S20" s="161"/>
      <c r="T20" s="161"/>
      <c r="U20" s="161"/>
      <c r="V20" s="161"/>
      <c r="W20" s="161"/>
      <c r="X20" s="167">
        <f t="shared" si="2"/>
        <v>0</v>
      </c>
      <c r="Y20" s="211">
        <f t="shared" si="3"/>
        <v>-8550</v>
      </c>
      <c r="Z20" s="348">
        <f>8550</f>
        <v>8550</v>
      </c>
      <c r="AA20" s="365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70"/>
    </row>
    <row r="21" spans="1:42" ht="30" hidden="1" customHeight="1" x14ac:dyDescent="0.25">
      <c r="A21" s="82">
        <v>4</v>
      </c>
      <c r="B21" s="140" t="s">
        <v>201</v>
      </c>
      <c r="C21" s="28" t="s">
        <v>200</v>
      </c>
      <c r="D21" s="161"/>
      <c r="E21" s="161"/>
      <c r="F21" s="161"/>
      <c r="G21" s="161"/>
      <c r="H21" s="161"/>
      <c r="I21" s="161"/>
      <c r="J21" s="161"/>
      <c r="K21" s="161">
        <f>-20076-20989</f>
        <v>-41065</v>
      </c>
      <c r="L21" s="161">
        <f>4988</f>
        <v>4988</v>
      </c>
      <c r="M21" s="161">
        <f>2986+8850+4165</f>
        <v>16001</v>
      </c>
      <c r="N21" s="161"/>
      <c r="O21" s="161"/>
      <c r="P21" s="161"/>
      <c r="Q21" s="161"/>
      <c r="R21" s="161">
        <f t="shared" si="1"/>
        <v>-20076</v>
      </c>
      <c r="S21" s="161"/>
      <c r="T21" s="161"/>
      <c r="U21" s="161"/>
      <c r="V21" s="161"/>
      <c r="W21" s="161"/>
      <c r="X21" s="167">
        <f t="shared" si="2"/>
        <v>0</v>
      </c>
      <c r="Y21" s="211">
        <f t="shared" si="3"/>
        <v>-20076</v>
      </c>
      <c r="Z21" s="348">
        <f>20076</f>
        <v>20076</v>
      </c>
      <c r="AA21" s="365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70"/>
    </row>
    <row r="22" spans="1:42" ht="30" hidden="1" customHeight="1" x14ac:dyDescent="0.25">
      <c r="A22" s="82">
        <v>5</v>
      </c>
      <c r="B22" s="140" t="s">
        <v>202</v>
      </c>
      <c r="C22" s="28" t="s">
        <v>205</v>
      </c>
      <c r="D22" s="161"/>
      <c r="E22" s="161"/>
      <c r="F22" s="161">
        <f>5900+1593</f>
        <v>7493</v>
      </c>
      <c r="G22" s="161"/>
      <c r="H22" s="161"/>
      <c r="I22" s="161"/>
      <c r="J22" s="161"/>
      <c r="K22" s="161">
        <f>-7493</f>
        <v>-7493</v>
      </c>
      <c r="L22" s="161"/>
      <c r="M22" s="161"/>
      <c r="N22" s="161"/>
      <c r="O22" s="161"/>
      <c r="P22" s="161"/>
      <c r="Q22" s="161"/>
      <c r="R22" s="161">
        <f t="shared" si="1"/>
        <v>0</v>
      </c>
      <c r="S22" s="161"/>
      <c r="T22" s="161"/>
      <c r="U22" s="161"/>
      <c r="V22" s="161"/>
      <c r="W22" s="161"/>
      <c r="X22" s="167">
        <f t="shared" si="2"/>
        <v>0</v>
      </c>
      <c r="Y22" s="211">
        <f t="shared" si="3"/>
        <v>0</v>
      </c>
      <c r="Z22" s="348"/>
      <c r="AA22" s="365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70"/>
    </row>
    <row r="23" spans="1:42" ht="30" hidden="1" customHeight="1" x14ac:dyDescent="0.25">
      <c r="A23" s="82">
        <v>6</v>
      </c>
      <c r="B23" s="140" t="s">
        <v>204</v>
      </c>
      <c r="C23" s="28" t="s">
        <v>203</v>
      </c>
      <c r="D23" s="161"/>
      <c r="E23" s="161"/>
      <c r="F23" s="161">
        <f>1000</f>
        <v>1000</v>
      </c>
      <c r="G23" s="161">
        <f>-1000</f>
        <v>-1000</v>
      </c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>
        <f t="shared" si="1"/>
        <v>0</v>
      </c>
      <c r="S23" s="161"/>
      <c r="T23" s="161"/>
      <c r="U23" s="161"/>
      <c r="V23" s="161"/>
      <c r="W23" s="161"/>
      <c r="X23" s="167">
        <f t="shared" si="2"/>
        <v>0</v>
      </c>
      <c r="Y23" s="211">
        <f t="shared" si="3"/>
        <v>0</v>
      </c>
      <c r="Z23" s="348"/>
      <c r="AA23" s="365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70"/>
    </row>
    <row r="24" spans="1:42" ht="24.95" hidden="1" customHeight="1" x14ac:dyDescent="0.25">
      <c r="A24" s="82">
        <v>7</v>
      </c>
      <c r="B24" s="141"/>
      <c r="C24" s="28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>
        <f t="shared" si="1"/>
        <v>0</v>
      </c>
      <c r="S24" s="161"/>
      <c r="T24" s="161"/>
      <c r="U24" s="161"/>
      <c r="V24" s="161"/>
      <c r="W24" s="161"/>
      <c r="X24" s="167">
        <f t="shared" si="2"/>
        <v>0</v>
      </c>
      <c r="Y24" s="211">
        <f t="shared" si="3"/>
        <v>0</v>
      </c>
      <c r="Z24" s="348"/>
      <c r="AA24" s="365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70"/>
    </row>
    <row r="25" spans="1:42" ht="24.95" hidden="1" customHeight="1" x14ac:dyDescent="0.25">
      <c r="A25" s="82">
        <v>8</v>
      </c>
      <c r="B25" s="141"/>
      <c r="C25" s="28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>
        <f t="shared" si="1"/>
        <v>0</v>
      </c>
      <c r="S25" s="161"/>
      <c r="T25" s="161"/>
      <c r="U25" s="161"/>
      <c r="V25" s="161"/>
      <c r="W25" s="161"/>
      <c r="X25" s="167">
        <f t="shared" si="2"/>
        <v>0</v>
      </c>
      <c r="Y25" s="211">
        <f t="shared" si="3"/>
        <v>0</v>
      </c>
      <c r="Z25" s="348"/>
      <c r="AA25" s="365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70"/>
    </row>
    <row r="26" spans="1:42" ht="24.95" hidden="1" customHeight="1" x14ac:dyDescent="0.25">
      <c r="A26" s="82">
        <v>9</v>
      </c>
      <c r="B26" s="141"/>
      <c r="C26" s="28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>
        <f t="shared" si="1"/>
        <v>0</v>
      </c>
      <c r="S26" s="161"/>
      <c r="T26" s="161"/>
      <c r="U26" s="161"/>
      <c r="V26" s="161"/>
      <c r="W26" s="161"/>
      <c r="X26" s="167">
        <f t="shared" si="2"/>
        <v>0</v>
      </c>
      <c r="Y26" s="211">
        <f t="shared" si="3"/>
        <v>0</v>
      </c>
      <c r="Z26" s="348"/>
      <c r="AA26" s="365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70"/>
    </row>
    <row r="27" spans="1:42" ht="24.95" hidden="1" customHeight="1" x14ac:dyDescent="0.25">
      <c r="A27" s="82">
        <v>10</v>
      </c>
      <c r="B27" s="141"/>
      <c r="C27" s="28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>
        <f t="shared" si="1"/>
        <v>0</v>
      </c>
      <c r="S27" s="161"/>
      <c r="T27" s="161"/>
      <c r="U27" s="161"/>
      <c r="V27" s="161"/>
      <c r="W27" s="161"/>
      <c r="X27" s="167">
        <f t="shared" si="2"/>
        <v>0</v>
      </c>
      <c r="Y27" s="211">
        <f t="shared" si="3"/>
        <v>0</v>
      </c>
      <c r="Z27" s="348"/>
      <c r="AA27" s="365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70"/>
    </row>
    <row r="28" spans="1:42" ht="24.95" hidden="1" customHeight="1" x14ac:dyDescent="0.25">
      <c r="A28" s="82">
        <v>11</v>
      </c>
      <c r="B28" s="141"/>
      <c r="C28" s="28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>
        <f t="shared" si="1"/>
        <v>0</v>
      </c>
      <c r="S28" s="161"/>
      <c r="T28" s="161"/>
      <c r="U28" s="161"/>
      <c r="V28" s="161"/>
      <c r="W28" s="161"/>
      <c r="X28" s="167">
        <f t="shared" si="2"/>
        <v>0</v>
      </c>
      <c r="Y28" s="211">
        <f t="shared" si="3"/>
        <v>0</v>
      </c>
      <c r="Z28" s="348"/>
      <c r="AA28" s="365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70"/>
    </row>
    <row r="29" spans="1:42" ht="24.95" hidden="1" customHeight="1" x14ac:dyDescent="0.25">
      <c r="A29" s="82">
        <v>12</v>
      </c>
      <c r="B29" s="141"/>
      <c r="C29" s="28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>
        <f t="shared" si="1"/>
        <v>0</v>
      </c>
      <c r="S29" s="161"/>
      <c r="T29" s="161"/>
      <c r="U29" s="161"/>
      <c r="V29" s="161"/>
      <c r="W29" s="161"/>
      <c r="X29" s="167">
        <f t="shared" si="2"/>
        <v>0</v>
      </c>
      <c r="Y29" s="211">
        <f t="shared" si="3"/>
        <v>0</v>
      </c>
      <c r="Z29" s="348"/>
      <c r="AA29" s="365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70"/>
    </row>
    <row r="30" spans="1:42" ht="24.95" hidden="1" customHeight="1" x14ac:dyDescent="0.25">
      <c r="A30" s="82">
        <v>13</v>
      </c>
      <c r="B30" s="141"/>
      <c r="C30" s="28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>
        <f t="shared" si="1"/>
        <v>0</v>
      </c>
      <c r="S30" s="161"/>
      <c r="T30" s="161"/>
      <c r="U30" s="161"/>
      <c r="V30" s="161"/>
      <c r="W30" s="161"/>
      <c r="X30" s="167">
        <f t="shared" si="2"/>
        <v>0</v>
      </c>
      <c r="Y30" s="211">
        <f t="shared" si="3"/>
        <v>0</v>
      </c>
      <c r="Z30" s="348"/>
      <c r="AA30" s="365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70"/>
    </row>
    <row r="31" spans="1:42" ht="24.95" hidden="1" customHeight="1" x14ac:dyDescent="0.25">
      <c r="A31" s="82">
        <v>14</v>
      </c>
      <c r="B31" s="141"/>
      <c r="C31" s="28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>
        <f t="shared" si="1"/>
        <v>0</v>
      </c>
      <c r="S31" s="161"/>
      <c r="T31" s="161"/>
      <c r="U31" s="161"/>
      <c r="V31" s="161"/>
      <c r="W31" s="161"/>
      <c r="X31" s="167">
        <f t="shared" si="2"/>
        <v>0</v>
      </c>
      <c r="Y31" s="211">
        <f t="shared" si="3"/>
        <v>0</v>
      </c>
      <c r="Z31" s="348"/>
      <c r="AA31" s="365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70"/>
    </row>
    <row r="32" spans="1:42" ht="24.95" hidden="1" customHeight="1" x14ac:dyDescent="0.25">
      <c r="A32" s="82">
        <v>15</v>
      </c>
      <c r="B32" s="141"/>
      <c r="C32" s="28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>
        <f t="shared" si="1"/>
        <v>0</v>
      </c>
      <c r="S32" s="161"/>
      <c r="T32" s="161"/>
      <c r="U32" s="161"/>
      <c r="V32" s="161"/>
      <c r="W32" s="161"/>
      <c r="X32" s="167">
        <f t="shared" si="2"/>
        <v>0</v>
      </c>
      <c r="Y32" s="211">
        <f t="shared" si="3"/>
        <v>0</v>
      </c>
      <c r="Z32" s="348"/>
      <c r="AA32" s="365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70"/>
    </row>
    <row r="33" spans="1:74" ht="24.95" hidden="1" customHeight="1" x14ac:dyDescent="0.25">
      <c r="A33" s="82">
        <v>16</v>
      </c>
      <c r="B33" s="142"/>
      <c r="C33" s="33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>
        <f t="shared" si="1"/>
        <v>0</v>
      </c>
      <c r="S33" s="161"/>
      <c r="T33" s="161"/>
      <c r="U33" s="161"/>
      <c r="V33" s="161"/>
      <c r="W33" s="161"/>
      <c r="X33" s="167">
        <f t="shared" si="2"/>
        <v>0</v>
      </c>
      <c r="Y33" s="211">
        <f t="shared" si="3"/>
        <v>0</v>
      </c>
      <c r="Z33" s="348"/>
      <c r="AA33" s="365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70"/>
    </row>
    <row r="34" spans="1:74" ht="24.95" hidden="1" customHeight="1" x14ac:dyDescent="0.25">
      <c r="A34" s="82">
        <v>17</v>
      </c>
      <c r="B34" s="141"/>
      <c r="C34" s="28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>
        <f t="shared" si="1"/>
        <v>0</v>
      </c>
      <c r="S34" s="161"/>
      <c r="T34" s="161"/>
      <c r="U34" s="161"/>
      <c r="V34" s="161"/>
      <c r="W34" s="161"/>
      <c r="X34" s="167">
        <f t="shared" si="2"/>
        <v>0</v>
      </c>
      <c r="Y34" s="211">
        <f t="shared" si="3"/>
        <v>0</v>
      </c>
      <c r="Z34" s="348"/>
      <c r="AA34" s="365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70"/>
    </row>
    <row r="35" spans="1:74" ht="24.95" hidden="1" customHeight="1" x14ac:dyDescent="0.25">
      <c r="A35" s="82">
        <v>18</v>
      </c>
      <c r="B35" s="141"/>
      <c r="C35" s="28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>
        <f t="shared" si="1"/>
        <v>0</v>
      </c>
      <c r="S35" s="161"/>
      <c r="T35" s="161"/>
      <c r="U35" s="161"/>
      <c r="V35" s="161"/>
      <c r="W35" s="161"/>
      <c r="X35" s="167">
        <f t="shared" si="2"/>
        <v>0</v>
      </c>
      <c r="Y35" s="211">
        <f t="shared" si="3"/>
        <v>0</v>
      </c>
      <c r="Z35" s="348"/>
      <c r="AA35" s="365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70"/>
    </row>
    <row r="36" spans="1:74" ht="24.95" hidden="1" customHeight="1" x14ac:dyDescent="0.25">
      <c r="A36" s="82">
        <v>19</v>
      </c>
      <c r="B36" s="141"/>
      <c r="C36" s="39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>
        <f t="shared" si="1"/>
        <v>0</v>
      </c>
      <c r="S36" s="161"/>
      <c r="T36" s="161"/>
      <c r="U36" s="161"/>
      <c r="V36" s="161"/>
      <c r="W36" s="161"/>
      <c r="X36" s="167">
        <f t="shared" si="2"/>
        <v>0</v>
      </c>
      <c r="Y36" s="211">
        <f t="shared" si="3"/>
        <v>0</v>
      </c>
      <c r="Z36" s="348"/>
      <c r="AA36" s="365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70"/>
    </row>
    <row r="37" spans="1:74" ht="24.95" hidden="1" customHeight="1" x14ac:dyDescent="0.25">
      <c r="A37" s="82">
        <v>20</v>
      </c>
      <c r="B37" s="141"/>
      <c r="C37" s="39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>
        <f t="shared" si="1"/>
        <v>0</v>
      </c>
      <c r="S37" s="161"/>
      <c r="T37" s="161"/>
      <c r="U37" s="161"/>
      <c r="V37" s="161"/>
      <c r="W37" s="161"/>
      <c r="X37" s="167">
        <f t="shared" si="2"/>
        <v>0</v>
      </c>
      <c r="Y37" s="211">
        <f t="shared" si="3"/>
        <v>0</v>
      </c>
      <c r="Z37" s="348"/>
      <c r="AA37" s="365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70"/>
    </row>
    <row r="38" spans="1:74" ht="24.95" hidden="1" customHeight="1" x14ac:dyDescent="0.25">
      <c r="A38" s="82">
        <v>21</v>
      </c>
      <c r="B38" s="141"/>
      <c r="C38" s="39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>
        <f t="shared" si="1"/>
        <v>0</v>
      </c>
      <c r="S38" s="161"/>
      <c r="T38" s="161"/>
      <c r="U38" s="161"/>
      <c r="V38" s="161"/>
      <c r="W38" s="161"/>
      <c r="X38" s="167">
        <f t="shared" si="2"/>
        <v>0</v>
      </c>
      <c r="Y38" s="211">
        <f t="shared" si="3"/>
        <v>0</v>
      </c>
      <c r="Z38" s="348"/>
      <c r="AA38" s="365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70"/>
    </row>
    <row r="39" spans="1:74" ht="30" hidden="1" customHeight="1" x14ac:dyDescent="0.25">
      <c r="A39" s="82"/>
      <c r="B39" s="141"/>
      <c r="C39" s="28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>
        <f t="shared" si="1"/>
        <v>0</v>
      </c>
      <c r="S39" s="161"/>
      <c r="T39" s="161"/>
      <c r="U39" s="161"/>
      <c r="V39" s="161"/>
      <c r="W39" s="161"/>
      <c r="X39" s="167">
        <f t="shared" si="2"/>
        <v>0</v>
      </c>
      <c r="Y39" s="211">
        <f t="shared" si="3"/>
        <v>0</v>
      </c>
      <c r="Z39" s="348"/>
      <c r="AA39" s="365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70"/>
    </row>
    <row r="40" spans="1:74" ht="17.25" hidden="1" customHeight="1" thickBot="1" x14ac:dyDescent="0.25">
      <c r="A40" s="82"/>
      <c r="B40" s="129"/>
      <c r="C40" s="165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3">
        <f t="shared" si="2"/>
        <v>0</v>
      </c>
      <c r="Y40" s="211">
        <f t="shared" si="3"/>
        <v>0</v>
      </c>
      <c r="Z40" s="256"/>
      <c r="AA40" s="365"/>
    </row>
    <row r="41" spans="1:74" ht="35.1" hidden="1" customHeight="1" thickTop="1" thickBot="1" x14ac:dyDescent="0.25">
      <c r="A41" s="138"/>
      <c r="B41" s="90"/>
      <c r="C41" s="44" t="s">
        <v>19</v>
      </c>
      <c r="D41" s="168">
        <f t="shared" ref="D41:W41" si="4">SUM(D18:D38)+D39</f>
        <v>4710</v>
      </c>
      <c r="E41" s="168">
        <f t="shared" si="4"/>
        <v>1145</v>
      </c>
      <c r="F41" s="168">
        <f>SUM(F18:F38)+F39</f>
        <v>10988</v>
      </c>
      <c r="G41" s="168">
        <f t="shared" si="4"/>
        <v>-1000</v>
      </c>
      <c r="H41" s="168">
        <f t="shared" si="4"/>
        <v>0</v>
      </c>
      <c r="I41" s="168">
        <f t="shared" si="4"/>
        <v>0</v>
      </c>
      <c r="J41" s="168">
        <f t="shared" si="4"/>
        <v>400</v>
      </c>
      <c r="K41" s="168">
        <f t="shared" si="4"/>
        <v>-66608</v>
      </c>
      <c r="L41" s="168">
        <f t="shared" si="4"/>
        <v>5738</v>
      </c>
      <c r="M41" s="168">
        <f t="shared" si="4"/>
        <v>16001</v>
      </c>
      <c r="N41" s="168">
        <f t="shared" si="4"/>
        <v>0</v>
      </c>
      <c r="O41" s="168">
        <f t="shared" si="4"/>
        <v>0</v>
      </c>
      <c r="P41" s="168">
        <f t="shared" si="4"/>
        <v>0</v>
      </c>
      <c r="Q41" s="168">
        <f t="shared" si="4"/>
        <v>0</v>
      </c>
      <c r="R41" s="168">
        <f t="shared" ref="R41:R79" si="5">SUM(D41:Q41)</f>
        <v>-28626</v>
      </c>
      <c r="S41" s="168"/>
      <c r="T41" s="168">
        <f t="shared" si="4"/>
        <v>0</v>
      </c>
      <c r="U41" s="168">
        <f>SUM(U18:U38)+U39</f>
        <v>0</v>
      </c>
      <c r="V41" s="168">
        <f>SUM(V18:V38)+V39</f>
        <v>0</v>
      </c>
      <c r="W41" s="168">
        <f t="shared" si="4"/>
        <v>0</v>
      </c>
      <c r="X41" s="171">
        <f t="shared" si="2"/>
        <v>0</v>
      </c>
      <c r="Y41" s="171">
        <f t="shared" si="3"/>
        <v>-28626</v>
      </c>
      <c r="Z41" s="280">
        <f>SUM(Z18:Z38)+Z39</f>
        <v>28626</v>
      </c>
      <c r="AA41" s="366"/>
    </row>
    <row r="42" spans="1:74" ht="35.1" hidden="1" customHeight="1" thickTop="1" thickBot="1" x14ac:dyDescent="0.25">
      <c r="A42" s="138"/>
      <c r="B42" s="90"/>
      <c r="C42" s="44" t="s">
        <v>166</v>
      </c>
      <c r="D42" s="131">
        <f t="shared" ref="D42:W42" si="6">D17+D41</f>
        <v>36510</v>
      </c>
      <c r="E42" s="131">
        <f t="shared" si="6"/>
        <v>12521</v>
      </c>
      <c r="F42" s="131">
        <f t="shared" si="6"/>
        <v>4161266</v>
      </c>
      <c r="G42" s="131">
        <f t="shared" si="6"/>
        <v>195820</v>
      </c>
      <c r="H42" s="131">
        <f t="shared" si="6"/>
        <v>0</v>
      </c>
      <c r="I42" s="131">
        <f t="shared" si="6"/>
        <v>25000</v>
      </c>
      <c r="J42" s="131">
        <f t="shared" si="6"/>
        <v>470445</v>
      </c>
      <c r="K42" s="131">
        <f t="shared" si="6"/>
        <v>1575723</v>
      </c>
      <c r="L42" s="131">
        <f t="shared" si="6"/>
        <v>1787161</v>
      </c>
      <c r="M42" s="131">
        <f t="shared" si="6"/>
        <v>44391</v>
      </c>
      <c r="N42" s="131">
        <f t="shared" si="6"/>
        <v>500</v>
      </c>
      <c r="O42" s="131">
        <f t="shared" si="6"/>
        <v>10000</v>
      </c>
      <c r="P42" s="131">
        <f t="shared" si="6"/>
        <v>0</v>
      </c>
      <c r="Q42" s="131">
        <f t="shared" si="6"/>
        <v>45950</v>
      </c>
      <c r="R42" s="131">
        <f t="shared" si="5"/>
        <v>8365287</v>
      </c>
      <c r="S42" s="131"/>
      <c r="T42" s="131">
        <f t="shared" si="6"/>
        <v>20172</v>
      </c>
      <c r="U42" s="131">
        <f>U17+U41</f>
        <v>0</v>
      </c>
      <c r="V42" s="131">
        <f>V17+V41</f>
        <v>0</v>
      </c>
      <c r="W42" s="131">
        <f t="shared" si="6"/>
        <v>0</v>
      </c>
      <c r="X42" s="377">
        <f t="shared" si="2"/>
        <v>20172</v>
      </c>
      <c r="Y42" s="377">
        <f t="shared" si="3"/>
        <v>8385459</v>
      </c>
      <c r="Z42" s="396">
        <f>Z17+Z41</f>
        <v>5696317</v>
      </c>
      <c r="AA42" s="367"/>
      <c r="AB42" s="85">
        <f>Y42-Z42</f>
        <v>2689142</v>
      </c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</row>
    <row r="43" spans="1:74" ht="17.25" hidden="1" customHeight="1" thickTop="1" x14ac:dyDescent="0.2">
      <c r="A43" s="26"/>
      <c r="B43" s="139" t="s">
        <v>22</v>
      </c>
      <c r="C43" s="94" t="s">
        <v>53</v>
      </c>
      <c r="D43" s="95"/>
      <c r="E43" s="95"/>
      <c r="F43" s="95"/>
      <c r="G43" s="95"/>
      <c r="H43" s="95"/>
      <c r="I43" s="95"/>
      <c r="J43" s="95"/>
      <c r="K43" s="95">
        <f>135000+2376+3409+((200000-44450))+9133+11983+54495+100000+41600+8171</f>
        <v>521717</v>
      </c>
      <c r="L43" s="95"/>
      <c r="M43" s="95"/>
      <c r="N43" s="95"/>
      <c r="O43" s="95"/>
      <c r="P43" s="95"/>
      <c r="Q43" s="95"/>
      <c r="R43" s="95">
        <f t="shared" si="5"/>
        <v>521717</v>
      </c>
      <c r="S43" s="95"/>
      <c r="T43" s="95"/>
      <c r="U43" s="95"/>
      <c r="V43" s="95"/>
      <c r="W43" s="95"/>
      <c r="X43" s="99">
        <f t="shared" si="2"/>
        <v>0</v>
      </c>
      <c r="Y43" s="384">
        <f t="shared" si="3"/>
        <v>521717</v>
      </c>
      <c r="Z43" s="397">
        <v>36574</v>
      </c>
      <c r="AA43" s="368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</row>
    <row r="44" spans="1:74" ht="16.5" hidden="1" customHeight="1" x14ac:dyDescent="0.2">
      <c r="A44" s="26"/>
      <c r="B44" s="74" t="s">
        <v>71</v>
      </c>
      <c r="C44" s="96" t="s">
        <v>53</v>
      </c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>
        <f t="shared" si="5"/>
        <v>0</v>
      </c>
      <c r="S44" s="133"/>
      <c r="T44" s="133"/>
      <c r="U44" s="133"/>
      <c r="V44" s="133"/>
      <c r="W44" s="133"/>
      <c r="X44" s="495">
        <f t="shared" si="2"/>
        <v>0</v>
      </c>
      <c r="Y44" s="385">
        <f t="shared" si="3"/>
        <v>0</v>
      </c>
      <c r="Z44" s="398"/>
      <c r="AA44" s="368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</row>
    <row r="45" spans="1:74" ht="16.5" hidden="1" customHeight="1" x14ac:dyDescent="0.2">
      <c r="A45" s="26"/>
      <c r="B45" s="74" t="s">
        <v>24</v>
      </c>
      <c r="C45" s="96" t="s">
        <v>53</v>
      </c>
      <c r="D45" s="97"/>
      <c r="E45" s="97"/>
      <c r="F45" s="97">
        <f>3000+7426</f>
        <v>10426</v>
      </c>
      <c r="G45" s="97"/>
      <c r="H45" s="97"/>
      <c r="I45" s="97">
        <v>950</v>
      </c>
      <c r="J45" s="97"/>
      <c r="K45" s="97"/>
      <c r="L45" s="97">
        <v>11000</v>
      </c>
      <c r="M45" s="97"/>
      <c r="N45" s="97"/>
      <c r="O45" s="97"/>
      <c r="P45" s="97"/>
      <c r="Q45" s="97"/>
      <c r="R45" s="97">
        <f t="shared" si="5"/>
        <v>22376</v>
      </c>
      <c r="S45" s="97"/>
      <c r="T45" s="97"/>
      <c r="U45" s="97">
        <v>1400000</v>
      </c>
      <c r="V45" s="97"/>
      <c r="W45" s="97"/>
      <c r="X45" s="100">
        <f t="shared" si="2"/>
        <v>1400000</v>
      </c>
      <c r="Y45" s="385">
        <f t="shared" si="3"/>
        <v>1422376</v>
      </c>
      <c r="Z45" s="399"/>
      <c r="AA45" s="368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</row>
    <row r="46" spans="1:74" ht="16.5" hidden="1" customHeight="1" x14ac:dyDescent="0.2">
      <c r="A46" s="26"/>
      <c r="B46" s="74" t="s">
        <v>69</v>
      </c>
      <c r="C46" s="96" t="s">
        <v>53</v>
      </c>
      <c r="D46" s="97"/>
      <c r="E46" s="97"/>
      <c r="F46" s="97"/>
      <c r="G46" s="97"/>
      <c r="H46" s="97"/>
      <c r="I46" s="97"/>
      <c r="J46" s="97"/>
      <c r="K46" s="97"/>
      <c r="L46" s="97"/>
      <c r="M46" s="97"/>
      <c r="O46" s="97"/>
      <c r="P46" s="97"/>
      <c r="Q46" s="97"/>
      <c r="R46" s="97">
        <f t="shared" si="5"/>
        <v>0</v>
      </c>
      <c r="S46" s="97"/>
      <c r="T46" s="97"/>
      <c r="U46" s="97"/>
      <c r="V46" s="97"/>
      <c r="W46" s="97"/>
      <c r="X46" s="100">
        <f t="shared" si="2"/>
        <v>0</v>
      </c>
      <c r="Y46" s="385">
        <f t="shared" si="3"/>
        <v>0</v>
      </c>
      <c r="Z46" s="399"/>
      <c r="AA46" s="368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</row>
    <row r="47" spans="1:74" ht="16.5" hidden="1" customHeight="1" x14ac:dyDescent="0.2">
      <c r="A47" s="26"/>
      <c r="B47" s="74" t="s">
        <v>87</v>
      </c>
      <c r="C47" s="96" t="s">
        <v>53</v>
      </c>
      <c r="D47" s="97"/>
      <c r="F47" s="97">
        <f>2169</f>
        <v>2169</v>
      </c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>
        <f t="shared" si="5"/>
        <v>2169</v>
      </c>
      <c r="S47" s="97"/>
      <c r="T47" s="97"/>
      <c r="U47" s="97"/>
      <c r="V47" s="97"/>
      <c r="W47" s="97"/>
      <c r="X47" s="100">
        <f t="shared" si="2"/>
        <v>0</v>
      </c>
      <c r="Y47" s="385">
        <f t="shared" si="3"/>
        <v>2169</v>
      </c>
      <c r="Z47" s="399"/>
      <c r="AA47" s="368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</row>
    <row r="48" spans="1:74" ht="16.5" hidden="1" customHeight="1" x14ac:dyDescent="0.2">
      <c r="A48" s="26"/>
      <c r="B48" s="74" t="s">
        <v>56</v>
      </c>
      <c r="C48" s="96" t="s">
        <v>53</v>
      </c>
      <c r="D48" s="97"/>
      <c r="E48" s="97"/>
      <c r="F48" s="97"/>
      <c r="G48" s="97"/>
      <c r="H48" s="97"/>
      <c r="I48" s="97"/>
      <c r="J48" s="97">
        <v>2200</v>
      </c>
      <c r="K48" s="97"/>
      <c r="L48" s="97"/>
      <c r="M48" s="97"/>
      <c r="N48" s="97"/>
      <c r="O48" s="97"/>
      <c r="P48" s="97"/>
      <c r="Q48" s="97"/>
      <c r="R48" s="97">
        <f t="shared" si="5"/>
        <v>2200</v>
      </c>
      <c r="S48" s="97"/>
      <c r="T48" s="97"/>
      <c r="U48" s="97"/>
      <c r="V48" s="97"/>
      <c r="W48" s="97"/>
      <c r="X48" s="100">
        <f t="shared" si="2"/>
        <v>0</v>
      </c>
      <c r="Y48" s="385">
        <f t="shared" si="3"/>
        <v>2200</v>
      </c>
      <c r="Z48" s="399"/>
      <c r="AA48" s="368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</row>
    <row r="49" spans="1:74" ht="16.5" hidden="1" customHeight="1" x14ac:dyDescent="0.2">
      <c r="A49" s="26"/>
      <c r="B49" s="74" t="s">
        <v>57</v>
      </c>
      <c r="C49" s="96" t="s">
        <v>53</v>
      </c>
      <c r="D49" s="97"/>
      <c r="E49" s="97"/>
      <c r="F49" s="97"/>
      <c r="G49" s="97"/>
      <c r="H49" s="97"/>
      <c r="I49" s="97"/>
      <c r="J49" s="97">
        <f>80+550</f>
        <v>630</v>
      </c>
      <c r="K49" s="97"/>
      <c r="L49" s="97"/>
      <c r="M49" s="97"/>
      <c r="N49" s="97"/>
      <c r="O49" s="97"/>
      <c r="P49" s="97"/>
      <c r="Q49" s="97"/>
      <c r="R49" s="97">
        <f t="shared" si="5"/>
        <v>630</v>
      </c>
      <c r="S49" s="97"/>
      <c r="T49" s="97"/>
      <c r="U49" s="97"/>
      <c r="V49" s="97"/>
      <c r="W49" s="97"/>
      <c r="X49" s="100">
        <f t="shared" si="2"/>
        <v>0</v>
      </c>
      <c r="Y49" s="385">
        <f t="shared" si="3"/>
        <v>630</v>
      </c>
      <c r="Z49" s="399"/>
      <c r="AA49" s="368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</row>
    <row r="50" spans="1:74" ht="16.5" hidden="1" customHeight="1" x14ac:dyDescent="0.2">
      <c r="A50" s="26"/>
      <c r="B50" s="74" t="s">
        <v>58</v>
      </c>
      <c r="C50" s="96" t="s">
        <v>53</v>
      </c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>
        <f t="shared" si="5"/>
        <v>0</v>
      </c>
      <c r="S50" s="97"/>
      <c r="T50" s="97"/>
      <c r="U50" s="97"/>
      <c r="V50" s="97"/>
      <c r="W50" s="97"/>
      <c r="X50" s="100">
        <f t="shared" si="2"/>
        <v>0</v>
      </c>
      <c r="Y50" s="385">
        <f t="shared" si="3"/>
        <v>0</v>
      </c>
      <c r="Z50" s="399"/>
      <c r="AA50" s="368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</row>
    <row r="51" spans="1:74" ht="16.5" hidden="1" customHeight="1" x14ac:dyDescent="0.2">
      <c r="A51" s="26"/>
      <c r="B51" s="74" t="s">
        <v>59</v>
      </c>
      <c r="C51" s="96" t="s">
        <v>53</v>
      </c>
      <c r="D51" s="97"/>
      <c r="E51" s="97"/>
      <c r="F51" s="97">
        <f>857</f>
        <v>857</v>
      </c>
      <c r="G51" s="97"/>
      <c r="H51" s="97"/>
      <c r="I51" s="97"/>
      <c r="J51" s="97"/>
      <c r="K51" s="97"/>
      <c r="L51" s="97">
        <f>236+64</f>
        <v>300</v>
      </c>
      <c r="M51" s="97"/>
      <c r="N51" s="97"/>
      <c r="O51" s="97"/>
      <c r="P51" s="97"/>
      <c r="Q51" s="97"/>
      <c r="R51" s="97">
        <f t="shared" si="5"/>
        <v>1157</v>
      </c>
      <c r="S51" s="97"/>
      <c r="T51" s="97"/>
      <c r="U51" s="97"/>
      <c r="V51" s="97"/>
      <c r="W51" s="97"/>
      <c r="X51" s="100">
        <f t="shared" si="2"/>
        <v>0</v>
      </c>
      <c r="Y51" s="385">
        <f t="shared" si="3"/>
        <v>1157</v>
      </c>
      <c r="Z51" s="399"/>
      <c r="AA51" s="368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</row>
    <row r="52" spans="1:74" ht="16.5" hidden="1" customHeight="1" x14ac:dyDescent="0.2">
      <c r="A52" s="26"/>
      <c r="B52" s="74" t="s">
        <v>60</v>
      </c>
      <c r="C52" s="96" t="s">
        <v>53</v>
      </c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>
        <f t="shared" si="5"/>
        <v>0</v>
      </c>
      <c r="S52" s="97"/>
      <c r="T52" s="97"/>
      <c r="U52" s="97"/>
      <c r="V52" s="97"/>
      <c r="W52" s="97"/>
      <c r="X52" s="100">
        <f t="shared" si="2"/>
        <v>0</v>
      </c>
      <c r="Y52" s="385">
        <f t="shared" si="3"/>
        <v>0</v>
      </c>
      <c r="Z52" s="399"/>
      <c r="AA52" s="368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</row>
    <row r="53" spans="1:74" ht="16.5" hidden="1" customHeight="1" x14ac:dyDescent="0.2">
      <c r="A53" s="26"/>
      <c r="B53" s="74" t="s">
        <v>61</v>
      </c>
      <c r="C53" s="96" t="s">
        <v>53</v>
      </c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>
        <f t="shared" si="5"/>
        <v>0</v>
      </c>
      <c r="S53" s="97"/>
      <c r="T53" s="97"/>
      <c r="U53" s="97"/>
      <c r="V53" s="97"/>
      <c r="W53" s="97"/>
      <c r="X53" s="100">
        <f t="shared" si="2"/>
        <v>0</v>
      </c>
      <c r="Y53" s="385">
        <f t="shared" si="3"/>
        <v>0</v>
      </c>
      <c r="Z53" s="399"/>
      <c r="AA53" s="368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</row>
    <row r="54" spans="1:74" ht="16.5" hidden="1" customHeight="1" x14ac:dyDescent="0.2">
      <c r="A54" s="26"/>
      <c r="B54" s="74" t="s">
        <v>88</v>
      </c>
      <c r="C54" s="96" t="s">
        <v>53</v>
      </c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>
        <f t="shared" si="5"/>
        <v>0</v>
      </c>
      <c r="S54" s="97"/>
      <c r="T54" s="97"/>
      <c r="U54" s="97"/>
      <c r="V54" s="97"/>
      <c r="W54" s="97"/>
      <c r="X54" s="100">
        <f t="shared" si="2"/>
        <v>0</v>
      </c>
      <c r="Y54" s="385">
        <f t="shared" si="3"/>
        <v>0</v>
      </c>
      <c r="Z54" s="399"/>
      <c r="AA54" s="368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</row>
    <row r="55" spans="1:74" ht="16.5" hidden="1" customHeight="1" x14ac:dyDescent="0.2">
      <c r="A55" s="26"/>
      <c r="B55" s="74" t="s">
        <v>63</v>
      </c>
      <c r="C55" s="96" t="s">
        <v>53</v>
      </c>
      <c r="D55" s="97">
        <f>2000</f>
        <v>2000</v>
      </c>
      <c r="E55" s="97">
        <v>540</v>
      </c>
      <c r="F55" s="97">
        <f>4460</f>
        <v>4460</v>
      </c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>
        <f t="shared" si="5"/>
        <v>7000</v>
      </c>
      <c r="S55" s="97"/>
      <c r="T55" s="97"/>
      <c r="U55" s="97"/>
      <c r="V55" s="97"/>
      <c r="W55" s="97"/>
      <c r="X55" s="100">
        <f t="shared" si="2"/>
        <v>0</v>
      </c>
      <c r="Y55" s="385">
        <f t="shared" si="3"/>
        <v>7000</v>
      </c>
      <c r="Z55" s="399"/>
      <c r="AA55" s="368"/>
      <c r="AB55" s="85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</row>
    <row r="56" spans="1:74" ht="16.5" hidden="1" customHeight="1" x14ac:dyDescent="0.2">
      <c r="A56" s="26"/>
      <c r="B56" s="74" t="s">
        <v>89</v>
      </c>
      <c r="C56" s="96" t="s">
        <v>53</v>
      </c>
      <c r="D56" s="97"/>
      <c r="E56" s="97"/>
      <c r="F56" s="97">
        <f>15633+4091+354+96</f>
        <v>20174</v>
      </c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>
        <f t="shared" si="5"/>
        <v>20174</v>
      </c>
      <c r="S56" s="97"/>
      <c r="T56" s="97"/>
      <c r="U56" s="97"/>
      <c r="V56" s="97"/>
      <c r="W56" s="97"/>
      <c r="X56" s="100">
        <f t="shared" si="2"/>
        <v>0</v>
      </c>
      <c r="Y56" s="385">
        <f t="shared" si="3"/>
        <v>20174</v>
      </c>
      <c r="Z56" s="399"/>
      <c r="AA56" s="368"/>
      <c r="AB56" s="85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</row>
    <row r="57" spans="1:74" ht="16.5" hidden="1" customHeight="1" x14ac:dyDescent="0.2">
      <c r="A57" s="26"/>
      <c r="B57" s="74" t="s">
        <v>64</v>
      </c>
      <c r="C57" s="96" t="s">
        <v>53</v>
      </c>
      <c r="D57" s="97"/>
      <c r="E57" s="97"/>
      <c r="F57" s="97">
        <f>14475+3638</f>
        <v>18113</v>
      </c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>
        <f t="shared" si="5"/>
        <v>18113</v>
      </c>
      <c r="S57" s="97"/>
      <c r="T57" s="97"/>
      <c r="U57" s="97"/>
      <c r="V57" s="97"/>
      <c r="W57" s="97"/>
      <c r="X57" s="100">
        <f t="shared" si="2"/>
        <v>0</v>
      </c>
      <c r="Y57" s="385">
        <f t="shared" si="3"/>
        <v>18113</v>
      </c>
      <c r="Z57" s="399"/>
      <c r="AA57" s="368"/>
      <c r="AB57" s="85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</row>
    <row r="58" spans="1:74" ht="16.5" hidden="1" customHeight="1" x14ac:dyDescent="0.2">
      <c r="A58" s="26"/>
      <c r="B58" s="74" t="s">
        <v>26</v>
      </c>
      <c r="C58" s="96" t="s">
        <v>53</v>
      </c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>
        <f t="shared" si="5"/>
        <v>0</v>
      </c>
      <c r="S58" s="97"/>
      <c r="T58" s="97"/>
      <c r="U58" s="97"/>
      <c r="V58" s="97"/>
      <c r="W58" s="97"/>
      <c r="X58" s="100">
        <f t="shared" si="2"/>
        <v>0</v>
      </c>
      <c r="Y58" s="385">
        <f t="shared" si="3"/>
        <v>0</v>
      </c>
      <c r="Z58" s="399"/>
      <c r="AA58" s="368"/>
      <c r="AB58" s="85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</row>
    <row r="59" spans="1:74" ht="16.5" hidden="1" customHeight="1" x14ac:dyDescent="0.2">
      <c r="A59" s="26"/>
      <c r="B59" s="75" t="s">
        <v>27</v>
      </c>
      <c r="C59" s="98" t="s">
        <v>53</v>
      </c>
      <c r="D59" s="97">
        <f>1140</f>
        <v>1140</v>
      </c>
      <c r="E59" s="97">
        <f>308</f>
        <v>308</v>
      </c>
      <c r="F59" s="97">
        <f>650+80</f>
        <v>730</v>
      </c>
      <c r="G59" s="97">
        <f>1460</f>
        <v>1460</v>
      </c>
      <c r="H59" s="97"/>
      <c r="I59" s="97"/>
      <c r="J59" s="97">
        <f>500</f>
        <v>500</v>
      </c>
      <c r="K59" s="97"/>
      <c r="L59" s="97"/>
      <c r="M59" s="97"/>
      <c r="N59" s="97"/>
      <c r="O59" s="97"/>
      <c r="P59" s="97"/>
      <c r="Q59" s="97"/>
      <c r="R59" s="97">
        <f t="shared" si="5"/>
        <v>4138</v>
      </c>
      <c r="S59" s="97"/>
      <c r="T59" s="97"/>
      <c r="U59" s="97"/>
      <c r="V59" s="97"/>
      <c r="W59" s="97"/>
      <c r="X59" s="100">
        <f t="shared" si="2"/>
        <v>0</v>
      </c>
      <c r="Y59" s="385">
        <f t="shared" si="3"/>
        <v>4138</v>
      </c>
      <c r="Z59" s="399"/>
      <c r="AA59" s="368"/>
      <c r="AB59" s="85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</row>
    <row r="60" spans="1:74" ht="16.5" hidden="1" customHeight="1" x14ac:dyDescent="0.2">
      <c r="A60" s="26"/>
      <c r="B60" s="75" t="s">
        <v>78</v>
      </c>
      <c r="C60" s="98" t="s">
        <v>53</v>
      </c>
      <c r="D60" s="97"/>
      <c r="E60" s="97"/>
      <c r="F60" s="97">
        <f>5531+1493</f>
        <v>7024</v>
      </c>
      <c r="G60" s="97"/>
      <c r="H60" s="97"/>
      <c r="I60" s="97"/>
      <c r="J60" s="97"/>
      <c r="K60" s="97"/>
      <c r="L60" s="97">
        <f>7246+1956</f>
        <v>9202</v>
      </c>
      <c r="M60" s="97">
        <f>274+74</f>
        <v>348</v>
      </c>
      <c r="N60" s="97"/>
      <c r="O60" s="97"/>
      <c r="P60" s="97"/>
      <c r="Q60" s="97"/>
      <c r="R60" s="97">
        <f t="shared" si="5"/>
        <v>16574</v>
      </c>
      <c r="S60" s="97"/>
      <c r="T60" s="97"/>
      <c r="U60" s="97"/>
      <c r="V60" s="97"/>
      <c r="W60" s="97"/>
      <c r="X60" s="100">
        <f t="shared" si="2"/>
        <v>0</v>
      </c>
      <c r="Y60" s="385">
        <f t="shared" si="3"/>
        <v>16574</v>
      </c>
      <c r="Z60" s="399">
        <v>78172</v>
      </c>
      <c r="AA60" s="368"/>
      <c r="AB60" s="85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</row>
    <row r="61" spans="1:74" ht="16.5" hidden="1" customHeight="1" x14ac:dyDescent="0.2">
      <c r="A61" s="26"/>
      <c r="B61" s="75" t="s">
        <v>28</v>
      </c>
      <c r="C61" s="98" t="s">
        <v>53</v>
      </c>
      <c r="D61" s="97"/>
      <c r="E61" s="97"/>
      <c r="F61" s="97">
        <f>39+11+416</f>
        <v>466</v>
      </c>
      <c r="G61" s="97">
        <f>6927</f>
        <v>6927</v>
      </c>
      <c r="H61" s="97"/>
      <c r="I61" s="97"/>
      <c r="J61" s="97">
        <v>5450</v>
      </c>
      <c r="K61" s="97"/>
      <c r="L61" s="97"/>
      <c r="M61" s="97"/>
      <c r="N61" s="97"/>
      <c r="O61" s="97">
        <v>2000</v>
      </c>
      <c r="P61" s="97"/>
      <c r="Q61" s="97">
        <v>1000</v>
      </c>
      <c r="R61" s="97">
        <f t="shared" si="5"/>
        <v>15843</v>
      </c>
      <c r="S61" s="97"/>
      <c r="T61" s="97"/>
      <c r="U61" s="97"/>
      <c r="V61" s="97"/>
      <c r="W61" s="97"/>
      <c r="X61" s="100">
        <f t="shared" si="2"/>
        <v>0</v>
      </c>
      <c r="Y61" s="385">
        <f t="shared" si="3"/>
        <v>15843</v>
      </c>
      <c r="Z61" s="399"/>
      <c r="AA61" s="368"/>
      <c r="AB61" s="85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</row>
    <row r="62" spans="1:74" ht="16.5" hidden="1" customHeight="1" x14ac:dyDescent="0.2">
      <c r="A62" s="26"/>
      <c r="B62" s="32">
        <v>103</v>
      </c>
      <c r="C62" s="98" t="s">
        <v>53</v>
      </c>
      <c r="D62" s="97"/>
      <c r="E62" s="97"/>
      <c r="F62" s="97">
        <f>190+51</f>
        <v>241</v>
      </c>
      <c r="G62" s="97"/>
      <c r="H62" s="97"/>
      <c r="I62" s="97"/>
      <c r="J62" s="97"/>
      <c r="K62" s="97"/>
      <c r="L62" s="97">
        <f>700+189</f>
        <v>889</v>
      </c>
      <c r="M62" s="97"/>
      <c r="N62" s="97"/>
      <c r="O62" s="97"/>
      <c r="P62" s="97"/>
      <c r="Q62" s="97"/>
      <c r="R62" s="97">
        <f t="shared" si="5"/>
        <v>1130</v>
      </c>
      <c r="S62" s="97"/>
      <c r="T62" s="97"/>
      <c r="U62" s="97"/>
      <c r="V62" s="97"/>
      <c r="W62" s="97"/>
      <c r="X62" s="100">
        <f t="shared" si="2"/>
        <v>0</v>
      </c>
      <c r="Y62" s="385">
        <f t="shared" si="3"/>
        <v>1130</v>
      </c>
      <c r="Z62" s="399"/>
      <c r="AA62" s="368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</row>
    <row r="63" spans="1:74" ht="16.5" hidden="1" customHeight="1" x14ac:dyDescent="0.2">
      <c r="A63" s="26"/>
      <c r="B63" s="32">
        <v>105</v>
      </c>
      <c r="C63" s="98" t="s">
        <v>53</v>
      </c>
      <c r="D63" s="97"/>
      <c r="E63" s="97"/>
      <c r="F63" s="97">
        <f>9070+2449</f>
        <v>11519</v>
      </c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>
        <f t="shared" si="5"/>
        <v>11519</v>
      </c>
      <c r="S63" s="97"/>
      <c r="T63" s="97"/>
      <c r="U63" s="97"/>
      <c r="V63" s="97"/>
      <c r="W63" s="97"/>
      <c r="X63" s="100">
        <f t="shared" si="2"/>
        <v>0</v>
      </c>
      <c r="Y63" s="385">
        <f t="shared" si="3"/>
        <v>11519</v>
      </c>
      <c r="Z63" s="399"/>
      <c r="AA63" s="368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</row>
    <row r="64" spans="1:74" ht="16.5" hidden="1" customHeight="1" x14ac:dyDescent="0.2">
      <c r="A64" s="26"/>
      <c r="B64" s="32">
        <v>106</v>
      </c>
      <c r="C64" s="98" t="s">
        <v>53</v>
      </c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>
        <f t="shared" si="5"/>
        <v>0</v>
      </c>
      <c r="S64" s="97"/>
      <c r="T64" s="97"/>
      <c r="U64" s="97"/>
      <c r="V64" s="97"/>
      <c r="W64" s="97"/>
      <c r="X64" s="100">
        <f t="shared" si="2"/>
        <v>0</v>
      </c>
      <c r="Y64" s="385">
        <f t="shared" si="3"/>
        <v>0</v>
      </c>
      <c r="Z64" s="399"/>
      <c r="AA64" s="368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</row>
    <row r="65" spans="1:74" ht="16.5" hidden="1" customHeight="1" x14ac:dyDescent="0.2">
      <c r="A65" s="26"/>
      <c r="B65" s="32">
        <v>111</v>
      </c>
      <c r="C65" s="98" t="s">
        <v>53</v>
      </c>
      <c r="D65" s="97"/>
      <c r="E65" s="97"/>
      <c r="F65" s="97"/>
      <c r="G65" s="97"/>
      <c r="H65" s="97"/>
      <c r="I65" s="97"/>
      <c r="J65" s="97"/>
      <c r="K65" s="97">
        <v>31000</v>
      </c>
      <c r="L65" s="97"/>
      <c r="M65" s="97"/>
      <c r="N65" s="97"/>
      <c r="O65" s="97"/>
      <c r="P65" s="97"/>
      <c r="Q65" s="97">
        <v>69040</v>
      </c>
      <c r="R65" s="97">
        <f t="shared" si="5"/>
        <v>100040</v>
      </c>
      <c r="S65" s="97"/>
      <c r="T65" s="97"/>
      <c r="U65" s="97"/>
      <c r="V65" s="97"/>
      <c r="W65" s="97"/>
      <c r="X65" s="100">
        <f t="shared" si="2"/>
        <v>0</v>
      </c>
      <c r="Y65" s="385">
        <f t="shared" si="3"/>
        <v>100040</v>
      </c>
      <c r="Z65" s="399"/>
      <c r="AA65" s="368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</row>
    <row r="66" spans="1:74" ht="16.5" hidden="1" customHeight="1" x14ac:dyDescent="0.2">
      <c r="A66" s="26"/>
      <c r="B66" s="32">
        <v>112</v>
      </c>
      <c r="C66" s="98" t="s">
        <v>53</v>
      </c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>
        <f t="shared" si="5"/>
        <v>0</v>
      </c>
      <c r="S66" s="97"/>
      <c r="T66" s="97"/>
      <c r="U66" s="97"/>
      <c r="V66" s="97"/>
      <c r="W66" s="97"/>
      <c r="X66" s="100">
        <f t="shared" si="2"/>
        <v>0</v>
      </c>
      <c r="Y66" s="385">
        <f t="shared" si="3"/>
        <v>0</v>
      </c>
      <c r="Z66" s="399"/>
      <c r="AA66" s="368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</row>
    <row r="67" spans="1:74" ht="16.5" hidden="1" customHeight="1" x14ac:dyDescent="0.2">
      <c r="A67" s="26"/>
      <c r="B67" s="32">
        <v>120</v>
      </c>
      <c r="C67" s="76" t="s">
        <v>53</v>
      </c>
      <c r="D67" s="77"/>
      <c r="E67" s="77"/>
      <c r="F67" s="77"/>
      <c r="G67" s="77"/>
      <c r="H67" s="77"/>
      <c r="I67" s="78"/>
      <c r="J67" s="78"/>
      <c r="K67" s="78"/>
      <c r="L67" s="78">
        <f>65069+17571</f>
        <v>82640</v>
      </c>
      <c r="M67" s="78">
        <f>224+61</f>
        <v>285</v>
      </c>
      <c r="N67" s="78"/>
      <c r="O67" s="78"/>
      <c r="P67" s="78"/>
      <c r="Q67" s="78"/>
      <c r="R67" s="78">
        <f t="shared" si="5"/>
        <v>82925</v>
      </c>
      <c r="S67" s="78"/>
      <c r="T67" s="78"/>
      <c r="U67" s="78"/>
      <c r="V67" s="78"/>
      <c r="W67" s="78"/>
      <c r="X67" s="496">
        <f t="shared" si="2"/>
        <v>0</v>
      </c>
      <c r="Y67" s="385">
        <f t="shared" si="3"/>
        <v>82925</v>
      </c>
      <c r="Z67" s="400"/>
      <c r="AA67" s="369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</row>
    <row r="68" spans="1:74" ht="16.5" hidden="1" customHeight="1" x14ac:dyDescent="0.2">
      <c r="A68" s="26"/>
      <c r="B68" s="32">
        <v>121</v>
      </c>
      <c r="C68" s="76" t="s">
        <v>53</v>
      </c>
      <c r="D68" s="77"/>
      <c r="E68" s="77"/>
      <c r="F68" s="97">
        <f>8260+2233+1596+431</f>
        <v>12520</v>
      </c>
      <c r="G68" s="77"/>
      <c r="H68" s="77"/>
      <c r="I68" s="78"/>
      <c r="J68" s="78"/>
      <c r="K68" s="78"/>
      <c r="L68" s="97">
        <f>789762+213242-114879-31018-127267-34362+2625+2520+709+681+35000+9450</f>
        <v>746463</v>
      </c>
      <c r="M68" s="78"/>
      <c r="N68" s="78">
        <v>62838</v>
      </c>
      <c r="O68" s="78"/>
      <c r="P68" s="78"/>
      <c r="Q68" s="78"/>
      <c r="R68" s="78">
        <f t="shared" si="5"/>
        <v>821821</v>
      </c>
      <c r="S68" s="78"/>
      <c r="T68" s="78"/>
      <c r="U68" s="78"/>
      <c r="V68" s="78"/>
      <c r="W68" s="78"/>
      <c r="X68" s="496">
        <f t="shared" si="2"/>
        <v>0</v>
      </c>
      <c r="Y68" s="385">
        <f t="shared" si="3"/>
        <v>821821</v>
      </c>
      <c r="Z68" s="400"/>
      <c r="AA68" s="370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</row>
    <row r="69" spans="1:74" ht="16.5" hidden="1" customHeight="1" x14ac:dyDescent="0.2">
      <c r="A69" s="26"/>
      <c r="B69" s="32">
        <v>150</v>
      </c>
      <c r="C69" s="76" t="s">
        <v>53</v>
      </c>
      <c r="D69" s="77"/>
      <c r="E69" s="77"/>
      <c r="F69" s="97">
        <f>69+10+533+147</f>
        <v>759</v>
      </c>
      <c r="G69" s="77"/>
      <c r="H69" s="77"/>
      <c r="I69" s="78"/>
      <c r="J69" s="78"/>
      <c r="K69" s="78"/>
      <c r="L69" s="78"/>
      <c r="M69" s="78"/>
      <c r="N69" s="78"/>
      <c r="O69" s="78"/>
      <c r="P69" s="78"/>
      <c r="Q69" s="78"/>
      <c r="R69" s="78">
        <f t="shared" si="5"/>
        <v>759</v>
      </c>
      <c r="S69" s="78"/>
      <c r="T69" s="78"/>
      <c r="U69" s="78"/>
      <c r="V69" s="78"/>
      <c r="W69" s="78"/>
      <c r="X69" s="496">
        <f t="shared" si="2"/>
        <v>0</v>
      </c>
      <c r="Y69" s="385">
        <f t="shared" si="3"/>
        <v>759</v>
      </c>
      <c r="Z69" s="400"/>
      <c r="AA69" s="370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</row>
    <row r="70" spans="1:74" ht="16.5" hidden="1" customHeight="1" x14ac:dyDescent="0.2">
      <c r="A70" s="26"/>
      <c r="B70" s="32">
        <v>151</v>
      </c>
      <c r="C70" s="76" t="s">
        <v>53</v>
      </c>
      <c r="D70" s="77"/>
      <c r="E70" s="77"/>
      <c r="F70" s="97">
        <f>257+70</f>
        <v>327</v>
      </c>
      <c r="G70" s="77"/>
      <c r="H70" s="77"/>
      <c r="I70" s="78"/>
      <c r="J70" s="78"/>
      <c r="K70" s="78"/>
      <c r="L70" s="78">
        <f>6023+1625</f>
        <v>7648</v>
      </c>
      <c r="M70" s="78"/>
      <c r="N70" s="78"/>
      <c r="O70" s="78"/>
      <c r="P70" s="78"/>
      <c r="Q70" s="78"/>
      <c r="R70" s="78">
        <f t="shared" si="5"/>
        <v>7975</v>
      </c>
      <c r="S70" s="78"/>
      <c r="T70" s="78"/>
      <c r="U70" s="78"/>
      <c r="V70" s="78"/>
      <c r="W70" s="78"/>
      <c r="X70" s="496">
        <f t="shared" si="2"/>
        <v>0</v>
      </c>
      <c r="Y70" s="385">
        <f t="shared" si="3"/>
        <v>7975</v>
      </c>
      <c r="Z70" s="400"/>
      <c r="AA70" s="370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</row>
    <row r="71" spans="1:74" ht="16.5" hidden="1" customHeight="1" x14ac:dyDescent="0.2">
      <c r="A71" s="26"/>
      <c r="B71" s="32">
        <v>180</v>
      </c>
      <c r="C71" s="76" t="s">
        <v>53</v>
      </c>
      <c r="D71" s="77"/>
      <c r="E71" s="77"/>
      <c r="F71" s="97">
        <f>8193+2213+8000+2160</f>
        <v>20566</v>
      </c>
      <c r="G71" s="77"/>
      <c r="H71" s="77"/>
      <c r="I71" s="78"/>
      <c r="J71" s="78"/>
      <c r="K71" s="78"/>
      <c r="L71" s="78">
        <f>10000+2700</f>
        <v>12700</v>
      </c>
      <c r="M71" s="78">
        <f>1459+395</f>
        <v>1854</v>
      </c>
      <c r="N71" s="78"/>
      <c r="O71" s="78"/>
      <c r="P71" s="78"/>
      <c r="Q71" s="78"/>
      <c r="R71" s="78">
        <f t="shared" si="5"/>
        <v>35120</v>
      </c>
      <c r="S71" s="78"/>
      <c r="T71" s="78"/>
      <c r="U71" s="78"/>
      <c r="V71" s="78"/>
      <c r="W71" s="78"/>
      <c r="X71" s="496">
        <f t="shared" si="2"/>
        <v>0</v>
      </c>
      <c r="Y71" s="385">
        <f t="shared" si="3"/>
        <v>35120</v>
      </c>
      <c r="Z71" s="400"/>
      <c r="AA71" s="370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</row>
    <row r="72" spans="1:74" ht="16.5" hidden="1" customHeight="1" x14ac:dyDescent="0.2">
      <c r="A72" s="26"/>
      <c r="B72" s="32">
        <v>190</v>
      </c>
      <c r="C72" s="76" t="s">
        <v>53</v>
      </c>
      <c r="D72" s="77"/>
      <c r="E72" s="77"/>
      <c r="F72" s="77"/>
      <c r="G72" s="77"/>
      <c r="H72" s="77"/>
      <c r="I72" s="78"/>
      <c r="J72" s="78"/>
      <c r="K72" s="78"/>
      <c r="L72" s="78"/>
      <c r="M72" s="78"/>
      <c r="N72" s="78"/>
      <c r="O72" s="78"/>
      <c r="P72" s="78"/>
      <c r="Q72" s="78"/>
      <c r="R72" s="78">
        <f t="shared" si="5"/>
        <v>0</v>
      </c>
      <c r="S72" s="78"/>
      <c r="T72" s="78"/>
      <c r="U72" s="78"/>
      <c r="V72" s="78"/>
      <c r="W72" s="78"/>
      <c r="X72" s="496">
        <f t="shared" si="2"/>
        <v>0</v>
      </c>
      <c r="Y72" s="385">
        <f t="shared" si="3"/>
        <v>0</v>
      </c>
      <c r="Z72" s="400"/>
      <c r="AA72" s="370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</row>
    <row r="73" spans="1:74" ht="16.5" hidden="1" customHeight="1" x14ac:dyDescent="0.2">
      <c r="A73" s="26"/>
      <c r="B73" s="32">
        <v>200</v>
      </c>
      <c r="C73" s="76" t="s">
        <v>53</v>
      </c>
      <c r="D73" s="77"/>
      <c r="E73" s="77"/>
      <c r="F73" s="77"/>
      <c r="G73" s="77"/>
      <c r="H73" s="77"/>
      <c r="I73" s="78"/>
      <c r="J73" s="78"/>
      <c r="K73" s="78"/>
      <c r="L73" s="78"/>
      <c r="M73" s="78"/>
      <c r="N73" s="78"/>
      <c r="O73" s="78"/>
      <c r="P73" s="78"/>
      <c r="Q73" s="78"/>
      <c r="R73" s="78">
        <f t="shared" si="5"/>
        <v>0</v>
      </c>
      <c r="S73" s="78"/>
      <c r="T73" s="78"/>
      <c r="U73" s="78"/>
      <c r="V73" s="78"/>
      <c r="W73" s="78"/>
      <c r="X73" s="496">
        <f t="shared" si="2"/>
        <v>0</v>
      </c>
      <c r="Y73" s="385">
        <f t="shared" si="3"/>
        <v>0</v>
      </c>
      <c r="Z73" s="400"/>
      <c r="AA73" s="370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</row>
    <row r="74" spans="1:74" ht="16.5" hidden="1" customHeight="1" x14ac:dyDescent="0.2">
      <c r="A74" s="26"/>
      <c r="B74" s="32">
        <v>210</v>
      </c>
      <c r="C74" s="76" t="s">
        <v>53</v>
      </c>
      <c r="D74" s="77"/>
      <c r="E74" s="77"/>
      <c r="F74" s="77"/>
      <c r="G74" s="77"/>
      <c r="H74" s="77"/>
      <c r="I74" s="78"/>
      <c r="J74" s="78"/>
      <c r="K74" s="78"/>
      <c r="L74" s="78"/>
      <c r="M74" s="78"/>
      <c r="N74" s="79"/>
      <c r="O74" s="78"/>
      <c r="P74" s="78"/>
      <c r="Q74" s="78"/>
      <c r="R74" s="78">
        <f t="shared" si="5"/>
        <v>0</v>
      </c>
      <c r="S74" s="78"/>
      <c r="T74" s="78"/>
      <c r="U74" s="78"/>
      <c r="V74" s="78"/>
      <c r="W74" s="78"/>
      <c r="X74" s="496">
        <f t="shared" si="2"/>
        <v>0</v>
      </c>
      <c r="Y74" s="385">
        <f t="shared" si="3"/>
        <v>0</v>
      </c>
      <c r="Z74" s="400"/>
      <c r="AA74" s="370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</row>
    <row r="75" spans="1:74" ht="16.5" hidden="1" customHeight="1" x14ac:dyDescent="0.2">
      <c r="A75" s="26"/>
      <c r="B75" s="32">
        <v>220</v>
      </c>
      <c r="C75" s="76" t="s">
        <v>53</v>
      </c>
      <c r="D75" s="77"/>
      <c r="E75" s="77"/>
      <c r="F75" s="77"/>
      <c r="G75" s="77"/>
      <c r="H75" s="77"/>
      <c r="I75" s="78"/>
      <c r="J75" s="78"/>
      <c r="K75" s="78"/>
      <c r="L75" s="78"/>
      <c r="M75" s="78"/>
      <c r="N75" s="79"/>
      <c r="O75" s="78"/>
      <c r="P75" s="78"/>
      <c r="Q75" s="78"/>
      <c r="R75" s="78">
        <f t="shared" si="5"/>
        <v>0</v>
      </c>
      <c r="S75" s="78"/>
      <c r="T75" s="78"/>
      <c r="U75" s="78"/>
      <c r="V75" s="78"/>
      <c r="W75" s="78"/>
      <c r="X75" s="496">
        <f t="shared" si="2"/>
        <v>0</v>
      </c>
      <c r="Y75" s="385">
        <f t="shared" si="3"/>
        <v>0</v>
      </c>
      <c r="Z75" s="400"/>
      <c r="AA75" s="370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</row>
    <row r="76" spans="1:74" ht="16.5" hidden="1" customHeight="1" x14ac:dyDescent="0.2">
      <c r="A76" s="26"/>
      <c r="B76" s="32">
        <v>407</v>
      </c>
      <c r="C76" s="76" t="s">
        <v>53</v>
      </c>
      <c r="D76" s="77"/>
      <c r="E76" s="77"/>
      <c r="F76" s="77"/>
      <c r="G76" s="77"/>
      <c r="H76" s="77"/>
      <c r="I76" s="78"/>
      <c r="J76" s="78"/>
      <c r="K76" s="78"/>
      <c r="L76" s="78"/>
      <c r="M76" s="78"/>
      <c r="N76" s="78"/>
      <c r="O76" s="78"/>
      <c r="P76" s="78"/>
      <c r="Q76" s="78"/>
      <c r="R76" s="78">
        <f t="shared" si="5"/>
        <v>0</v>
      </c>
      <c r="S76" s="78"/>
      <c r="T76" s="78"/>
      <c r="U76" s="78"/>
      <c r="V76" s="78"/>
      <c r="W76" s="78"/>
      <c r="X76" s="496">
        <f t="shared" si="2"/>
        <v>0</v>
      </c>
      <c r="Y76" s="385">
        <f t="shared" si="3"/>
        <v>0</v>
      </c>
      <c r="Z76" s="400"/>
      <c r="AA76" s="370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</row>
    <row r="77" spans="1:74" ht="16.5" hidden="1" customHeight="1" x14ac:dyDescent="0.2">
      <c r="A77" s="26"/>
      <c r="B77" s="32">
        <v>418</v>
      </c>
      <c r="C77" s="76" t="s">
        <v>53</v>
      </c>
      <c r="D77" s="77"/>
      <c r="E77" s="77"/>
      <c r="F77" s="77">
        <f>290+78</f>
        <v>368</v>
      </c>
      <c r="G77" s="77"/>
      <c r="H77" s="77"/>
      <c r="I77" s="78"/>
      <c r="J77" s="78"/>
      <c r="K77" s="78"/>
      <c r="L77" s="78">
        <f>900+189</f>
        <v>1089</v>
      </c>
      <c r="M77" s="78"/>
      <c r="N77" s="78"/>
      <c r="O77" s="78"/>
      <c r="P77" s="78"/>
      <c r="Q77" s="78"/>
      <c r="R77" s="78">
        <f t="shared" si="5"/>
        <v>1457</v>
      </c>
      <c r="S77" s="78"/>
      <c r="T77" s="78"/>
      <c r="U77" s="78"/>
      <c r="V77" s="78"/>
      <c r="W77" s="78"/>
      <c r="X77" s="496">
        <f t="shared" si="2"/>
        <v>0</v>
      </c>
      <c r="Y77" s="385">
        <f t="shared" si="3"/>
        <v>1457</v>
      </c>
      <c r="Z77" s="400"/>
      <c r="AA77" s="370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</row>
    <row r="78" spans="1:74" ht="16.5" hidden="1" customHeight="1" x14ac:dyDescent="0.2">
      <c r="A78" s="26"/>
      <c r="B78" s="32">
        <v>419</v>
      </c>
      <c r="C78" s="76" t="s">
        <v>53</v>
      </c>
      <c r="D78" s="77"/>
      <c r="E78" s="77"/>
      <c r="F78" s="77">
        <f>1500+405</f>
        <v>1905</v>
      </c>
      <c r="G78" s="77"/>
      <c r="H78" s="77"/>
      <c r="I78" s="78"/>
      <c r="J78" s="78"/>
      <c r="K78" s="78"/>
      <c r="L78" s="78">
        <f>258311+69745</f>
        <v>328056</v>
      </c>
      <c r="M78" s="78"/>
      <c r="N78" s="78"/>
      <c r="O78" s="78"/>
      <c r="P78" s="78"/>
      <c r="Q78" s="78"/>
      <c r="R78" s="78">
        <f t="shared" si="5"/>
        <v>329961</v>
      </c>
      <c r="S78" s="78"/>
      <c r="T78" s="78"/>
      <c r="U78" s="78"/>
      <c r="V78" s="78"/>
      <c r="W78" s="78"/>
      <c r="X78" s="496">
        <f t="shared" si="2"/>
        <v>0</v>
      </c>
      <c r="Y78" s="385">
        <f t="shared" si="3"/>
        <v>329961</v>
      </c>
      <c r="Z78" s="400"/>
      <c r="AA78" s="370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</row>
    <row r="79" spans="1:74" ht="16.5" hidden="1" customHeight="1" x14ac:dyDescent="0.2">
      <c r="A79" s="26"/>
      <c r="B79" s="32">
        <v>420</v>
      </c>
      <c r="C79" s="76" t="s">
        <v>53</v>
      </c>
      <c r="D79" s="77"/>
      <c r="E79" s="77"/>
      <c r="F79" s="77">
        <f>579+156</f>
        <v>735</v>
      </c>
      <c r="G79" s="77"/>
      <c r="H79" s="77"/>
      <c r="I79" s="78"/>
      <c r="J79" s="78"/>
      <c r="K79" s="78"/>
      <c r="L79" s="78">
        <f>4800+1296</f>
        <v>6096</v>
      </c>
      <c r="M79" s="78"/>
      <c r="N79" s="78"/>
      <c r="O79" s="78"/>
      <c r="P79" s="78"/>
      <c r="Q79" s="78"/>
      <c r="R79" s="78">
        <f t="shared" si="5"/>
        <v>6831</v>
      </c>
      <c r="S79" s="78"/>
      <c r="T79" s="78"/>
      <c r="U79" s="78"/>
      <c r="V79" s="78"/>
      <c r="W79" s="78"/>
      <c r="X79" s="496">
        <f t="shared" si="2"/>
        <v>0</v>
      </c>
      <c r="Y79" s="385">
        <f t="shared" si="3"/>
        <v>6831</v>
      </c>
      <c r="Z79" s="400"/>
      <c r="AA79" s="370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</row>
    <row r="80" spans="1:74" ht="16.5" hidden="1" customHeight="1" x14ac:dyDescent="0.2">
      <c r="A80" s="26"/>
      <c r="B80" s="32"/>
      <c r="C80" s="76" t="s">
        <v>53</v>
      </c>
      <c r="D80" s="77"/>
      <c r="E80" s="77"/>
      <c r="F80" s="77"/>
      <c r="G80" s="77"/>
      <c r="H80" s="77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496">
        <f t="shared" si="2"/>
        <v>0</v>
      </c>
      <c r="Y80" s="385">
        <f t="shared" si="3"/>
        <v>0</v>
      </c>
      <c r="Z80" s="400"/>
      <c r="AA80" s="370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</row>
    <row r="81" spans="1:74" ht="16.5" hidden="1" customHeight="1" x14ac:dyDescent="0.2">
      <c r="A81" s="26"/>
      <c r="B81" s="32"/>
      <c r="C81" s="76" t="s">
        <v>53</v>
      </c>
      <c r="D81" s="77"/>
      <c r="E81" s="77"/>
      <c r="F81" s="77"/>
      <c r="G81" s="77"/>
      <c r="H81" s="77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496">
        <f t="shared" si="2"/>
        <v>0</v>
      </c>
      <c r="Y81" s="385">
        <f t="shared" si="3"/>
        <v>0</v>
      </c>
      <c r="Z81" s="400"/>
      <c r="AA81" s="370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  <c r="BV81" s="53"/>
    </row>
    <row r="82" spans="1:74" ht="16.5" hidden="1" customHeight="1" x14ac:dyDescent="0.2">
      <c r="A82" s="26"/>
      <c r="B82" s="32"/>
      <c r="C82" s="76" t="s">
        <v>53</v>
      </c>
      <c r="D82" s="77"/>
      <c r="E82" s="77"/>
      <c r="F82" s="77"/>
      <c r="G82" s="77"/>
      <c r="H82" s="77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496">
        <f t="shared" ref="X82:X165" si="7">SUM(T82:W82)</f>
        <v>0</v>
      </c>
      <c r="Y82" s="385">
        <f t="shared" ref="Y82:Y165" si="8">R82+X82</f>
        <v>0</v>
      </c>
      <c r="Z82" s="400"/>
      <c r="AA82" s="370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</row>
    <row r="83" spans="1:74" ht="16.5" hidden="1" customHeight="1" x14ac:dyDescent="0.2">
      <c r="A83" s="26"/>
      <c r="B83" s="32"/>
      <c r="C83" s="76" t="s">
        <v>53</v>
      </c>
      <c r="D83" s="77"/>
      <c r="E83" s="77"/>
      <c r="F83" s="77"/>
      <c r="G83" s="77"/>
      <c r="H83" s="77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496">
        <f t="shared" si="7"/>
        <v>0</v>
      </c>
      <c r="Y83" s="385">
        <f t="shared" si="8"/>
        <v>0</v>
      </c>
      <c r="Z83" s="400"/>
      <c r="AA83" s="370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</row>
    <row r="84" spans="1:74" ht="16.5" hidden="1" customHeight="1" x14ac:dyDescent="0.2">
      <c r="A84" s="26"/>
      <c r="B84" s="32"/>
      <c r="C84" s="76" t="s">
        <v>53</v>
      </c>
      <c r="D84" s="77"/>
      <c r="E84" s="77"/>
      <c r="F84" s="77"/>
      <c r="G84" s="77"/>
      <c r="H84" s="77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496">
        <f t="shared" si="7"/>
        <v>0</v>
      </c>
      <c r="Y84" s="385">
        <f t="shared" si="8"/>
        <v>0</v>
      </c>
      <c r="Z84" s="400"/>
      <c r="AA84" s="370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  <c r="BT84" s="53"/>
      <c r="BU84" s="53"/>
      <c r="BV84" s="53"/>
    </row>
    <row r="85" spans="1:74" ht="16.5" hidden="1" customHeight="1" x14ac:dyDescent="0.2">
      <c r="A85" s="26"/>
      <c r="B85" s="32"/>
      <c r="C85" s="76" t="s">
        <v>53</v>
      </c>
      <c r="D85" s="77"/>
      <c r="E85" s="77"/>
      <c r="F85" s="77"/>
      <c r="G85" s="77"/>
      <c r="H85" s="77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496">
        <f t="shared" si="7"/>
        <v>0</v>
      </c>
      <c r="Y85" s="385">
        <f t="shared" si="8"/>
        <v>0</v>
      </c>
      <c r="Z85" s="400"/>
      <c r="AA85" s="370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3"/>
      <c r="BV85" s="53"/>
    </row>
    <row r="86" spans="1:74" ht="16.5" hidden="1" customHeight="1" x14ac:dyDescent="0.2">
      <c r="A86" s="26"/>
      <c r="B86" s="335"/>
      <c r="C86" s="76" t="s">
        <v>53</v>
      </c>
      <c r="D86" s="333"/>
      <c r="E86" s="333"/>
      <c r="F86" s="333"/>
      <c r="G86" s="333"/>
      <c r="H86" s="333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T86" s="334"/>
      <c r="U86" s="334"/>
      <c r="V86" s="334"/>
      <c r="W86" s="334"/>
      <c r="X86" s="497">
        <f t="shared" si="7"/>
        <v>0</v>
      </c>
      <c r="Y86" s="385">
        <f t="shared" si="8"/>
        <v>0</v>
      </c>
      <c r="Z86" s="401"/>
      <c r="AA86" s="370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  <c r="BU86" s="53"/>
      <c r="BV86" s="53"/>
    </row>
    <row r="87" spans="1:74" ht="16.5" hidden="1" customHeight="1" x14ac:dyDescent="0.2">
      <c r="A87" s="26"/>
      <c r="B87" s="337"/>
      <c r="C87" s="76" t="s">
        <v>53</v>
      </c>
      <c r="D87" s="333"/>
      <c r="E87" s="333"/>
      <c r="F87" s="333"/>
      <c r="G87" s="333"/>
      <c r="H87" s="333"/>
      <c r="I87" s="334"/>
      <c r="J87" s="334"/>
      <c r="K87" s="334"/>
      <c r="L87" s="334"/>
      <c r="M87" s="334"/>
      <c r="N87" s="334"/>
      <c r="O87" s="334"/>
      <c r="P87" s="334"/>
      <c r="Q87" s="334"/>
      <c r="R87" s="334"/>
      <c r="S87" s="334"/>
      <c r="T87" s="334"/>
      <c r="U87" s="334"/>
      <c r="V87" s="334"/>
      <c r="W87" s="334"/>
      <c r="X87" s="497">
        <f t="shared" si="7"/>
        <v>0</v>
      </c>
      <c r="Y87" s="385">
        <f t="shared" si="8"/>
        <v>0</v>
      </c>
      <c r="Z87" s="401"/>
      <c r="AA87" s="370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53"/>
    </row>
    <row r="88" spans="1:74" ht="17.25" hidden="1" customHeight="1" thickBot="1" x14ac:dyDescent="0.25">
      <c r="A88" s="155"/>
      <c r="B88" s="336"/>
      <c r="C88" s="150" t="s">
        <v>73</v>
      </c>
      <c r="D88" s="151"/>
      <c r="E88" s="151"/>
      <c r="F88" s="151"/>
      <c r="G88" s="151"/>
      <c r="H88" s="151"/>
      <c r="I88" s="152"/>
      <c r="J88" s="152"/>
      <c r="K88" s="152"/>
      <c r="L88" s="152"/>
      <c r="M88" s="152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498">
        <f t="shared" si="7"/>
        <v>0</v>
      </c>
      <c r="Y88" s="386">
        <f t="shared" si="8"/>
        <v>0</v>
      </c>
      <c r="Z88" s="402"/>
      <c r="AA88" s="371"/>
      <c r="AB88" s="134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53"/>
      <c r="BT88" s="53"/>
      <c r="BU88" s="53"/>
      <c r="BV88" s="53"/>
    </row>
    <row r="89" spans="1:74" s="81" customFormat="1" ht="30" hidden="1" customHeight="1" thickTop="1" thickBot="1" x14ac:dyDescent="0.25">
      <c r="A89" s="154"/>
      <c r="B89" s="149"/>
      <c r="C89" s="39" t="s">
        <v>66</v>
      </c>
      <c r="D89" s="52">
        <f t="shared" ref="D89:W89" si="9">SUM(D43:D88)</f>
        <v>3140</v>
      </c>
      <c r="E89" s="52">
        <f t="shared" si="9"/>
        <v>848</v>
      </c>
      <c r="F89" s="52">
        <f t="shared" si="9"/>
        <v>113359</v>
      </c>
      <c r="G89" s="52">
        <f t="shared" si="9"/>
        <v>8387</v>
      </c>
      <c r="H89" s="52">
        <f t="shared" si="9"/>
        <v>0</v>
      </c>
      <c r="I89" s="52">
        <f t="shared" si="9"/>
        <v>950</v>
      </c>
      <c r="J89" s="52">
        <f t="shared" si="9"/>
        <v>8780</v>
      </c>
      <c r="K89" s="52">
        <f t="shared" si="9"/>
        <v>552717</v>
      </c>
      <c r="L89" s="52">
        <f t="shared" si="9"/>
        <v>1206083</v>
      </c>
      <c r="M89" s="52">
        <f t="shared" si="9"/>
        <v>2487</v>
      </c>
      <c r="N89" s="52">
        <f t="shared" si="9"/>
        <v>62838</v>
      </c>
      <c r="O89" s="52">
        <f t="shared" si="9"/>
        <v>2000</v>
      </c>
      <c r="P89" s="52">
        <f t="shared" si="9"/>
        <v>0</v>
      </c>
      <c r="Q89" s="52">
        <f t="shared" si="9"/>
        <v>70040</v>
      </c>
      <c r="R89" s="52">
        <f t="shared" ref="R89:R172" si="10">SUM(D89:Q89)</f>
        <v>2031629</v>
      </c>
      <c r="S89" s="52"/>
      <c r="T89" s="52">
        <f t="shared" si="9"/>
        <v>0</v>
      </c>
      <c r="U89" s="52">
        <f t="shared" si="9"/>
        <v>1400000</v>
      </c>
      <c r="V89" s="52">
        <f t="shared" si="9"/>
        <v>0</v>
      </c>
      <c r="W89" s="52">
        <f t="shared" si="9"/>
        <v>0</v>
      </c>
      <c r="X89" s="499">
        <f t="shared" si="7"/>
        <v>1400000</v>
      </c>
      <c r="Y89" s="387">
        <f t="shared" si="8"/>
        <v>3431629</v>
      </c>
      <c r="Z89" s="403">
        <f>SUM(Z43:Z88)</f>
        <v>114746</v>
      </c>
      <c r="AA89" s="366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53"/>
      <c r="BT89" s="53"/>
      <c r="BU89" s="53"/>
      <c r="BV89" s="53"/>
    </row>
    <row r="90" spans="1:74" ht="35.1" hidden="1" customHeight="1" thickTop="1" thickBot="1" x14ac:dyDescent="0.35">
      <c r="A90" s="137"/>
      <c r="B90" s="224" t="s">
        <v>206</v>
      </c>
      <c r="C90" s="44" t="s">
        <v>192</v>
      </c>
      <c r="D90" s="86">
        <f t="shared" ref="D90:Z90" si="11">D42+D89</f>
        <v>39650</v>
      </c>
      <c r="E90" s="86">
        <f t="shared" si="11"/>
        <v>13369</v>
      </c>
      <c r="F90" s="131">
        <f t="shared" si="11"/>
        <v>4274625</v>
      </c>
      <c r="G90" s="131">
        <f t="shared" si="11"/>
        <v>204207</v>
      </c>
      <c r="H90" s="131">
        <f t="shared" si="11"/>
        <v>0</v>
      </c>
      <c r="I90" s="131">
        <f t="shared" si="11"/>
        <v>25950</v>
      </c>
      <c r="J90" s="86">
        <f t="shared" si="11"/>
        <v>479225</v>
      </c>
      <c r="K90" s="86">
        <f t="shared" si="11"/>
        <v>2128440</v>
      </c>
      <c r="L90" s="86">
        <f t="shared" si="11"/>
        <v>2993244</v>
      </c>
      <c r="M90" s="86">
        <f t="shared" si="11"/>
        <v>46878</v>
      </c>
      <c r="N90" s="86">
        <f t="shared" si="11"/>
        <v>63338</v>
      </c>
      <c r="O90" s="131">
        <f t="shared" si="11"/>
        <v>12000</v>
      </c>
      <c r="P90" s="86">
        <f t="shared" si="11"/>
        <v>0</v>
      </c>
      <c r="Q90" s="86">
        <f t="shared" si="11"/>
        <v>115990</v>
      </c>
      <c r="R90" s="86">
        <f t="shared" si="10"/>
        <v>10396916</v>
      </c>
      <c r="S90" s="86"/>
      <c r="T90" s="86">
        <f t="shared" si="11"/>
        <v>20172</v>
      </c>
      <c r="U90" s="86">
        <f t="shared" si="11"/>
        <v>1400000</v>
      </c>
      <c r="V90" s="86">
        <f t="shared" si="11"/>
        <v>0</v>
      </c>
      <c r="W90" s="86">
        <f t="shared" si="11"/>
        <v>0</v>
      </c>
      <c r="X90" s="87">
        <f t="shared" si="7"/>
        <v>1420172</v>
      </c>
      <c r="Y90" s="87">
        <f t="shared" si="8"/>
        <v>11817088</v>
      </c>
      <c r="Z90" s="278">
        <f t="shared" si="11"/>
        <v>5811063</v>
      </c>
      <c r="AA90" s="366"/>
      <c r="AB90" s="85">
        <f>Y90+Z90</f>
        <v>17628151</v>
      </c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  <c r="BU90" s="53"/>
      <c r="BV90" s="53"/>
    </row>
    <row r="91" spans="1:74" ht="24" hidden="1" customHeight="1" thickTop="1" thickBot="1" x14ac:dyDescent="0.3">
      <c r="A91" s="221"/>
      <c r="B91" s="222"/>
      <c r="C91" s="223" t="s">
        <v>18</v>
      </c>
      <c r="D91" s="339">
        <f t="shared" ref="D91:W91" si="12">D90</f>
        <v>39650</v>
      </c>
      <c r="E91" s="339">
        <f>E90</f>
        <v>13369</v>
      </c>
      <c r="F91" s="339">
        <f>F90</f>
        <v>4274625</v>
      </c>
      <c r="G91" s="339">
        <f>G90</f>
        <v>204207</v>
      </c>
      <c r="H91" s="339">
        <f t="shared" si="12"/>
        <v>0</v>
      </c>
      <c r="I91" s="339">
        <f t="shared" si="12"/>
        <v>25950</v>
      </c>
      <c r="J91" s="339">
        <f t="shared" si="12"/>
        <v>479225</v>
      </c>
      <c r="K91" s="339">
        <f>K90</f>
        <v>2128440</v>
      </c>
      <c r="L91" s="339">
        <f>L90</f>
        <v>2993244</v>
      </c>
      <c r="M91" s="339">
        <f t="shared" si="12"/>
        <v>46878</v>
      </c>
      <c r="N91" s="339">
        <f t="shared" si="12"/>
        <v>63338</v>
      </c>
      <c r="O91" s="339">
        <f t="shared" si="12"/>
        <v>12000</v>
      </c>
      <c r="P91" s="339">
        <f t="shared" si="12"/>
        <v>0</v>
      </c>
      <c r="Q91" s="339">
        <f t="shared" si="12"/>
        <v>115990</v>
      </c>
      <c r="R91" s="339">
        <f t="shared" si="10"/>
        <v>10396916</v>
      </c>
      <c r="S91" s="339"/>
      <c r="T91" s="339">
        <f t="shared" si="12"/>
        <v>20172</v>
      </c>
      <c r="U91" s="339">
        <f>U90</f>
        <v>1400000</v>
      </c>
      <c r="V91" s="339">
        <f>V90</f>
        <v>0</v>
      </c>
      <c r="W91" s="339">
        <f t="shared" si="12"/>
        <v>0</v>
      </c>
      <c r="X91" s="500">
        <f t="shared" si="7"/>
        <v>1420172</v>
      </c>
      <c r="Y91" s="388">
        <f t="shared" si="8"/>
        <v>11817088</v>
      </c>
      <c r="Z91" s="404">
        <f>Z90</f>
        <v>5811063</v>
      </c>
      <c r="AA91" s="372"/>
    </row>
    <row r="92" spans="1:74" ht="24" hidden="1" customHeight="1" x14ac:dyDescent="0.2">
      <c r="A92" s="82">
        <v>1</v>
      </c>
      <c r="B92" s="528" t="s">
        <v>214</v>
      </c>
      <c r="C92" s="28" t="s">
        <v>213</v>
      </c>
      <c r="D92" s="166"/>
      <c r="E92" s="166"/>
      <c r="F92" s="161">
        <f>-2557.432</f>
        <v>-2557.4319999999998</v>
      </c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>
        <f>SUM(D92:Q92)</f>
        <v>-2557.4319999999998</v>
      </c>
      <c r="S92" s="161"/>
      <c r="T92" s="161"/>
      <c r="U92" s="161"/>
      <c r="W92" s="161"/>
      <c r="X92" s="167">
        <f>SUM(T92:W92)</f>
        <v>0</v>
      </c>
      <c r="Y92" s="247">
        <f>R92+X92</f>
        <v>-2557.4319999999998</v>
      </c>
      <c r="Z92" s="161">
        <f>2557.432</f>
        <v>2557.4319999999998</v>
      </c>
      <c r="AA92" s="373"/>
    </row>
    <row r="93" spans="1:74" ht="24" hidden="1" customHeight="1" x14ac:dyDescent="0.2">
      <c r="A93" s="82">
        <v>2</v>
      </c>
      <c r="B93" s="528" t="s">
        <v>216</v>
      </c>
      <c r="C93" s="28" t="s">
        <v>223</v>
      </c>
      <c r="D93" s="166"/>
      <c r="E93" s="166"/>
      <c r="F93" s="161"/>
      <c r="G93" s="161"/>
      <c r="H93" s="161"/>
      <c r="I93" s="161"/>
      <c r="J93" s="161">
        <f>-500-300-1500</f>
        <v>-2300</v>
      </c>
      <c r="K93" s="161"/>
      <c r="L93" s="161"/>
      <c r="M93" s="161"/>
      <c r="N93" s="161"/>
      <c r="O93" s="161"/>
      <c r="P93" s="161"/>
      <c r="Q93" s="161"/>
      <c r="R93" s="161">
        <f>SUM(D93:Q93)</f>
        <v>-2300</v>
      </c>
      <c r="S93" s="161"/>
      <c r="T93" s="166"/>
      <c r="U93" s="166"/>
      <c r="W93" s="161"/>
      <c r="X93" s="167">
        <f>SUM(T93:W93)</f>
        <v>0</v>
      </c>
      <c r="Y93" s="247">
        <f>R93+X93</f>
        <v>-2300</v>
      </c>
      <c r="Z93" s="166">
        <f>2300</f>
        <v>2300</v>
      </c>
      <c r="AA93" s="373"/>
    </row>
    <row r="94" spans="1:74" ht="24" hidden="1" customHeight="1" x14ac:dyDescent="0.2">
      <c r="A94" s="82">
        <v>3</v>
      </c>
      <c r="B94" s="528" t="s">
        <v>217</v>
      </c>
      <c r="C94" s="28" t="s">
        <v>224</v>
      </c>
      <c r="D94" s="166"/>
      <c r="E94" s="166"/>
      <c r="F94" s="161">
        <f>10700</f>
        <v>10700</v>
      </c>
      <c r="G94" s="161"/>
      <c r="H94" s="161"/>
      <c r="I94" s="161"/>
      <c r="J94" s="161">
        <f>-5000-700-3500-1500</f>
        <v>-10700</v>
      </c>
      <c r="K94" s="161"/>
      <c r="L94" s="161"/>
      <c r="M94" s="161"/>
      <c r="N94" s="161"/>
      <c r="O94" s="161"/>
      <c r="P94" s="161"/>
      <c r="Q94" s="161"/>
      <c r="R94" s="161">
        <f>SUM(D94:Q94)</f>
        <v>0</v>
      </c>
      <c r="S94" s="161"/>
      <c r="T94" s="166"/>
      <c r="U94" s="166"/>
      <c r="W94" s="161"/>
      <c r="X94" s="167">
        <f>SUM(T94:W94)</f>
        <v>0</v>
      </c>
      <c r="Y94" s="247">
        <f>R94+X94</f>
        <v>0</v>
      </c>
      <c r="Z94" s="166"/>
      <c r="AA94" s="373"/>
    </row>
    <row r="95" spans="1:74" ht="24" hidden="1" customHeight="1" x14ac:dyDescent="0.2">
      <c r="A95" s="82">
        <v>4</v>
      </c>
      <c r="B95" s="528" t="s">
        <v>218</v>
      </c>
      <c r="C95" s="28" t="s">
        <v>239</v>
      </c>
      <c r="D95" s="166"/>
      <c r="E95" s="166"/>
      <c r="F95" s="161">
        <f>21</f>
        <v>21</v>
      </c>
      <c r="G95" s="161"/>
      <c r="H95" s="161"/>
      <c r="I95" s="161"/>
      <c r="J95" s="161"/>
      <c r="K95" s="161"/>
      <c r="L95" s="161">
        <f>-17-4</f>
        <v>-21</v>
      </c>
      <c r="M95" s="161"/>
      <c r="N95" s="161"/>
      <c r="O95" s="161"/>
      <c r="P95" s="161"/>
      <c r="Q95" s="161"/>
      <c r="R95" s="161">
        <f>SUM(D95:Q95)</f>
        <v>0</v>
      </c>
      <c r="S95" s="161"/>
      <c r="T95" s="166"/>
      <c r="U95" s="166"/>
      <c r="W95" s="161"/>
      <c r="X95" s="167">
        <f>SUM(T95:W95)</f>
        <v>0</v>
      </c>
      <c r="Y95" s="247">
        <f>R95+X95</f>
        <v>0</v>
      </c>
      <c r="Z95" s="166"/>
      <c r="AA95" s="373"/>
    </row>
    <row r="96" spans="1:74" ht="24" hidden="1" customHeight="1" x14ac:dyDescent="0.2">
      <c r="A96" s="82">
        <v>5</v>
      </c>
      <c r="B96" s="528" t="s">
        <v>219</v>
      </c>
      <c r="C96" s="28" t="s">
        <v>240</v>
      </c>
      <c r="D96" s="166"/>
      <c r="E96" s="166"/>
      <c r="F96" s="161"/>
      <c r="G96" s="161"/>
      <c r="H96" s="161"/>
      <c r="I96" s="161"/>
      <c r="J96" s="161"/>
      <c r="K96" s="161"/>
      <c r="L96" s="161">
        <f>58158.808+15702.878</f>
        <v>73861.686000000002</v>
      </c>
      <c r="M96" s="161"/>
      <c r="N96" s="161"/>
      <c r="O96" s="161"/>
      <c r="P96" s="161"/>
      <c r="Q96" s="161"/>
      <c r="R96" s="161">
        <f t="shared" si="10"/>
        <v>73861.686000000002</v>
      </c>
      <c r="S96" s="161"/>
      <c r="T96" s="166"/>
      <c r="U96" s="166"/>
      <c r="W96" s="161"/>
      <c r="X96" s="167">
        <f t="shared" si="7"/>
        <v>0</v>
      </c>
      <c r="Y96" s="247">
        <f t="shared" si="8"/>
        <v>73861.686000000002</v>
      </c>
      <c r="Z96" s="166"/>
      <c r="AA96" s="373"/>
    </row>
    <row r="97" spans="1:27" ht="24" hidden="1" customHeight="1" x14ac:dyDescent="0.2">
      <c r="A97" s="82">
        <v>6</v>
      </c>
      <c r="B97" s="529" t="s">
        <v>220</v>
      </c>
      <c r="C97" s="28" t="s">
        <v>241</v>
      </c>
      <c r="D97" s="166"/>
      <c r="E97" s="166"/>
      <c r="F97" s="161"/>
      <c r="G97" s="161"/>
      <c r="H97" s="161"/>
      <c r="I97" s="161"/>
      <c r="J97" s="161">
        <f>100+150+50+50+100+50</f>
        <v>500</v>
      </c>
      <c r="K97" s="161">
        <f>-500</f>
        <v>-500</v>
      </c>
      <c r="L97" s="161"/>
      <c r="M97" s="161"/>
      <c r="N97" s="161"/>
      <c r="O97" s="161"/>
      <c r="P97" s="161"/>
      <c r="Q97" s="161"/>
      <c r="R97" s="161">
        <f t="shared" si="10"/>
        <v>0</v>
      </c>
      <c r="S97" s="161"/>
      <c r="T97" s="166"/>
      <c r="U97" s="166"/>
      <c r="W97" s="161"/>
      <c r="X97" s="167">
        <f t="shared" si="7"/>
        <v>0</v>
      </c>
      <c r="Y97" s="247">
        <f t="shared" si="8"/>
        <v>0</v>
      </c>
      <c r="Z97" s="166"/>
      <c r="AA97" s="373"/>
    </row>
    <row r="98" spans="1:27" ht="24" hidden="1" customHeight="1" x14ac:dyDescent="0.2">
      <c r="A98" s="82">
        <v>7</v>
      </c>
      <c r="B98" s="529" t="s">
        <v>221</v>
      </c>
      <c r="C98" s="41" t="s">
        <v>242</v>
      </c>
      <c r="D98" s="166"/>
      <c r="E98" s="166"/>
      <c r="F98" s="161"/>
      <c r="G98" s="161"/>
      <c r="H98" s="161"/>
      <c r="I98" s="161"/>
      <c r="J98" s="161">
        <f>60+300+50+160</f>
        <v>570</v>
      </c>
      <c r="K98" s="161">
        <f>-570</f>
        <v>-570</v>
      </c>
      <c r="L98" s="161"/>
      <c r="M98" s="161"/>
      <c r="N98" s="161"/>
      <c r="O98" s="161"/>
      <c r="P98" s="161"/>
      <c r="Q98" s="161"/>
      <c r="R98" s="161">
        <f t="shared" si="10"/>
        <v>0</v>
      </c>
      <c r="S98" s="161"/>
      <c r="T98" s="166"/>
      <c r="U98" s="166"/>
      <c r="W98" s="161"/>
      <c r="X98" s="167">
        <f t="shared" si="7"/>
        <v>0</v>
      </c>
      <c r="Y98" s="247">
        <f t="shared" si="8"/>
        <v>0</v>
      </c>
      <c r="Z98" s="166"/>
      <c r="AA98" s="373"/>
    </row>
    <row r="99" spans="1:27" ht="24" hidden="1" customHeight="1" x14ac:dyDescent="0.2">
      <c r="A99" s="82">
        <v>8</v>
      </c>
      <c r="B99" s="529" t="s">
        <v>222</v>
      </c>
      <c r="C99" s="41" t="s">
        <v>243</v>
      </c>
      <c r="D99" s="166"/>
      <c r="E99" s="166"/>
      <c r="F99" s="161">
        <f>567</f>
        <v>567</v>
      </c>
      <c r="G99" s="161"/>
      <c r="H99" s="161"/>
      <c r="I99" s="161"/>
      <c r="J99" s="161"/>
      <c r="K99" s="161">
        <f>2100</f>
        <v>2100</v>
      </c>
      <c r="L99" s="161"/>
      <c r="M99" s="161"/>
      <c r="N99" s="161"/>
      <c r="O99" s="161"/>
      <c r="P99" s="161"/>
      <c r="Q99" s="161"/>
      <c r="R99" s="161">
        <f t="shared" si="10"/>
        <v>2667</v>
      </c>
      <c r="S99" s="161"/>
      <c r="T99" s="166"/>
      <c r="U99" s="166"/>
      <c r="W99" s="161"/>
      <c r="X99" s="167">
        <f t="shared" si="7"/>
        <v>0</v>
      </c>
      <c r="Y99" s="247">
        <f t="shared" si="8"/>
        <v>2667</v>
      </c>
      <c r="Z99" s="166"/>
      <c r="AA99" s="373"/>
    </row>
    <row r="100" spans="1:27" ht="24" hidden="1" customHeight="1" x14ac:dyDescent="0.2">
      <c r="A100" s="82">
        <v>9</v>
      </c>
      <c r="B100" s="529" t="s">
        <v>244</v>
      </c>
      <c r="C100" s="41" t="s">
        <v>245</v>
      </c>
      <c r="D100" s="166"/>
      <c r="E100" s="166"/>
      <c r="F100" s="161"/>
      <c r="G100" s="161">
        <f>810</f>
        <v>810</v>
      </c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>
        <f t="shared" si="10"/>
        <v>810</v>
      </c>
      <c r="S100" s="161"/>
      <c r="T100" s="166"/>
      <c r="U100" s="166"/>
      <c r="W100" s="161"/>
      <c r="X100" s="167">
        <f t="shared" si="7"/>
        <v>0</v>
      </c>
      <c r="Y100" s="247">
        <f t="shared" si="8"/>
        <v>810</v>
      </c>
      <c r="Z100" s="166"/>
      <c r="AA100" s="373"/>
    </row>
    <row r="101" spans="1:27" ht="24" hidden="1" customHeight="1" x14ac:dyDescent="0.2">
      <c r="A101" s="82">
        <v>10</v>
      </c>
      <c r="B101" s="529" t="s">
        <v>246</v>
      </c>
      <c r="C101" s="41" t="s">
        <v>247</v>
      </c>
      <c r="D101" s="166"/>
      <c r="E101" s="166"/>
      <c r="F101" s="161">
        <f>498+80</f>
        <v>578</v>
      </c>
      <c r="G101" s="161"/>
      <c r="H101" s="161"/>
      <c r="I101" s="161"/>
      <c r="J101" s="161">
        <f>-578</f>
        <v>-578</v>
      </c>
      <c r="K101" s="161"/>
      <c r="L101" s="161"/>
      <c r="M101" s="161"/>
      <c r="N101" s="161"/>
      <c r="O101" s="161"/>
      <c r="P101" s="161"/>
      <c r="Q101" s="161"/>
      <c r="R101" s="161">
        <f t="shared" si="10"/>
        <v>0</v>
      </c>
      <c r="S101" s="161"/>
      <c r="T101" s="166"/>
      <c r="U101" s="166"/>
      <c r="W101" s="161"/>
      <c r="X101" s="167">
        <f t="shared" si="7"/>
        <v>0</v>
      </c>
      <c r="Y101" s="247">
        <f t="shared" si="8"/>
        <v>0</v>
      </c>
      <c r="Z101" s="166"/>
      <c r="AA101" s="373"/>
    </row>
    <row r="102" spans="1:27" ht="24" hidden="1" customHeight="1" x14ac:dyDescent="0.2">
      <c r="A102" s="82">
        <v>11</v>
      </c>
      <c r="B102" s="529" t="s">
        <v>248</v>
      </c>
      <c r="C102" s="41" t="s">
        <v>249</v>
      </c>
      <c r="D102" s="166"/>
      <c r="E102" s="166"/>
      <c r="F102" s="161">
        <f>379+873</f>
        <v>1252</v>
      </c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>
        <f t="shared" si="10"/>
        <v>1252</v>
      </c>
      <c r="S102" s="161"/>
      <c r="T102" s="166"/>
      <c r="U102" s="166"/>
      <c r="W102" s="161"/>
      <c r="X102" s="167">
        <f t="shared" si="7"/>
        <v>0</v>
      </c>
      <c r="Y102" s="247">
        <f t="shared" si="8"/>
        <v>1252</v>
      </c>
      <c r="Z102" s="166"/>
      <c r="AA102" s="373"/>
    </row>
    <row r="103" spans="1:27" ht="24" hidden="1" customHeight="1" x14ac:dyDescent="0.2">
      <c r="A103" s="82">
        <v>12</v>
      </c>
      <c r="B103" s="529" t="s">
        <v>250</v>
      </c>
      <c r="C103" s="41" t="s">
        <v>251</v>
      </c>
      <c r="D103" s="166"/>
      <c r="E103" s="166"/>
      <c r="F103" s="161"/>
      <c r="G103" s="161"/>
      <c r="H103" s="161"/>
      <c r="I103" s="161"/>
      <c r="J103" s="161"/>
      <c r="K103" s="161"/>
      <c r="L103" s="161"/>
      <c r="M103" s="161">
        <f>2006+542</f>
        <v>2548</v>
      </c>
      <c r="N103" s="161"/>
      <c r="O103" s="161"/>
      <c r="P103" s="161"/>
      <c r="Q103" s="161"/>
      <c r="R103" s="161">
        <f t="shared" si="10"/>
        <v>2548</v>
      </c>
      <c r="S103" s="161"/>
      <c r="T103" s="166"/>
      <c r="U103" s="166"/>
      <c r="W103" s="161"/>
      <c r="X103" s="167">
        <f t="shared" si="7"/>
        <v>0</v>
      </c>
      <c r="Y103" s="247">
        <f t="shared" si="8"/>
        <v>2548</v>
      </c>
      <c r="Z103" s="166"/>
      <c r="AA103" s="373"/>
    </row>
    <row r="104" spans="1:27" ht="24" hidden="1" customHeight="1" x14ac:dyDescent="0.2">
      <c r="A104" s="82">
        <v>13</v>
      </c>
      <c r="B104" s="529" t="s">
        <v>250</v>
      </c>
      <c r="C104" s="41" t="s">
        <v>254</v>
      </c>
      <c r="D104" s="166"/>
      <c r="E104" s="166"/>
      <c r="F104" s="161"/>
      <c r="G104" s="161"/>
      <c r="H104" s="161"/>
      <c r="I104" s="161"/>
      <c r="J104" s="161"/>
      <c r="K104" s="161">
        <f>-5078</f>
        <v>-5078</v>
      </c>
      <c r="L104" s="161"/>
      <c r="M104" s="161"/>
      <c r="N104" s="161"/>
      <c r="O104" s="161"/>
      <c r="P104" s="161"/>
      <c r="Q104" s="161">
        <f>5078</f>
        <v>5078</v>
      </c>
      <c r="R104" s="161">
        <f t="shared" si="10"/>
        <v>0</v>
      </c>
      <c r="S104" s="161"/>
      <c r="T104" s="166"/>
      <c r="U104" s="166"/>
      <c r="W104" s="161"/>
      <c r="X104" s="167">
        <f t="shared" si="7"/>
        <v>0</v>
      </c>
      <c r="Y104" s="247">
        <f t="shared" si="8"/>
        <v>0</v>
      </c>
      <c r="Z104" s="166"/>
      <c r="AA104" s="373"/>
    </row>
    <row r="105" spans="1:27" ht="24" hidden="1" customHeight="1" x14ac:dyDescent="0.2">
      <c r="A105" s="82">
        <v>14</v>
      </c>
      <c r="B105" s="529" t="s">
        <v>253</v>
      </c>
      <c r="C105" s="41" t="s">
        <v>252</v>
      </c>
      <c r="D105" s="166"/>
      <c r="E105" s="166"/>
      <c r="F105" s="161"/>
      <c r="G105" s="161"/>
      <c r="H105" s="161"/>
      <c r="I105" s="161"/>
      <c r="J105" s="161"/>
      <c r="K105" s="161">
        <f>2500</f>
        <v>2500</v>
      </c>
      <c r="L105" s="161"/>
      <c r="M105" s="161"/>
      <c r="N105" s="161"/>
      <c r="O105" s="161"/>
      <c r="P105" s="161"/>
      <c r="Q105" s="161"/>
      <c r="R105" s="161">
        <f t="shared" si="10"/>
        <v>2500</v>
      </c>
      <c r="S105" s="161"/>
      <c r="T105" s="166"/>
      <c r="U105" s="166"/>
      <c r="W105" s="161"/>
      <c r="X105" s="167">
        <f t="shared" si="7"/>
        <v>0</v>
      </c>
      <c r="Y105" s="247">
        <f t="shared" si="8"/>
        <v>2500</v>
      </c>
      <c r="Z105" s="166"/>
      <c r="AA105" s="373"/>
    </row>
    <row r="106" spans="1:27" ht="24" hidden="1" customHeight="1" x14ac:dyDescent="0.2">
      <c r="A106" s="82">
        <v>15</v>
      </c>
      <c r="B106" s="529" t="s">
        <v>255</v>
      </c>
      <c r="C106" s="41" t="s">
        <v>256</v>
      </c>
      <c r="D106" s="166"/>
      <c r="E106" s="166"/>
      <c r="F106" s="161"/>
      <c r="G106" s="161"/>
      <c r="H106" s="161"/>
      <c r="I106" s="161"/>
      <c r="J106" s="161"/>
      <c r="K106" s="161">
        <f>-2745</f>
        <v>-2745</v>
      </c>
      <c r="L106" s="161"/>
      <c r="M106" s="161"/>
      <c r="N106" s="161"/>
      <c r="O106" s="161"/>
      <c r="P106" s="161"/>
      <c r="Q106" s="161">
        <f>2745</f>
        <v>2745</v>
      </c>
      <c r="R106" s="161">
        <f t="shared" si="10"/>
        <v>0</v>
      </c>
      <c r="S106" s="161"/>
      <c r="T106" s="166"/>
      <c r="U106" s="166"/>
      <c r="W106" s="161"/>
      <c r="X106" s="167">
        <f t="shared" si="7"/>
        <v>0</v>
      </c>
      <c r="Y106" s="247">
        <f t="shared" si="8"/>
        <v>0</v>
      </c>
      <c r="Z106" s="166"/>
      <c r="AA106" s="373"/>
    </row>
    <row r="107" spans="1:27" ht="24" hidden="1" customHeight="1" x14ac:dyDescent="0.2">
      <c r="A107" s="82">
        <v>16</v>
      </c>
      <c r="B107" s="529" t="s">
        <v>257</v>
      </c>
      <c r="C107" s="41" t="s">
        <v>258</v>
      </c>
      <c r="D107" s="166"/>
      <c r="E107" s="166"/>
      <c r="F107" s="161">
        <f>-630-170</f>
        <v>-800</v>
      </c>
      <c r="G107" s="161"/>
      <c r="H107" s="161"/>
      <c r="I107" s="161">
        <f>800</f>
        <v>800</v>
      </c>
      <c r="J107" s="161"/>
      <c r="K107" s="161"/>
      <c r="L107" s="161"/>
      <c r="M107" s="161"/>
      <c r="N107" s="161"/>
      <c r="O107" s="161"/>
      <c r="P107" s="161"/>
      <c r="Q107" s="161"/>
      <c r="R107" s="161">
        <f t="shared" si="10"/>
        <v>0</v>
      </c>
      <c r="S107" s="161"/>
      <c r="T107" s="166"/>
      <c r="U107" s="166"/>
      <c r="W107" s="161"/>
      <c r="X107" s="167">
        <f t="shared" si="7"/>
        <v>0</v>
      </c>
      <c r="Y107" s="247">
        <f t="shared" si="8"/>
        <v>0</v>
      </c>
      <c r="Z107" s="166"/>
      <c r="AA107" s="373"/>
    </row>
    <row r="108" spans="1:27" ht="24" hidden="1" customHeight="1" x14ac:dyDescent="0.2">
      <c r="A108" s="82">
        <v>17</v>
      </c>
      <c r="B108" s="529" t="s">
        <v>259</v>
      </c>
      <c r="C108" s="41" t="s">
        <v>242</v>
      </c>
      <c r="D108" s="166"/>
      <c r="E108" s="166"/>
      <c r="F108" s="161"/>
      <c r="G108" s="161"/>
      <c r="H108" s="161"/>
      <c r="I108" s="161"/>
      <c r="J108" s="161">
        <f>50+100</f>
        <v>150</v>
      </c>
      <c r="K108" s="161">
        <f>-150</f>
        <v>-150</v>
      </c>
      <c r="L108" s="161"/>
      <c r="M108" s="161"/>
      <c r="N108" s="161"/>
      <c r="O108" s="161"/>
      <c r="P108" s="161"/>
      <c r="Q108" s="161"/>
      <c r="R108" s="161">
        <f t="shared" si="10"/>
        <v>0</v>
      </c>
      <c r="S108" s="161"/>
      <c r="T108" s="166"/>
      <c r="U108" s="166"/>
      <c r="W108" s="161"/>
      <c r="X108" s="167">
        <f t="shared" si="7"/>
        <v>0</v>
      </c>
      <c r="Y108" s="247">
        <f t="shared" si="8"/>
        <v>0</v>
      </c>
      <c r="Z108" s="166"/>
      <c r="AA108" s="373"/>
    </row>
    <row r="109" spans="1:27" ht="24" hidden="1" customHeight="1" x14ac:dyDescent="0.2">
      <c r="A109" s="82">
        <v>18</v>
      </c>
      <c r="B109" s="527" t="s">
        <v>225</v>
      </c>
      <c r="C109" s="28" t="s">
        <v>223</v>
      </c>
      <c r="D109" s="161">
        <f>-2288</f>
        <v>-2288</v>
      </c>
      <c r="E109" s="161">
        <f>-617.76</f>
        <v>-617.76</v>
      </c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>
        <f t="shared" si="10"/>
        <v>-2905.76</v>
      </c>
      <c r="S109" s="161"/>
      <c r="T109" s="161"/>
      <c r="U109" s="161"/>
      <c r="W109" s="161"/>
      <c r="X109" s="167">
        <f t="shared" si="7"/>
        <v>0</v>
      </c>
      <c r="Y109" s="247">
        <f t="shared" si="8"/>
        <v>-2905.76</v>
      </c>
      <c r="Z109" s="161">
        <f>2905.76</f>
        <v>2905.76</v>
      </c>
      <c r="AA109" s="373"/>
    </row>
    <row r="110" spans="1:27" ht="24" hidden="1" customHeight="1" x14ac:dyDescent="0.2">
      <c r="A110" s="82">
        <v>19</v>
      </c>
      <c r="B110" s="527" t="s">
        <v>226</v>
      </c>
      <c r="C110" s="28" t="s">
        <v>213</v>
      </c>
      <c r="D110" s="161"/>
      <c r="E110" s="161"/>
      <c r="F110" s="161"/>
      <c r="G110" s="161"/>
      <c r="H110" s="161"/>
      <c r="I110" s="161"/>
      <c r="J110" s="161"/>
      <c r="K110" s="161">
        <f>-11123</f>
        <v>-11123</v>
      </c>
      <c r="L110" s="161"/>
      <c r="M110" s="161"/>
      <c r="N110" s="161"/>
      <c r="O110" s="161"/>
      <c r="P110" s="161"/>
      <c r="Q110" s="161"/>
      <c r="R110" s="161">
        <f t="shared" si="10"/>
        <v>-11123</v>
      </c>
      <c r="S110" s="161"/>
      <c r="T110" s="161"/>
      <c r="U110" s="161"/>
      <c r="W110" s="161"/>
      <c r="X110" s="167">
        <f t="shared" si="7"/>
        <v>0</v>
      </c>
      <c r="Y110" s="247">
        <f t="shared" si="8"/>
        <v>-11123</v>
      </c>
      <c r="Z110" s="161">
        <f>11123</f>
        <v>11123</v>
      </c>
      <c r="AA110" s="373"/>
    </row>
    <row r="111" spans="1:27" ht="24" hidden="1" customHeight="1" x14ac:dyDescent="0.2">
      <c r="A111" s="82">
        <v>20</v>
      </c>
      <c r="B111" s="527" t="s">
        <v>227</v>
      </c>
      <c r="C111" s="28" t="s">
        <v>223</v>
      </c>
      <c r="D111" s="161">
        <f>-3000-3800</f>
        <v>-6800</v>
      </c>
      <c r="E111" s="161">
        <f>-1836</f>
        <v>-1836</v>
      </c>
      <c r="F111" s="161"/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  <c r="Q111" s="161"/>
      <c r="R111" s="161">
        <f t="shared" si="10"/>
        <v>-8636</v>
      </c>
      <c r="S111" s="161"/>
      <c r="T111" s="166"/>
      <c r="U111" s="166"/>
      <c r="W111" s="161"/>
      <c r="X111" s="167">
        <f t="shared" si="7"/>
        <v>0</v>
      </c>
      <c r="Y111" s="247">
        <f t="shared" si="8"/>
        <v>-8636</v>
      </c>
      <c r="Z111" s="166">
        <f>8636</f>
        <v>8636</v>
      </c>
      <c r="AA111" s="373"/>
    </row>
    <row r="112" spans="1:27" ht="24" hidden="1" customHeight="1" x14ac:dyDescent="0.2">
      <c r="A112" s="82">
        <v>21</v>
      </c>
      <c r="B112" s="527" t="s">
        <v>215</v>
      </c>
      <c r="C112" s="28" t="s">
        <v>268</v>
      </c>
      <c r="D112" s="161"/>
      <c r="E112" s="161"/>
      <c r="F112" s="161">
        <f>-1654-446</f>
        <v>-2100</v>
      </c>
      <c r="G112" s="161"/>
      <c r="H112" s="161"/>
      <c r="I112" s="161"/>
      <c r="J112" s="161"/>
      <c r="K112" s="161"/>
      <c r="L112" s="161">
        <f>-2362-638+4016+1084</f>
        <v>2100</v>
      </c>
      <c r="M112" s="161"/>
      <c r="N112" s="161"/>
      <c r="O112" s="161"/>
      <c r="P112" s="161"/>
      <c r="Q112" s="161"/>
      <c r="R112" s="161">
        <f t="shared" si="10"/>
        <v>0</v>
      </c>
      <c r="S112" s="161"/>
      <c r="T112" s="166"/>
      <c r="U112" s="166"/>
      <c r="W112" s="161"/>
      <c r="X112" s="167">
        <f>SUM(T112:W112)</f>
        <v>0</v>
      </c>
      <c r="Y112" s="247">
        <f>R112+X112</f>
        <v>0</v>
      </c>
      <c r="Z112" s="166"/>
      <c r="AA112" s="373"/>
    </row>
    <row r="113" spans="1:27" ht="24" hidden="1" customHeight="1" x14ac:dyDescent="0.2">
      <c r="A113" s="82">
        <v>22</v>
      </c>
      <c r="B113" s="527" t="s">
        <v>260</v>
      </c>
      <c r="C113" s="28" t="s">
        <v>261</v>
      </c>
      <c r="D113" s="161"/>
      <c r="E113" s="161"/>
      <c r="F113" s="161"/>
      <c r="G113" s="161"/>
      <c r="H113" s="161"/>
      <c r="I113" s="161"/>
      <c r="J113" s="161"/>
      <c r="K113" s="161">
        <f>-19050</f>
        <v>-19050</v>
      </c>
      <c r="L113" s="161">
        <f>15000+4050</f>
        <v>19050</v>
      </c>
      <c r="M113" s="161"/>
      <c r="N113" s="161"/>
      <c r="O113" s="161"/>
      <c r="P113" s="161"/>
      <c r="Q113" s="161"/>
      <c r="R113" s="161">
        <f t="shared" si="10"/>
        <v>0</v>
      </c>
      <c r="S113" s="161"/>
      <c r="T113" s="166"/>
      <c r="U113" s="166"/>
      <c r="W113" s="161"/>
      <c r="X113" s="167">
        <f t="shared" si="7"/>
        <v>0</v>
      </c>
      <c r="Y113" s="247">
        <f t="shared" si="8"/>
        <v>0</v>
      </c>
      <c r="Z113" s="166"/>
      <c r="AA113" s="373"/>
    </row>
    <row r="114" spans="1:27" ht="24" hidden="1" customHeight="1" x14ac:dyDescent="0.2">
      <c r="A114" s="82">
        <v>23</v>
      </c>
      <c r="B114" s="527" t="s">
        <v>228</v>
      </c>
      <c r="C114" s="28" t="s">
        <v>223</v>
      </c>
      <c r="D114" s="161">
        <f>-1020-200</f>
        <v>-1220</v>
      </c>
      <c r="E114" s="161">
        <f>-329.4</f>
        <v>-329.4</v>
      </c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  <c r="P114" s="161"/>
      <c r="Q114" s="161"/>
      <c r="R114" s="161">
        <f t="shared" si="10"/>
        <v>-1549.4</v>
      </c>
      <c r="S114" s="161"/>
      <c r="T114" s="166"/>
      <c r="U114" s="166"/>
      <c r="W114" s="161"/>
      <c r="X114" s="167">
        <f t="shared" si="7"/>
        <v>0</v>
      </c>
      <c r="Y114" s="247">
        <f t="shared" si="8"/>
        <v>-1549.4</v>
      </c>
      <c r="Z114" s="166">
        <f>1549.4</f>
        <v>1549.4</v>
      </c>
      <c r="AA114" s="373"/>
    </row>
    <row r="115" spans="1:27" ht="24" hidden="1" customHeight="1" x14ac:dyDescent="0.2">
      <c r="A115" s="82">
        <v>24</v>
      </c>
      <c r="B115" s="527" t="s">
        <v>229</v>
      </c>
      <c r="C115" s="28" t="s">
        <v>213</v>
      </c>
      <c r="D115" s="161"/>
      <c r="E115" s="161"/>
      <c r="F115" s="161"/>
      <c r="G115" s="161"/>
      <c r="H115" s="161"/>
      <c r="I115" s="161"/>
      <c r="J115" s="161"/>
      <c r="K115" s="161">
        <f>-16505</f>
        <v>-16505</v>
      </c>
      <c r="L115" s="161"/>
      <c r="M115" s="161"/>
      <c r="N115" s="161"/>
      <c r="O115" s="161"/>
      <c r="P115" s="161"/>
      <c r="Q115" s="161"/>
      <c r="R115" s="161">
        <f t="shared" si="10"/>
        <v>-16505</v>
      </c>
      <c r="S115" s="161"/>
      <c r="T115" s="161"/>
      <c r="U115" s="161"/>
      <c r="W115" s="161"/>
      <c r="X115" s="167">
        <f t="shared" si="7"/>
        <v>0</v>
      </c>
      <c r="Y115" s="247">
        <f t="shared" si="8"/>
        <v>-16505</v>
      </c>
      <c r="Z115" s="161">
        <f>16505</f>
        <v>16505</v>
      </c>
      <c r="AA115" s="373"/>
    </row>
    <row r="116" spans="1:27" ht="24" hidden="1" customHeight="1" x14ac:dyDescent="0.2">
      <c r="A116" s="82">
        <v>25</v>
      </c>
      <c r="B116" s="527" t="s">
        <v>234</v>
      </c>
      <c r="C116" s="28" t="s">
        <v>223</v>
      </c>
      <c r="D116" s="161"/>
      <c r="E116" s="161"/>
      <c r="F116" s="161"/>
      <c r="G116" s="161"/>
      <c r="H116" s="161"/>
      <c r="I116" s="161"/>
      <c r="J116" s="161"/>
      <c r="K116" s="161">
        <f>-16770</f>
        <v>-16770</v>
      </c>
      <c r="L116" s="161"/>
      <c r="M116" s="161"/>
      <c r="N116" s="161"/>
      <c r="O116" s="161"/>
      <c r="P116" s="161"/>
      <c r="Q116" s="161"/>
      <c r="R116" s="161">
        <f t="shared" si="10"/>
        <v>-16770</v>
      </c>
      <c r="S116" s="161"/>
      <c r="T116" s="161"/>
      <c r="U116" s="161"/>
      <c r="W116" s="161"/>
      <c r="X116" s="167">
        <f t="shared" si="7"/>
        <v>0</v>
      </c>
      <c r="Y116" s="247">
        <f t="shared" si="8"/>
        <v>-16770</v>
      </c>
      <c r="Z116" s="161">
        <f>16770</f>
        <v>16770</v>
      </c>
      <c r="AA116" s="373"/>
    </row>
    <row r="117" spans="1:27" ht="24" hidden="1" customHeight="1" x14ac:dyDescent="0.2">
      <c r="A117" s="82">
        <v>26</v>
      </c>
      <c r="B117" s="527" t="s">
        <v>269</v>
      </c>
      <c r="C117" s="28" t="s">
        <v>213</v>
      </c>
      <c r="D117" s="161"/>
      <c r="E117" s="161"/>
      <c r="F117" s="161"/>
      <c r="G117" s="161"/>
      <c r="H117" s="161"/>
      <c r="I117" s="161"/>
      <c r="J117" s="161"/>
      <c r="K117" s="161">
        <f>-7420</f>
        <v>-7420</v>
      </c>
      <c r="L117" s="161"/>
      <c r="M117" s="161"/>
      <c r="N117" s="161"/>
      <c r="O117" s="161"/>
      <c r="P117" s="161"/>
      <c r="Q117" s="161"/>
      <c r="R117" s="161">
        <f t="shared" si="10"/>
        <v>-7420</v>
      </c>
      <c r="S117" s="161"/>
      <c r="T117" s="161"/>
      <c r="U117" s="161"/>
      <c r="W117" s="161"/>
      <c r="X117" s="167">
        <f t="shared" si="7"/>
        <v>0</v>
      </c>
      <c r="Y117" s="247">
        <f t="shared" si="8"/>
        <v>-7420</v>
      </c>
      <c r="Z117" s="161">
        <f>7420</f>
        <v>7420</v>
      </c>
      <c r="AA117" s="373"/>
    </row>
    <row r="118" spans="1:27" ht="24" hidden="1" customHeight="1" x14ac:dyDescent="0.2">
      <c r="A118" s="82">
        <v>27</v>
      </c>
      <c r="B118" s="527" t="s">
        <v>230</v>
      </c>
      <c r="C118" s="28" t="s">
        <v>223</v>
      </c>
      <c r="D118" s="161"/>
      <c r="E118" s="161"/>
      <c r="F118" s="161"/>
      <c r="G118" s="161"/>
      <c r="H118" s="161"/>
      <c r="I118" s="161"/>
      <c r="J118" s="161">
        <f>-1090</f>
        <v>-1090</v>
      </c>
      <c r="K118" s="161"/>
      <c r="L118" s="161"/>
      <c r="M118" s="161"/>
      <c r="N118" s="161"/>
      <c r="O118" s="161"/>
      <c r="P118" s="161"/>
      <c r="Q118" s="161"/>
      <c r="R118" s="161">
        <f t="shared" si="10"/>
        <v>-1090</v>
      </c>
      <c r="S118" s="161"/>
      <c r="T118" s="161"/>
      <c r="U118" s="161"/>
      <c r="W118" s="161"/>
      <c r="X118" s="167">
        <f t="shared" si="7"/>
        <v>0</v>
      </c>
      <c r="Y118" s="247">
        <f t="shared" si="8"/>
        <v>-1090</v>
      </c>
      <c r="Z118" s="161">
        <f>1090</f>
        <v>1090</v>
      </c>
      <c r="AA118" s="373"/>
    </row>
    <row r="119" spans="1:27" ht="24" hidden="1" customHeight="1" x14ac:dyDescent="0.2">
      <c r="A119" s="82">
        <v>28</v>
      </c>
      <c r="B119" s="527" t="s">
        <v>233</v>
      </c>
      <c r="C119" s="28" t="s">
        <v>223</v>
      </c>
      <c r="D119" s="161"/>
      <c r="E119" s="161"/>
      <c r="F119" s="161">
        <f>-410</f>
        <v>-410</v>
      </c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/>
      <c r="R119" s="161">
        <f t="shared" si="10"/>
        <v>-410</v>
      </c>
      <c r="S119" s="161"/>
      <c r="T119" s="161"/>
      <c r="U119" s="161"/>
      <c r="W119" s="161"/>
      <c r="X119" s="167">
        <f t="shared" si="7"/>
        <v>0</v>
      </c>
      <c r="Y119" s="247">
        <f t="shared" si="8"/>
        <v>-410</v>
      </c>
      <c r="Z119" s="161">
        <f>410</f>
        <v>410</v>
      </c>
      <c r="AA119" s="373"/>
    </row>
    <row r="120" spans="1:27" ht="24" hidden="1" customHeight="1" x14ac:dyDescent="0.2">
      <c r="A120" s="82">
        <v>29</v>
      </c>
      <c r="B120" s="527" t="s">
        <v>262</v>
      </c>
      <c r="C120" s="28" t="s">
        <v>263</v>
      </c>
      <c r="D120" s="161"/>
      <c r="E120" s="161"/>
      <c r="F120" s="161">
        <f>701+189+701+189+5248+1423</f>
        <v>8451</v>
      </c>
      <c r="G120" s="161"/>
      <c r="H120" s="161"/>
      <c r="I120" s="161"/>
      <c r="J120" s="161"/>
      <c r="K120" s="161"/>
      <c r="L120" s="161">
        <f>-1402-378-5248-1423</f>
        <v>-8451</v>
      </c>
      <c r="M120" s="161"/>
      <c r="N120" s="161"/>
      <c r="O120" s="161"/>
      <c r="P120" s="161"/>
      <c r="Q120" s="161"/>
      <c r="R120" s="161">
        <f t="shared" si="10"/>
        <v>0</v>
      </c>
      <c r="S120" s="161"/>
      <c r="T120" s="161"/>
      <c r="U120" s="161"/>
      <c r="W120" s="161"/>
      <c r="X120" s="167">
        <f t="shared" si="7"/>
        <v>0</v>
      </c>
      <c r="Y120" s="247">
        <f t="shared" si="8"/>
        <v>0</v>
      </c>
      <c r="Z120" s="161"/>
      <c r="AA120" s="373"/>
    </row>
    <row r="121" spans="1:27" ht="24" hidden="1" customHeight="1" x14ac:dyDescent="0.2">
      <c r="A121" s="82">
        <v>30</v>
      </c>
      <c r="B121" s="527" t="s">
        <v>264</v>
      </c>
      <c r="C121" s="28" t="s">
        <v>265</v>
      </c>
      <c r="D121" s="161"/>
      <c r="E121" s="161"/>
      <c r="F121" s="161">
        <f>-945-255</f>
        <v>-1200</v>
      </c>
      <c r="G121" s="161"/>
      <c r="H121" s="161"/>
      <c r="I121" s="161">
        <f>1200</f>
        <v>1200</v>
      </c>
      <c r="J121" s="161"/>
      <c r="K121" s="161"/>
      <c r="L121" s="161"/>
      <c r="M121" s="161"/>
      <c r="N121" s="161"/>
      <c r="O121" s="161"/>
      <c r="P121" s="161"/>
      <c r="Q121" s="161"/>
      <c r="R121" s="161">
        <f t="shared" si="10"/>
        <v>0</v>
      </c>
      <c r="S121" s="161"/>
      <c r="T121" s="161"/>
      <c r="U121" s="161"/>
      <c r="W121" s="161"/>
      <c r="X121" s="167">
        <f t="shared" si="7"/>
        <v>0</v>
      </c>
      <c r="Y121" s="247">
        <f t="shared" si="8"/>
        <v>0</v>
      </c>
      <c r="Z121" s="161"/>
      <c r="AA121" s="373"/>
    </row>
    <row r="122" spans="1:27" ht="24" hidden="1" customHeight="1" x14ac:dyDescent="0.2">
      <c r="A122" s="82">
        <v>31</v>
      </c>
      <c r="B122" s="527" t="s">
        <v>266</v>
      </c>
      <c r="C122" s="41" t="s">
        <v>242</v>
      </c>
      <c r="D122" s="161"/>
      <c r="E122" s="161"/>
      <c r="F122" s="161"/>
      <c r="G122" s="161"/>
      <c r="H122" s="161"/>
      <c r="I122" s="161"/>
      <c r="J122" s="161">
        <f>50</f>
        <v>50</v>
      </c>
      <c r="K122" s="161">
        <f>-50</f>
        <v>-50</v>
      </c>
      <c r="L122" s="161"/>
      <c r="M122" s="161"/>
      <c r="N122" s="161"/>
      <c r="O122" s="161"/>
      <c r="P122" s="161"/>
      <c r="Q122" s="161"/>
      <c r="R122" s="161">
        <f t="shared" si="10"/>
        <v>0</v>
      </c>
      <c r="S122" s="161"/>
      <c r="T122" s="161"/>
      <c r="U122" s="161"/>
      <c r="W122" s="161"/>
      <c r="X122" s="167">
        <f t="shared" si="7"/>
        <v>0</v>
      </c>
      <c r="Y122" s="247">
        <f t="shared" si="8"/>
        <v>0</v>
      </c>
      <c r="Z122" s="161"/>
      <c r="AA122" s="373"/>
    </row>
    <row r="123" spans="1:27" ht="24" hidden="1" customHeight="1" x14ac:dyDescent="0.2">
      <c r="A123" s="82">
        <v>32</v>
      </c>
      <c r="B123" s="527" t="s">
        <v>267</v>
      </c>
      <c r="C123" s="28" t="s">
        <v>241</v>
      </c>
      <c r="D123" s="161"/>
      <c r="E123" s="161"/>
      <c r="F123" s="161"/>
      <c r="G123" s="161"/>
      <c r="H123" s="161"/>
      <c r="I123" s="161"/>
      <c r="J123" s="161">
        <f>100+100</f>
        <v>200</v>
      </c>
      <c r="K123" s="161">
        <f>-200</f>
        <v>-200</v>
      </c>
      <c r="L123" s="161"/>
      <c r="M123" s="161"/>
      <c r="N123" s="161"/>
      <c r="O123" s="161"/>
      <c r="P123" s="161"/>
      <c r="Q123" s="161"/>
      <c r="R123" s="161">
        <f t="shared" si="10"/>
        <v>0</v>
      </c>
      <c r="S123" s="161"/>
      <c r="T123" s="161"/>
      <c r="U123" s="161"/>
      <c r="W123" s="161"/>
      <c r="X123" s="167">
        <f t="shared" si="7"/>
        <v>0</v>
      </c>
      <c r="Y123" s="247">
        <f t="shared" si="8"/>
        <v>0</v>
      </c>
      <c r="Z123" s="161"/>
      <c r="AA123" s="373"/>
    </row>
    <row r="124" spans="1:27" ht="24" hidden="1" customHeight="1" x14ac:dyDescent="0.2">
      <c r="A124" s="82">
        <v>33</v>
      </c>
      <c r="B124" s="527" t="s">
        <v>232</v>
      </c>
      <c r="C124" s="28" t="s">
        <v>213</v>
      </c>
      <c r="D124" s="161"/>
      <c r="E124" s="161"/>
      <c r="F124" s="161"/>
      <c r="G124" s="161"/>
      <c r="H124" s="161"/>
      <c r="I124" s="161"/>
      <c r="J124" s="161"/>
      <c r="K124" s="161">
        <f>-5815</f>
        <v>-5815</v>
      </c>
      <c r="L124" s="161"/>
      <c r="M124" s="161"/>
      <c r="N124" s="161"/>
      <c r="O124" s="161"/>
      <c r="P124" s="161"/>
      <c r="Q124" s="161"/>
      <c r="R124" s="161">
        <f t="shared" si="10"/>
        <v>-5815</v>
      </c>
      <c r="S124" s="161"/>
      <c r="T124" s="161"/>
      <c r="U124" s="161"/>
      <c r="W124" s="161"/>
      <c r="X124" s="167">
        <f t="shared" si="7"/>
        <v>0</v>
      </c>
      <c r="Y124" s="247">
        <f t="shared" si="8"/>
        <v>-5815</v>
      </c>
      <c r="Z124" s="161">
        <f>5815</f>
        <v>5815</v>
      </c>
      <c r="AA124" s="373"/>
    </row>
    <row r="125" spans="1:27" ht="24" hidden="1" customHeight="1" x14ac:dyDescent="0.2">
      <c r="A125" s="82">
        <v>34</v>
      </c>
      <c r="B125" s="527" t="s">
        <v>231</v>
      </c>
      <c r="C125" s="28" t="s">
        <v>213</v>
      </c>
      <c r="D125" s="161"/>
      <c r="E125" s="161"/>
      <c r="F125" s="161"/>
      <c r="G125" s="161"/>
      <c r="H125" s="161"/>
      <c r="I125" s="161"/>
      <c r="J125" s="161"/>
      <c r="K125" s="161">
        <f>-7948</f>
        <v>-7948</v>
      </c>
      <c r="L125" s="161"/>
      <c r="M125" s="161"/>
      <c r="N125" s="161"/>
      <c r="O125" s="161"/>
      <c r="P125" s="161"/>
      <c r="Q125" s="161"/>
      <c r="R125" s="161">
        <f t="shared" si="10"/>
        <v>-7948</v>
      </c>
      <c r="S125" s="161"/>
      <c r="T125" s="166"/>
      <c r="U125" s="166"/>
      <c r="W125" s="161"/>
      <c r="X125" s="167">
        <f t="shared" si="7"/>
        <v>0</v>
      </c>
      <c r="Y125" s="247">
        <f t="shared" si="8"/>
        <v>-7948</v>
      </c>
      <c r="Z125" s="166">
        <f>7948</f>
        <v>7948</v>
      </c>
      <c r="AA125" s="373"/>
    </row>
    <row r="126" spans="1:27" ht="24" hidden="1" customHeight="1" x14ac:dyDescent="0.2">
      <c r="A126" s="82">
        <v>35</v>
      </c>
      <c r="B126" s="527" t="s">
        <v>235</v>
      </c>
      <c r="C126" s="41" t="s">
        <v>290</v>
      </c>
      <c r="D126" s="161"/>
      <c r="E126" s="161"/>
      <c r="F126" s="161"/>
      <c r="G126" s="161"/>
      <c r="H126" s="161"/>
      <c r="I126" s="161"/>
      <c r="J126" s="161"/>
      <c r="K126" s="161"/>
      <c r="L126" s="161"/>
      <c r="M126" s="161"/>
      <c r="N126" s="161"/>
      <c r="O126" s="161"/>
      <c r="P126" s="161"/>
      <c r="Q126" s="161"/>
      <c r="R126" s="161">
        <f t="shared" si="10"/>
        <v>0</v>
      </c>
      <c r="S126" s="161"/>
      <c r="T126" s="161"/>
      <c r="U126" s="161"/>
      <c r="V126" s="161"/>
      <c r="W126" s="161"/>
      <c r="X126" s="167">
        <f t="shared" si="7"/>
        <v>0</v>
      </c>
      <c r="Y126" s="247">
        <f t="shared" si="8"/>
        <v>0</v>
      </c>
      <c r="Z126" s="348">
        <f>19280.723+13017.419+7933.978</f>
        <v>40232.120000000003</v>
      </c>
      <c r="AA126" s="373"/>
    </row>
    <row r="127" spans="1:27" ht="24" hidden="1" customHeight="1" x14ac:dyDescent="0.2">
      <c r="A127" s="82">
        <v>36</v>
      </c>
      <c r="B127" s="527" t="s">
        <v>236</v>
      </c>
      <c r="C127" s="28" t="s">
        <v>223</v>
      </c>
      <c r="D127" s="161"/>
      <c r="E127" s="161"/>
      <c r="F127" s="161"/>
      <c r="G127" s="161"/>
      <c r="H127" s="161"/>
      <c r="I127" s="161"/>
      <c r="J127" s="161"/>
      <c r="K127" s="161"/>
      <c r="L127" s="161">
        <f>-501-135</f>
        <v>-636</v>
      </c>
      <c r="M127" s="161"/>
      <c r="N127" s="161"/>
      <c r="O127" s="161"/>
      <c r="P127" s="161"/>
      <c r="Q127" s="161"/>
      <c r="R127" s="161">
        <f t="shared" si="10"/>
        <v>-636</v>
      </c>
      <c r="S127" s="161"/>
      <c r="T127" s="161"/>
      <c r="U127" s="161"/>
      <c r="V127" s="161"/>
      <c r="W127" s="161"/>
      <c r="X127" s="167">
        <f t="shared" si="7"/>
        <v>0</v>
      </c>
      <c r="Y127" s="247">
        <f t="shared" si="8"/>
        <v>-636</v>
      </c>
      <c r="Z127" s="348">
        <f>636</f>
        <v>636</v>
      </c>
      <c r="AA127" s="373"/>
    </row>
    <row r="128" spans="1:27" ht="24" hidden="1" customHeight="1" x14ac:dyDescent="0.2">
      <c r="A128" s="82">
        <v>37</v>
      </c>
      <c r="B128" s="527" t="s">
        <v>237</v>
      </c>
      <c r="C128" s="28" t="s">
        <v>213</v>
      </c>
      <c r="D128" s="161"/>
      <c r="E128" s="161"/>
      <c r="F128" s="161"/>
      <c r="G128" s="161"/>
      <c r="H128" s="161"/>
      <c r="I128" s="161"/>
      <c r="J128" s="161"/>
      <c r="K128" s="161">
        <f>-58621</f>
        <v>-58621</v>
      </c>
      <c r="L128" s="161"/>
      <c r="M128" s="161"/>
      <c r="N128" s="161"/>
      <c r="O128" s="161"/>
      <c r="P128" s="161"/>
      <c r="Q128" s="161"/>
      <c r="R128" s="161">
        <f t="shared" si="10"/>
        <v>-58621</v>
      </c>
      <c r="S128" s="161"/>
      <c r="T128" s="161"/>
      <c r="U128" s="161"/>
      <c r="V128" s="161"/>
      <c r="W128" s="161"/>
      <c r="X128" s="167">
        <f t="shared" si="7"/>
        <v>0</v>
      </c>
      <c r="Y128" s="247">
        <f t="shared" si="8"/>
        <v>-58621</v>
      </c>
      <c r="Z128" s="348">
        <f>58621</f>
        <v>58621</v>
      </c>
      <c r="AA128" s="373"/>
    </row>
    <row r="129" spans="1:27" ht="24" hidden="1" customHeight="1" x14ac:dyDescent="0.2">
      <c r="A129" s="530">
        <v>38</v>
      </c>
      <c r="B129" s="525" t="s">
        <v>238</v>
      </c>
      <c r="C129" s="28" t="s">
        <v>223</v>
      </c>
      <c r="D129" s="161"/>
      <c r="E129" s="161"/>
      <c r="F129" s="161"/>
      <c r="G129" s="161"/>
      <c r="H129" s="161">
        <f>298.656</f>
        <v>298.65600000000001</v>
      </c>
      <c r="I129" s="161"/>
      <c r="J129" s="161"/>
      <c r="K129" s="161"/>
      <c r="L129" s="161"/>
      <c r="M129" s="161"/>
      <c r="N129" s="161"/>
      <c r="O129" s="161"/>
      <c r="P129" s="161"/>
      <c r="Q129" s="161"/>
      <c r="R129" s="161">
        <f t="shared" si="10"/>
        <v>298.65600000000001</v>
      </c>
      <c r="S129" s="161"/>
      <c r="T129" s="161"/>
      <c r="U129" s="161"/>
      <c r="V129" s="161"/>
      <c r="W129" s="161"/>
      <c r="X129" s="167">
        <f t="shared" si="7"/>
        <v>0</v>
      </c>
      <c r="Y129" s="526">
        <f t="shared" si="8"/>
        <v>298.65600000000001</v>
      </c>
      <c r="Z129" s="348">
        <f>14151.631</f>
        <v>14151.630999999999</v>
      </c>
      <c r="AA129" s="373"/>
    </row>
    <row r="130" spans="1:27" ht="24" hidden="1" customHeight="1" x14ac:dyDescent="0.2">
      <c r="A130" s="82"/>
      <c r="B130" s="517" t="s">
        <v>280</v>
      </c>
      <c r="C130" s="41" t="s">
        <v>299</v>
      </c>
      <c r="D130" s="161"/>
      <c r="E130" s="161"/>
      <c r="F130" s="161">
        <f>-10000</f>
        <v>-10000</v>
      </c>
      <c r="G130" s="161"/>
      <c r="H130" s="161">
        <v>10000</v>
      </c>
      <c r="I130" s="161"/>
      <c r="J130" s="161"/>
      <c r="K130" s="161"/>
      <c r="L130" s="161"/>
      <c r="M130" s="161"/>
      <c r="N130" s="161"/>
      <c r="O130" s="161"/>
      <c r="P130" s="161"/>
      <c r="Q130" s="161"/>
      <c r="R130" s="161">
        <f t="shared" si="10"/>
        <v>0</v>
      </c>
      <c r="S130" s="161"/>
      <c r="T130" s="161"/>
      <c r="U130" s="161"/>
      <c r="V130" s="161"/>
      <c r="W130" s="161"/>
      <c r="X130" s="167">
        <f t="shared" si="7"/>
        <v>0</v>
      </c>
      <c r="Y130" s="247">
        <f t="shared" si="8"/>
        <v>0</v>
      </c>
      <c r="Z130" s="348"/>
      <c r="AA130" s="373"/>
    </row>
    <row r="131" spans="1:27" ht="24" hidden="1" customHeight="1" x14ac:dyDescent="0.2">
      <c r="A131" s="82"/>
      <c r="B131" s="518" t="s">
        <v>281</v>
      </c>
      <c r="C131" s="28" t="s">
        <v>282</v>
      </c>
      <c r="D131" s="161"/>
      <c r="E131" s="161"/>
      <c r="F131" s="161"/>
      <c r="G131" s="161"/>
      <c r="H131" s="161"/>
      <c r="I131" s="161"/>
      <c r="J131" s="161"/>
      <c r="K131" s="161"/>
      <c r="L131" s="161">
        <v>674</v>
      </c>
      <c r="M131" s="161"/>
      <c r="N131" s="161"/>
      <c r="O131" s="161"/>
      <c r="P131" s="161"/>
      <c r="Q131" s="161"/>
      <c r="R131" s="161">
        <f t="shared" si="10"/>
        <v>674</v>
      </c>
      <c r="S131" s="161"/>
      <c r="T131" s="161"/>
      <c r="U131" s="161"/>
      <c r="V131" s="161"/>
      <c r="W131" s="161"/>
      <c r="X131" s="167">
        <f t="shared" si="7"/>
        <v>0</v>
      </c>
      <c r="Y131" s="247">
        <f t="shared" si="8"/>
        <v>674</v>
      </c>
      <c r="Z131" s="348">
        <v>-674</v>
      </c>
      <c r="AA131" s="373"/>
    </row>
    <row r="132" spans="1:27" ht="24" hidden="1" customHeight="1" x14ac:dyDescent="0.2">
      <c r="A132" s="82"/>
      <c r="B132" s="518" t="s">
        <v>287</v>
      </c>
      <c r="C132" s="33" t="s">
        <v>289</v>
      </c>
      <c r="D132" s="161"/>
      <c r="E132" s="161"/>
      <c r="F132" s="161"/>
      <c r="G132" s="161"/>
      <c r="H132" s="161"/>
      <c r="I132" s="161"/>
      <c r="J132" s="161"/>
      <c r="K132" s="161">
        <v>-23200</v>
      </c>
      <c r="L132" s="161"/>
      <c r="M132" s="161"/>
      <c r="N132" s="161"/>
      <c r="O132" s="161"/>
      <c r="P132" s="161"/>
      <c r="Q132" s="161"/>
      <c r="R132" s="161">
        <f t="shared" si="10"/>
        <v>-23200</v>
      </c>
      <c r="S132" s="161"/>
      <c r="T132" s="161"/>
      <c r="U132" s="161"/>
      <c r="V132" s="161"/>
      <c r="W132" s="161"/>
      <c r="X132" s="167">
        <f t="shared" si="7"/>
        <v>0</v>
      </c>
      <c r="Y132" s="247">
        <f t="shared" si="8"/>
        <v>-23200</v>
      </c>
      <c r="Z132" s="348">
        <v>23200</v>
      </c>
      <c r="AA132" s="373"/>
    </row>
    <row r="133" spans="1:27" ht="24" hidden="1" customHeight="1" x14ac:dyDescent="0.2">
      <c r="A133" s="82"/>
      <c r="B133" s="518" t="s">
        <v>292</v>
      </c>
      <c r="C133" s="41" t="s">
        <v>293</v>
      </c>
      <c r="D133" s="161"/>
      <c r="E133" s="161"/>
      <c r="F133" s="161"/>
      <c r="G133" s="161"/>
      <c r="H133" s="161"/>
      <c r="I133" s="161"/>
      <c r="J133" s="161"/>
      <c r="K133" s="161">
        <v>-10043</v>
      </c>
      <c r="L133" s="161"/>
      <c r="M133" s="161"/>
      <c r="N133" s="161"/>
      <c r="O133" s="161"/>
      <c r="P133" s="161"/>
      <c r="Q133" s="161"/>
      <c r="R133" s="161">
        <f t="shared" si="10"/>
        <v>-10043</v>
      </c>
      <c r="S133" s="161"/>
      <c r="T133" s="161"/>
      <c r="U133" s="161"/>
      <c r="V133" s="161"/>
      <c r="W133" s="161"/>
      <c r="X133" s="167">
        <f t="shared" si="7"/>
        <v>0</v>
      </c>
      <c r="Y133" s="247">
        <f t="shared" si="8"/>
        <v>-10043</v>
      </c>
      <c r="Z133" s="348">
        <v>10043</v>
      </c>
      <c r="AA133" s="373"/>
    </row>
    <row r="134" spans="1:27" ht="24" hidden="1" customHeight="1" x14ac:dyDescent="0.2">
      <c r="A134" s="82"/>
      <c r="B134" s="517" t="s">
        <v>298</v>
      </c>
      <c r="C134" s="41" t="s">
        <v>297</v>
      </c>
      <c r="D134" s="161"/>
      <c r="E134" s="161"/>
      <c r="F134" s="161">
        <v>675</v>
      </c>
      <c r="G134" s="161"/>
      <c r="H134" s="161"/>
      <c r="I134" s="161"/>
      <c r="J134" s="161"/>
      <c r="K134" s="161"/>
      <c r="L134" s="161"/>
      <c r="M134" s="161"/>
      <c r="N134" s="161"/>
      <c r="O134" s="161"/>
      <c r="P134" s="161"/>
      <c r="Q134" s="161"/>
      <c r="R134" s="161">
        <f t="shared" si="10"/>
        <v>675</v>
      </c>
      <c r="S134" s="161"/>
      <c r="T134" s="161"/>
      <c r="U134" s="161"/>
      <c r="V134" s="161"/>
      <c r="W134" s="161"/>
      <c r="X134" s="167">
        <f t="shared" si="7"/>
        <v>0</v>
      </c>
      <c r="Y134" s="247">
        <f t="shared" si="8"/>
        <v>675</v>
      </c>
      <c r="Z134" s="348"/>
      <c r="AA134" s="373"/>
    </row>
    <row r="135" spans="1:27" ht="24" hidden="1" customHeight="1" x14ac:dyDescent="0.2">
      <c r="A135" s="82"/>
      <c r="B135" s="517"/>
      <c r="C135" s="28"/>
      <c r="D135" s="161"/>
      <c r="E135" s="161"/>
      <c r="F135" s="161"/>
      <c r="G135" s="161"/>
      <c r="H135" s="161"/>
      <c r="I135" s="161"/>
      <c r="J135" s="161"/>
      <c r="K135" s="161"/>
      <c r="L135" s="161"/>
      <c r="M135" s="161"/>
      <c r="N135" s="161"/>
      <c r="O135" s="161"/>
      <c r="P135" s="161"/>
      <c r="Q135" s="161"/>
      <c r="R135" s="161">
        <f t="shared" si="10"/>
        <v>0</v>
      </c>
      <c r="S135" s="161"/>
      <c r="T135" s="161"/>
      <c r="U135" s="161"/>
      <c r="V135" s="161"/>
      <c r="W135" s="161"/>
      <c r="X135" s="167">
        <f t="shared" si="7"/>
        <v>0</v>
      </c>
      <c r="Y135" s="247">
        <f t="shared" si="8"/>
        <v>0</v>
      </c>
      <c r="Z135" s="348"/>
      <c r="AA135" s="373"/>
    </row>
    <row r="136" spans="1:27" ht="24" hidden="1" customHeight="1" x14ac:dyDescent="0.2">
      <c r="A136" s="82"/>
      <c r="B136" s="517"/>
      <c r="C136" s="28"/>
      <c r="D136" s="161"/>
      <c r="E136" s="161"/>
      <c r="F136" s="161"/>
      <c r="G136" s="161"/>
      <c r="H136" s="161"/>
      <c r="I136" s="161"/>
      <c r="J136" s="161"/>
      <c r="K136" s="161"/>
      <c r="L136" s="161"/>
      <c r="M136" s="161"/>
      <c r="N136" s="161"/>
      <c r="O136" s="161"/>
      <c r="P136" s="161"/>
      <c r="Q136" s="161"/>
      <c r="R136" s="161">
        <f t="shared" si="10"/>
        <v>0</v>
      </c>
      <c r="S136" s="161"/>
      <c r="T136" s="166"/>
      <c r="U136" s="166"/>
      <c r="V136" s="166"/>
      <c r="W136" s="161"/>
      <c r="X136" s="167">
        <f t="shared" si="7"/>
        <v>0</v>
      </c>
      <c r="Y136" s="247">
        <f t="shared" si="8"/>
        <v>0</v>
      </c>
      <c r="Z136" s="348"/>
      <c r="AA136" s="373"/>
    </row>
    <row r="137" spans="1:27" ht="24" hidden="1" customHeight="1" x14ac:dyDescent="0.2">
      <c r="A137" s="82"/>
      <c r="B137" s="517"/>
      <c r="C137" s="41"/>
      <c r="D137" s="161"/>
      <c r="E137" s="161"/>
      <c r="F137" s="161"/>
      <c r="G137" s="161"/>
      <c r="H137" s="161"/>
      <c r="I137" s="161"/>
      <c r="J137" s="161"/>
      <c r="K137" s="161"/>
      <c r="L137" s="161"/>
      <c r="M137" s="161"/>
      <c r="N137" s="161"/>
      <c r="O137" s="161"/>
      <c r="P137" s="161"/>
      <c r="Q137" s="161"/>
      <c r="R137" s="161">
        <f t="shared" si="10"/>
        <v>0</v>
      </c>
      <c r="S137" s="161"/>
      <c r="T137" s="161"/>
      <c r="U137" s="161"/>
      <c r="V137" s="161"/>
      <c r="W137" s="161"/>
      <c r="X137" s="167">
        <f t="shared" si="7"/>
        <v>0</v>
      </c>
      <c r="Y137" s="247">
        <f t="shared" si="8"/>
        <v>0</v>
      </c>
      <c r="Z137" s="348"/>
      <c r="AA137" s="373"/>
    </row>
    <row r="138" spans="1:27" ht="24" hidden="1" customHeight="1" x14ac:dyDescent="0.2">
      <c r="A138" s="82"/>
      <c r="B138" s="517"/>
      <c r="C138" s="41"/>
      <c r="D138" s="161"/>
      <c r="E138" s="161"/>
      <c r="F138" s="161"/>
      <c r="G138" s="161"/>
      <c r="H138" s="161"/>
      <c r="I138" s="161"/>
      <c r="J138" s="161"/>
      <c r="K138" s="161"/>
      <c r="L138" s="161"/>
      <c r="M138" s="161"/>
      <c r="N138" s="161"/>
      <c r="O138" s="161"/>
      <c r="P138" s="161"/>
      <c r="Q138" s="161"/>
      <c r="R138" s="161">
        <f t="shared" si="10"/>
        <v>0</v>
      </c>
      <c r="S138" s="161"/>
      <c r="T138" s="161"/>
      <c r="U138" s="161"/>
      <c r="V138" s="161"/>
      <c r="W138" s="161"/>
      <c r="X138" s="167">
        <f t="shared" si="7"/>
        <v>0</v>
      </c>
      <c r="Y138" s="247">
        <f t="shared" si="8"/>
        <v>0</v>
      </c>
      <c r="Z138" s="348"/>
      <c r="AA138" s="373"/>
    </row>
    <row r="139" spans="1:27" ht="24" hidden="1" customHeight="1" x14ac:dyDescent="0.2">
      <c r="A139" s="82"/>
      <c r="B139" s="517"/>
      <c r="C139" s="28"/>
      <c r="D139" s="161"/>
      <c r="E139" s="161"/>
      <c r="F139" s="161"/>
      <c r="G139" s="161"/>
      <c r="H139" s="161"/>
      <c r="I139" s="161"/>
      <c r="J139" s="161"/>
      <c r="K139" s="161"/>
      <c r="L139" s="161"/>
      <c r="M139" s="161"/>
      <c r="N139" s="161"/>
      <c r="O139" s="161"/>
      <c r="P139" s="161"/>
      <c r="Q139" s="161"/>
      <c r="R139" s="161">
        <f t="shared" si="10"/>
        <v>0</v>
      </c>
      <c r="S139" s="161"/>
      <c r="T139" s="161"/>
      <c r="U139" s="161"/>
      <c r="V139" s="161"/>
      <c r="W139" s="161"/>
      <c r="X139" s="167">
        <f t="shared" si="7"/>
        <v>0</v>
      </c>
      <c r="Y139" s="247">
        <f t="shared" si="8"/>
        <v>0</v>
      </c>
      <c r="Z139" s="348"/>
      <c r="AA139" s="373"/>
    </row>
    <row r="140" spans="1:27" ht="24" hidden="1" customHeight="1" x14ac:dyDescent="0.2">
      <c r="A140" s="82"/>
      <c r="B140" s="517"/>
      <c r="C140" s="28"/>
      <c r="D140" s="161"/>
      <c r="E140" s="161"/>
      <c r="F140" s="161"/>
      <c r="G140" s="161"/>
      <c r="H140" s="161"/>
      <c r="I140" s="161"/>
      <c r="J140" s="161"/>
      <c r="K140" s="161"/>
      <c r="L140" s="161"/>
      <c r="M140" s="161"/>
      <c r="N140" s="161"/>
      <c r="O140" s="161"/>
      <c r="P140" s="161"/>
      <c r="Q140" s="161"/>
      <c r="R140" s="161">
        <f t="shared" si="10"/>
        <v>0</v>
      </c>
      <c r="S140" s="161"/>
      <c r="T140" s="166"/>
      <c r="U140" s="166"/>
      <c r="V140" s="166"/>
      <c r="W140" s="161"/>
      <c r="X140" s="167">
        <f t="shared" si="7"/>
        <v>0</v>
      </c>
      <c r="Y140" s="247">
        <f t="shared" si="8"/>
        <v>0</v>
      </c>
      <c r="Z140" s="348"/>
      <c r="AA140" s="373"/>
    </row>
    <row r="141" spans="1:27" ht="24" hidden="1" customHeight="1" x14ac:dyDescent="0.2">
      <c r="A141" s="82"/>
      <c r="B141" s="517"/>
      <c r="C141" s="28"/>
      <c r="D141" s="161"/>
      <c r="E141" s="161"/>
      <c r="F141" s="161"/>
      <c r="G141" s="161"/>
      <c r="H141" s="161"/>
      <c r="I141" s="161"/>
      <c r="J141" s="161"/>
      <c r="K141" s="161"/>
      <c r="L141" s="161"/>
      <c r="M141" s="161"/>
      <c r="N141" s="161"/>
      <c r="O141" s="161"/>
      <c r="P141" s="161"/>
      <c r="Q141" s="161"/>
      <c r="R141" s="161">
        <f t="shared" si="10"/>
        <v>0</v>
      </c>
      <c r="S141" s="161"/>
      <c r="T141" s="161"/>
      <c r="U141" s="161"/>
      <c r="V141" s="161"/>
      <c r="W141" s="161"/>
      <c r="X141" s="167">
        <f t="shared" si="7"/>
        <v>0</v>
      </c>
      <c r="Y141" s="247">
        <f t="shared" si="8"/>
        <v>0</v>
      </c>
      <c r="Z141" s="348"/>
      <c r="AA141" s="373"/>
    </row>
    <row r="142" spans="1:27" ht="24" hidden="1" customHeight="1" x14ac:dyDescent="0.2">
      <c r="A142" s="82"/>
      <c r="B142" s="517"/>
      <c r="C142" s="41"/>
      <c r="D142" s="161"/>
      <c r="E142" s="161"/>
      <c r="F142" s="161"/>
      <c r="G142" s="161"/>
      <c r="H142" s="161"/>
      <c r="I142" s="161"/>
      <c r="J142" s="161"/>
      <c r="K142" s="161"/>
      <c r="L142" s="161"/>
      <c r="M142" s="161"/>
      <c r="N142" s="161"/>
      <c r="O142" s="161"/>
      <c r="P142" s="161"/>
      <c r="Q142" s="161"/>
      <c r="R142" s="161">
        <f t="shared" si="10"/>
        <v>0</v>
      </c>
      <c r="S142" s="161"/>
      <c r="T142" s="166"/>
      <c r="U142" s="166"/>
      <c r="V142" s="166"/>
      <c r="W142" s="161"/>
      <c r="X142" s="167">
        <f t="shared" si="7"/>
        <v>0</v>
      </c>
      <c r="Y142" s="247">
        <f t="shared" si="8"/>
        <v>0</v>
      </c>
      <c r="Z142" s="348"/>
      <c r="AA142" s="373"/>
    </row>
    <row r="143" spans="1:27" ht="24" hidden="1" customHeight="1" x14ac:dyDescent="0.2">
      <c r="A143" s="82"/>
      <c r="B143" s="517"/>
      <c r="C143" s="28"/>
      <c r="D143" s="161"/>
      <c r="E143" s="161"/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  <c r="Q143" s="161"/>
      <c r="R143" s="161">
        <f t="shared" si="10"/>
        <v>0</v>
      </c>
      <c r="S143" s="161"/>
      <c r="T143" s="161"/>
      <c r="U143" s="161"/>
      <c r="V143" s="161"/>
      <c r="W143" s="161"/>
      <c r="X143" s="167">
        <f t="shared" si="7"/>
        <v>0</v>
      </c>
      <c r="Y143" s="247">
        <f t="shared" si="8"/>
        <v>0</v>
      </c>
      <c r="Z143" s="348"/>
      <c r="AA143" s="373"/>
    </row>
    <row r="144" spans="1:27" ht="24" hidden="1" customHeight="1" x14ac:dyDescent="0.2">
      <c r="A144" s="82"/>
      <c r="B144" s="518"/>
      <c r="C144" s="33"/>
      <c r="D144" s="161"/>
      <c r="E144" s="161"/>
      <c r="F144" s="161"/>
      <c r="G144" s="161"/>
      <c r="H144" s="161"/>
      <c r="I144" s="161"/>
      <c r="J144" s="161"/>
      <c r="K144" s="161"/>
      <c r="L144" s="161"/>
      <c r="M144" s="161"/>
      <c r="N144" s="161"/>
      <c r="O144" s="161"/>
      <c r="P144" s="161"/>
      <c r="Q144" s="161"/>
      <c r="R144" s="161">
        <f t="shared" si="10"/>
        <v>0</v>
      </c>
      <c r="S144" s="161"/>
      <c r="T144" s="161"/>
      <c r="U144" s="161"/>
      <c r="V144" s="161"/>
      <c r="W144" s="161"/>
      <c r="X144" s="167">
        <f t="shared" si="7"/>
        <v>0</v>
      </c>
      <c r="Y144" s="247">
        <f t="shared" si="8"/>
        <v>0</v>
      </c>
      <c r="Z144" s="348"/>
      <c r="AA144" s="373"/>
    </row>
    <row r="145" spans="1:27" ht="24" hidden="1" customHeight="1" x14ac:dyDescent="0.2">
      <c r="A145" s="235"/>
      <c r="B145" s="240"/>
      <c r="C145" s="28"/>
      <c r="D145" s="161"/>
      <c r="E145" s="161"/>
      <c r="F145" s="161"/>
      <c r="G145" s="161"/>
      <c r="H145" s="161"/>
      <c r="I145" s="161"/>
      <c r="J145" s="161"/>
      <c r="K145" s="161"/>
      <c r="L145" s="161"/>
      <c r="M145" s="161"/>
      <c r="N145" s="161"/>
      <c r="O145" s="161"/>
      <c r="P145" s="161"/>
      <c r="Q145" s="161"/>
      <c r="R145" s="161">
        <f t="shared" si="10"/>
        <v>0</v>
      </c>
      <c r="S145" s="161"/>
      <c r="T145" s="161"/>
      <c r="U145" s="161"/>
      <c r="V145" s="161"/>
      <c r="W145" s="161"/>
      <c r="X145" s="167">
        <f t="shared" si="7"/>
        <v>0</v>
      </c>
      <c r="Y145" s="247">
        <f t="shared" si="8"/>
        <v>0</v>
      </c>
      <c r="Z145" s="348"/>
      <c r="AA145" s="373"/>
    </row>
    <row r="146" spans="1:27" ht="24" hidden="1" customHeight="1" x14ac:dyDescent="0.2">
      <c r="A146" s="235"/>
      <c r="B146" s="240"/>
      <c r="C146" s="28"/>
      <c r="D146" s="161"/>
      <c r="E146" s="161"/>
      <c r="F146" s="161"/>
      <c r="G146" s="161"/>
      <c r="H146" s="161"/>
      <c r="I146" s="161"/>
      <c r="J146" s="161"/>
      <c r="K146" s="161"/>
      <c r="L146" s="161"/>
      <c r="M146" s="161"/>
      <c r="N146" s="161"/>
      <c r="O146" s="161"/>
      <c r="P146" s="161"/>
      <c r="Q146" s="161"/>
      <c r="R146" s="161">
        <f t="shared" si="10"/>
        <v>0</v>
      </c>
      <c r="S146" s="161"/>
      <c r="T146" s="161"/>
      <c r="U146" s="161"/>
      <c r="V146" s="161"/>
      <c r="W146" s="161"/>
      <c r="X146" s="167">
        <f t="shared" si="7"/>
        <v>0</v>
      </c>
      <c r="Y146" s="247">
        <f t="shared" si="8"/>
        <v>0</v>
      </c>
      <c r="Z146" s="348"/>
      <c r="AA146" s="373"/>
    </row>
    <row r="147" spans="1:27" ht="24" hidden="1" customHeight="1" x14ac:dyDescent="0.2">
      <c r="A147" s="82"/>
      <c r="B147" s="45"/>
      <c r="C147" s="33"/>
      <c r="D147" s="161"/>
      <c r="E147" s="161"/>
      <c r="F147" s="161"/>
      <c r="G147" s="161"/>
      <c r="H147" s="161"/>
      <c r="I147" s="161"/>
      <c r="J147" s="161"/>
      <c r="K147" s="161"/>
      <c r="L147" s="161"/>
      <c r="M147" s="161"/>
      <c r="N147" s="161"/>
      <c r="O147" s="161"/>
      <c r="P147" s="161"/>
      <c r="Q147" s="161"/>
      <c r="R147" s="161">
        <f t="shared" si="10"/>
        <v>0</v>
      </c>
      <c r="S147" s="161"/>
      <c r="T147" s="161"/>
      <c r="U147" s="161"/>
      <c r="V147" s="161"/>
      <c r="W147" s="161"/>
      <c r="X147" s="167">
        <f t="shared" si="7"/>
        <v>0</v>
      </c>
      <c r="Y147" s="247">
        <f t="shared" si="8"/>
        <v>0</v>
      </c>
      <c r="Z147" s="348"/>
      <c r="AA147" s="373"/>
    </row>
    <row r="148" spans="1:27" ht="24" hidden="1" customHeight="1" x14ac:dyDescent="0.2">
      <c r="A148" s="82"/>
      <c r="B148" s="45"/>
      <c r="C148" s="33"/>
      <c r="D148" s="161"/>
      <c r="E148" s="161"/>
      <c r="F148" s="161"/>
      <c r="G148" s="161"/>
      <c r="H148" s="161"/>
      <c r="I148" s="161"/>
      <c r="J148" s="161"/>
      <c r="K148" s="161"/>
      <c r="L148" s="161"/>
      <c r="M148" s="161"/>
      <c r="N148" s="161"/>
      <c r="O148" s="161"/>
      <c r="P148" s="161"/>
      <c r="Q148" s="161"/>
      <c r="R148" s="161">
        <f t="shared" si="10"/>
        <v>0</v>
      </c>
      <c r="S148" s="161"/>
      <c r="T148" s="161"/>
      <c r="U148" s="161"/>
      <c r="V148" s="161"/>
      <c r="W148" s="161"/>
      <c r="X148" s="167">
        <f t="shared" si="7"/>
        <v>0</v>
      </c>
      <c r="Y148" s="247">
        <f t="shared" si="8"/>
        <v>0</v>
      </c>
      <c r="Z148" s="348"/>
      <c r="AA148" s="373"/>
    </row>
    <row r="149" spans="1:27" ht="24" hidden="1" customHeight="1" x14ac:dyDescent="0.2">
      <c r="A149" s="82"/>
      <c r="B149" s="45"/>
      <c r="C149" s="28"/>
      <c r="D149" s="161"/>
      <c r="E149" s="161"/>
      <c r="F149" s="161"/>
      <c r="G149" s="161"/>
      <c r="H149" s="161"/>
      <c r="I149" s="161"/>
      <c r="J149" s="161"/>
      <c r="K149" s="161"/>
      <c r="L149" s="161"/>
      <c r="M149" s="161"/>
      <c r="N149" s="161"/>
      <c r="O149" s="161"/>
      <c r="P149" s="161"/>
      <c r="Q149" s="161"/>
      <c r="R149" s="161">
        <f t="shared" si="10"/>
        <v>0</v>
      </c>
      <c r="S149" s="161"/>
      <c r="T149" s="161"/>
      <c r="U149" s="161"/>
      <c r="V149" s="161"/>
      <c r="W149" s="161"/>
      <c r="X149" s="167">
        <f t="shared" si="7"/>
        <v>0</v>
      </c>
      <c r="Y149" s="247">
        <f t="shared" si="8"/>
        <v>0</v>
      </c>
      <c r="Z149" s="348"/>
      <c r="AA149" s="373"/>
    </row>
    <row r="150" spans="1:27" ht="24" hidden="1" customHeight="1" x14ac:dyDescent="0.2">
      <c r="A150" s="82"/>
      <c r="B150" s="32"/>
      <c r="C150" s="34"/>
      <c r="D150" s="161"/>
      <c r="E150" s="161"/>
      <c r="F150" s="161"/>
      <c r="G150" s="161"/>
      <c r="H150" s="161"/>
      <c r="I150" s="161"/>
      <c r="J150" s="161"/>
      <c r="K150" s="161"/>
      <c r="L150" s="161"/>
      <c r="M150" s="161"/>
      <c r="N150" s="161"/>
      <c r="O150" s="161"/>
      <c r="P150" s="161"/>
      <c r="Q150" s="161"/>
      <c r="R150" s="161">
        <f t="shared" si="10"/>
        <v>0</v>
      </c>
      <c r="S150" s="161"/>
      <c r="T150" s="161"/>
      <c r="U150" s="161"/>
      <c r="V150" s="161"/>
      <c r="W150" s="161"/>
      <c r="X150" s="167">
        <f t="shared" si="7"/>
        <v>0</v>
      </c>
      <c r="Y150" s="247">
        <f t="shared" si="8"/>
        <v>0</v>
      </c>
      <c r="Z150" s="348"/>
      <c r="AA150" s="373"/>
    </row>
    <row r="151" spans="1:27" ht="24" hidden="1" customHeight="1" x14ac:dyDescent="0.2">
      <c r="A151" s="82"/>
      <c r="B151" s="32"/>
      <c r="C151" s="34"/>
      <c r="D151" s="161"/>
      <c r="E151" s="161"/>
      <c r="F151" s="161"/>
      <c r="G151" s="161"/>
      <c r="H151" s="161"/>
      <c r="I151" s="161"/>
      <c r="J151" s="161"/>
      <c r="K151" s="161"/>
      <c r="L151" s="161"/>
      <c r="M151" s="161"/>
      <c r="N151" s="161"/>
      <c r="O151" s="161"/>
      <c r="P151" s="161"/>
      <c r="Q151" s="161"/>
      <c r="R151" s="161">
        <f t="shared" si="10"/>
        <v>0</v>
      </c>
      <c r="S151" s="161"/>
      <c r="T151" s="161"/>
      <c r="U151" s="161"/>
      <c r="V151" s="161"/>
      <c r="W151" s="161"/>
      <c r="X151" s="167">
        <f t="shared" si="7"/>
        <v>0</v>
      </c>
      <c r="Y151" s="247">
        <f t="shared" si="8"/>
        <v>0</v>
      </c>
      <c r="Z151" s="348"/>
      <c r="AA151" s="373"/>
    </row>
    <row r="152" spans="1:27" ht="24" hidden="1" customHeight="1" x14ac:dyDescent="0.2">
      <c r="A152" s="82"/>
      <c r="B152" s="32"/>
      <c r="C152" s="34"/>
      <c r="D152" s="161"/>
      <c r="E152" s="161"/>
      <c r="F152" s="161"/>
      <c r="G152" s="161"/>
      <c r="H152" s="161"/>
      <c r="I152" s="161"/>
      <c r="J152" s="161"/>
      <c r="K152" s="161"/>
      <c r="L152" s="161"/>
      <c r="M152" s="161"/>
      <c r="N152" s="161"/>
      <c r="O152" s="161"/>
      <c r="P152" s="161"/>
      <c r="Q152" s="161"/>
      <c r="R152" s="161">
        <f t="shared" si="10"/>
        <v>0</v>
      </c>
      <c r="S152" s="161"/>
      <c r="T152" s="161"/>
      <c r="U152" s="161"/>
      <c r="V152" s="161"/>
      <c r="W152" s="161"/>
      <c r="X152" s="167">
        <f t="shared" si="7"/>
        <v>0</v>
      </c>
      <c r="Y152" s="247">
        <f t="shared" si="8"/>
        <v>0</v>
      </c>
      <c r="Z152" s="348"/>
      <c r="AA152" s="373"/>
    </row>
    <row r="153" spans="1:27" ht="24" hidden="1" customHeight="1" x14ac:dyDescent="0.2">
      <c r="A153" s="82"/>
      <c r="B153" s="32"/>
      <c r="C153" s="34"/>
      <c r="D153" s="161"/>
      <c r="E153" s="161"/>
      <c r="F153" s="161"/>
      <c r="G153" s="161"/>
      <c r="H153" s="161"/>
      <c r="I153" s="161"/>
      <c r="J153" s="161"/>
      <c r="K153" s="161"/>
      <c r="L153" s="161"/>
      <c r="M153" s="161"/>
      <c r="N153" s="161"/>
      <c r="O153" s="161"/>
      <c r="P153" s="161"/>
      <c r="Q153" s="161"/>
      <c r="R153" s="161">
        <f t="shared" si="10"/>
        <v>0</v>
      </c>
      <c r="S153" s="161"/>
      <c r="T153" s="161"/>
      <c r="U153" s="161"/>
      <c r="V153" s="161"/>
      <c r="W153" s="161"/>
      <c r="X153" s="167">
        <f t="shared" si="7"/>
        <v>0</v>
      </c>
      <c r="Y153" s="247">
        <f t="shared" si="8"/>
        <v>0</v>
      </c>
      <c r="Z153" s="348"/>
      <c r="AA153" s="373"/>
    </row>
    <row r="154" spans="1:27" ht="24" hidden="1" customHeight="1" x14ac:dyDescent="0.2">
      <c r="A154" s="82"/>
      <c r="B154" s="31"/>
      <c r="C154" s="41"/>
      <c r="D154" s="166"/>
      <c r="E154" s="166"/>
      <c r="F154" s="161"/>
      <c r="G154" s="161"/>
      <c r="H154" s="161"/>
      <c r="I154" s="161"/>
      <c r="J154" s="161"/>
      <c r="K154" s="161"/>
      <c r="L154" s="161"/>
      <c r="M154" s="161"/>
      <c r="N154" s="161"/>
      <c r="O154" s="161"/>
      <c r="P154" s="161"/>
      <c r="Q154" s="161"/>
      <c r="R154" s="161">
        <f t="shared" si="10"/>
        <v>0</v>
      </c>
      <c r="S154" s="161"/>
      <c r="T154" s="161"/>
      <c r="U154" s="161"/>
      <c r="V154" s="161"/>
      <c r="W154" s="161"/>
      <c r="X154" s="167">
        <f t="shared" si="7"/>
        <v>0</v>
      </c>
      <c r="Y154" s="247">
        <f t="shared" si="8"/>
        <v>0</v>
      </c>
      <c r="Z154" s="348"/>
      <c r="AA154" s="373"/>
    </row>
    <row r="155" spans="1:27" ht="24" hidden="1" customHeight="1" x14ac:dyDescent="0.2">
      <c r="A155" s="82"/>
      <c r="B155" s="31"/>
      <c r="C155" s="41"/>
      <c r="D155" s="161"/>
      <c r="E155" s="161"/>
      <c r="F155" s="161"/>
      <c r="G155" s="161"/>
      <c r="H155" s="161"/>
      <c r="I155" s="161"/>
      <c r="J155" s="161"/>
      <c r="K155" s="161"/>
      <c r="L155" s="161"/>
      <c r="M155" s="161"/>
      <c r="N155" s="161"/>
      <c r="O155" s="161"/>
      <c r="P155" s="161"/>
      <c r="Q155" s="161"/>
      <c r="R155" s="161">
        <f t="shared" si="10"/>
        <v>0</v>
      </c>
      <c r="S155" s="161"/>
      <c r="T155" s="161"/>
      <c r="U155" s="161"/>
      <c r="V155" s="161"/>
      <c r="W155" s="161"/>
      <c r="X155" s="167">
        <f t="shared" si="7"/>
        <v>0</v>
      </c>
      <c r="Y155" s="247">
        <f t="shared" si="8"/>
        <v>0</v>
      </c>
      <c r="Z155" s="348"/>
      <c r="AA155" s="373"/>
    </row>
    <row r="156" spans="1:27" ht="24" hidden="1" customHeight="1" x14ac:dyDescent="0.2">
      <c r="A156" s="82"/>
      <c r="B156" s="31"/>
      <c r="C156" s="41"/>
      <c r="D156" s="161"/>
      <c r="E156" s="161"/>
      <c r="F156" s="161"/>
      <c r="G156" s="161"/>
      <c r="H156" s="161"/>
      <c r="I156" s="161"/>
      <c r="J156" s="161"/>
      <c r="K156" s="161"/>
      <c r="L156" s="161"/>
      <c r="M156" s="161"/>
      <c r="N156" s="161"/>
      <c r="O156" s="161"/>
      <c r="P156" s="161"/>
      <c r="Q156" s="161"/>
      <c r="R156" s="161">
        <f t="shared" si="10"/>
        <v>0</v>
      </c>
      <c r="S156" s="161"/>
      <c r="T156" s="161"/>
      <c r="U156" s="161"/>
      <c r="V156" s="161"/>
      <c r="W156" s="161"/>
      <c r="X156" s="167">
        <f t="shared" si="7"/>
        <v>0</v>
      </c>
      <c r="Y156" s="247">
        <f t="shared" si="8"/>
        <v>0</v>
      </c>
      <c r="Z156" s="348"/>
      <c r="AA156" s="373"/>
    </row>
    <row r="157" spans="1:27" ht="24" hidden="1" customHeight="1" x14ac:dyDescent="0.2">
      <c r="A157" s="82"/>
      <c r="B157" s="31"/>
      <c r="C157" s="41"/>
      <c r="D157" s="161"/>
      <c r="E157" s="161"/>
      <c r="F157" s="161"/>
      <c r="G157" s="161"/>
      <c r="H157" s="161"/>
      <c r="I157" s="161"/>
      <c r="J157" s="161"/>
      <c r="K157" s="161"/>
      <c r="L157" s="161"/>
      <c r="M157" s="161"/>
      <c r="N157" s="161"/>
      <c r="O157" s="161"/>
      <c r="P157" s="161"/>
      <c r="Q157" s="161"/>
      <c r="R157" s="161">
        <f t="shared" si="10"/>
        <v>0</v>
      </c>
      <c r="S157" s="161"/>
      <c r="T157" s="161"/>
      <c r="U157" s="161"/>
      <c r="V157" s="161"/>
      <c r="W157" s="161"/>
      <c r="X157" s="167">
        <f t="shared" si="7"/>
        <v>0</v>
      </c>
      <c r="Y157" s="247">
        <f t="shared" si="8"/>
        <v>0</v>
      </c>
      <c r="Z157" s="348"/>
      <c r="AA157" s="373"/>
    </row>
    <row r="158" spans="1:27" ht="24" hidden="1" customHeight="1" x14ac:dyDescent="0.2">
      <c r="A158" s="82"/>
      <c r="B158" s="106"/>
      <c r="C158" s="28"/>
      <c r="D158" s="161"/>
      <c r="E158" s="161"/>
      <c r="F158" s="161"/>
      <c r="G158" s="161"/>
      <c r="H158" s="161"/>
      <c r="I158" s="161"/>
      <c r="J158" s="161"/>
      <c r="K158" s="161"/>
      <c r="L158" s="161"/>
      <c r="M158" s="161"/>
      <c r="N158" s="161"/>
      <c r="O158" s="161"/>
      <c r="P158" s="161"/>
      <c r="Q158" s="161"/>
      <c r="R158" s="161">
        <f t="shared" si="10"/>
        <v>0</v>
      </c>
      <c r="S158" s="161"/>
      <c r="T158" s="161"/>
      <c r="U158" s="161"/>
      <c r="V158" s="161"/>
      <c r="W158" s="161"/>
      <c r="X158" s="167">
        <f t="shared" si="7"/>
        <v>0</v>
      </c>
      <c r="Y158" s="247">
        <f t="shared" si="8"/>
        <v>0</v>
      </c>
      <c r="Z158" s="348"/>
      <c r="AA158" s="373"/>
    </row>
    <row r="159" spans="1:27" ht="24" hidden="1" customHeight="1" x14ac:dyDescent="0.2">
      <c r="A159" s="82"/>
      <c r="B159" s="84"/>
      <c r="C159" s="41"/>
      <c r="D159" s="161"/>
      <c r="E159" s="161"/>
      <c r="F159" s="161"/>
      <c r="G159" s="161"/>
      <c r="H159" s="161"/>
      <c r="I159" s="161"/>
      <c r="J159" s="161"/>
      <c r="K159" s="161"/>
      <c r="L159" s="161"/>
      <c r="M159" s="161"/>
      <c r="N159" s="161"/>
      <c r="O159" s="161"/>
      <c r="P159" s="161"/>
      <c r="Q159" s="161"/>
      <c r="R159" s="161">
        <f t="shared" si="10"/>
        <v>0</v>
      </c>
      <c r="S159" s="161"/>
      <c r="T159" s="161"/>
      <c r="U159" s="161"/>
      <c r="V159" s="161"/>
      <c r="W159" s="161"/>
      <c r="X159" s="167">
        <f t="shared" si="7"/>
        <v>0</v>
      </c>
      <c r="Y159" s="247">
        <f t="shared" si="8"/>
        <v>0</v>
      </c>
      <c r="Z159" s="348"/>
      <c r="AA159" s="373"/>
    </row>
    <row r="160" spans="1:27" ht="24" hidden="1" customHeight="1" x14ac:dyDescent="0.2">
      <c r="A160" s="82"/>
      <c r="B160" s="31"/>
      <c r="C160" s="41"/>
      <c r="D160" s="161"/>
      <c r="E160" s="161"/>
      <c r="F160" s="161"/>
      <c r="G160" s="161"/>
      <c r="H160" s="161"/>
      <c r="I160" s="161"/>
      <c r="J160" s="161"/>
      <c r="K160" s="161"/>
      <c r="L160" s="161"/>
      <c r="M160" s="161"/>
      <c r="N160" s="161"/>
      <c r="O160" s="161"/>
      <c r="P160" s="161"/>
      <c r="Q160" s="161"/>
      <c r="R160" s="161">
        <f t="shared" si="10"/>
        <v>0</v>
      </c>
      <c r="S160" s="161"/>
      <c r="T160" s="161"/>
      <c r="U160" s="161"/>
      <c r="V160" s="161"/>
      <c r="W160" s="161"/>
      <c r="X160" s="167">
        <f t="shared" si="7"/>
        <v>0</v>
      </c>
      <c r="Y160" s="247">
        <f t="shared" si="8"/>
        <v>0</v>
      </c>
      <c r="Z160" s="348"/>
      <c r="AA160" s="373"/>
    </row>
    <row r="161" spans="1:27" ht="24" hidden="1" customHeight="1" x14ac:dyDescent="0.2">
      <c r="A161" s="82"/>
      <c r="B161" s="31"/>
      <c r="C161" s="4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1"/>
      <c r="O161" s="161"/>
      <c r="P161" s="161"/>
      <c r="Q161" s="161"/>
      <c r="R161" s="161">
        <f t="shared" si="10"/>
        <v>0</v>
      </c>
      <c r="S161" s="161"/>
      <c r="T161" s="161"/>
      <c r="U161" s="161"/>
      <c r="V161" s="161"/>
      <c r="W161" s="161"/>
      <c r="X161" s="167">
        <f t="shared" si="7"/>
        <v>0</v>
      </c>
      <c r="Y161" s="247">
        <f t="shared" si="8"/>
        <v>0</v>
      </c>
      <c r="Z161" s="348"/>
      <c r="AA161" s="373"/>
    </row>
    <row r="162" spans="1:27" ht="24" hidden="1" customHeight="1" x14ac:dyDescent="0.2">
      <c r="A162" s="82"/>
      <c r="B162" s="31"/>
      <c r="C162" s="41"/>
      <c r="D162" s="161"/>
      <c r="E162" s="161"/>
      <c r="F162" s="161"/>
      <c r="G162" s="161"/>
      <c r="H162" s="161"/>
      <c r="I162" s="161"/>
      <c r="J162" s="161"/>
      <c r="K162" s="161"/>
      <c r="L162" s="161"/>
      <c r="M162" s="161"/>
      <c r="N162" s="161"/>
      <c r="O162" s="161"/>
      <c r="P162" s="161"/>
      <c r="Q162" s="161"/>
      <c r="R162" s="161">
        <f t="shared" si="10"/>
        <v>0</v>
      </c>
      <c r="S162" s="161"/>
      <c r="T162" s="161"/>
      <c r="U162" s="161"/>
      <c r="V162" s="161"/>
      <c r="W162" s="161"/>
      <c r="X162" s="167">
        <f t="shared" si="7"/>
        <v>0</v>
      </c>
      <c r="Y162" s="247">
        <f t="shared" si="8"/>
        <v>0</v>
      </c>
      <c r="Z162" s="348"/>
      <c r="AA162" s="373"/>
    </row>
    <row r="163" spans="1:27" ht="24" hidden="1" customHeight="1" x14ac:dyDescent="0.2">
      <c r="A163" s="82"/>
      <c r="B163" s="30"/>
      <c r="C163" s="28"/>
      <c r="D163" s="161"/>
      <c r="E163" s="161"/>
      <c r="F163" s="161"/>
      <c r="G163" s="161"/>
      <c r="H163" s="161"/>
      <c r="I163" s="161"/>
      <c r="J163" s="161"/>
      <c r="K163" s="161"/>
      <c r="L163" s="161"/>
      <c r="M163" s="161"/>
      <c r="N163" s="161"/>
      <c r="O163" s="161"/>
      <c r="P163" s="161"/>
      <c r="Q163" s="161"/>
      <c r="R163" s="161">
        <f t="shared" si="10"/>
        <v>0</v>
      </c>
      <c r="S163" s="161"/>
      <c r="T163" s="161"/>
      <c r="U163" s="161"/>
      <c r="V163" s="161"/>
      <c r="W163" s="161"/>
      <c r="X163" s="167">
        <f t="shared" si="7"/>
        <v>0</v>
      </c>
      <c r="Y163" s="247">
        <f t="shared" si="8"/>
        <v>0</v>
      </c>
      <c r="Z163" s="348"/>
      <c r="AA163" s="373"/>
    </row>
    <row r="164" spans="1:27" ht="24" hidden="1" customHeight="1" x14ac:dyDescent="0.2">
      <c r="A164" s="130"/>
      <c r="B164" s="106"/>
      <c r="C164" s="107"/>
      <c r="D164" s="170"/>
      <c r="E164" s="170"/>
      <c r="F164" s="170"/>
      <c r="G164" s="170"/>
      <c r="H164" s="170"/>
      <c r="I164" s="170"/>
      <c r="J164" s="170"/>
      <c r="K164" s="170"/>
      <c r="L164" s="170"/>
      <c r="M164" s="170"/>
      <c r="N164" s="170"/>
      <c r="O164" s="170"/>
      <c r="P164" s="170"/>
      <c r="Q164" s="170"/>
      <c r="R164" s="170">
        <f t="shared" si="10"/>
        <v>0</v>
      </c>
      <c r="S164" s="170"/>
      <c r="T164" s="170"/>
      <c r="U164" s="170"/>
      <c r="V164" s="170"/>
      <c r="W164" s="170"/>
      <c r="X164" s="501">
        <f t="shared" si="7"/>
        <v>0</v>
      </c>
      <c r="Y164" s="389">
        <f t="shared" si="8"/>
        <v>0</v>
      </c>
      <c r="Z164" s="405"/>
      <c r="AA164" s="373"/>
    </row>
    <row r="165" spans="1:27" ht="24" hidden="1" customHeight="1" x14ac:dyDescent="0.2">
      <c r="A165" s="82"/>
      <c r="B165" s="84"/>
      <c r="C165" s="41"/>
      <c r="D165" s="161"/>
      <c r="E165" s="161"/>
      <c r="F165" s="161"/>
      <c r="G165" s="161"/>
      <c r="H165" s="161"/>
      <c r="I165" s="161"/>
      <c r="J165" s="161"/>
      <c r="K165" s="161"/>
      <c r="L165" s="161"/>
      <c r="M165" s="161"/>
      <c r="N165" s="161"/>
      <c r="O165" s="161"/>
      <c r="P165" s="161"/>
      <c r="Q165" s="161"/>
      <c r="R165" s="161">
        <f t="shared" si="10"/>
        <v>0</v>
      </c>
      <c r="S165" s="161"/>
      <c r="T165" s="161"/>
      <c r="U165" s="161"/>
      <c r="V165" s="161"/>
      <c r="W165" s="161"/>
      <c r="X165" s="167">
        <f t="shared" si="7"/>
        <v>0</v>
      </c>
      <c r="Y165" s="247">
        <f t="shared" si="8"/>
        <v>0</v>
      </c>
      <c r="Z165" s="348"/>
      <c r="AA165" s="373"/>
    </row>
    <row r="166" spans="1:27" ht="24" hidden="1" customHeight="1" x14ac:dyDescent="0.2">
      <c r="A166" s="82"/>
      <c r="B166" s="31"/>
      <c r="C166" s="41" t="s">
        <v>75</v>
      </c>
      <c r="D166" s="161"/>
      <c r="E166" s="161"/>
      <c r="F166" s="161"/>
      <c r="G166" s="161"/>
      <c r="H166" s="161"/>
      <c r="I166" s="161"/>
      <c r="J166" s="161"/>
      <c r="K166" s="161"/>
      <c r="L166" s="161"/>
      <c r="M166" s="161"/>
      <c r="N166" s="161"/>
      <c r="O166" s="161"/>
      <c r="P166" s="161"/>
      <c r="Q166" s="161"/>
      <c r="R166" s="161">
        <f t="shared" si="10"/>
        <v>0</v>
      </c>
      <c r="S166" s="161"/>
      <c r="T166" s="161"/>
      <c r="U166" s="161"/>
      <c r="V166" s="161"/>
      <c r="W166" s="161"/>
      <c r="X166" s="167">
        <f t="shared" ref="X166:X276" si="13">SUM(T166:W166)</f>
        <v>0</v>
      </c>
      <c r="Y166" s="247">
        <f t="shared" ref="Y166:Y276" si="14">R166+X166</f>
        <v>0</v>
      </c>
      <c r="Z166" s="348"/>
      <c r="AA166" s="373"/>
    </row>
    <row r="167" spans="1:27" ht="17.25" hidden="1" customHeight="1" thickBot="1" x14ac:dyDescent="0.25">
      <c r="A167" s="82"/>
      <c r="B167" s="106"/>
      <c r="C167" s="107"/>
      <c r="D167" s="108"/>
      <c r="E167" s="108"/>
      <c r="F167" s="72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>
        <f t="shared" si="10"/>
        <v>0</v>
      </c>
      <c r="S167" s="108"/>
      <c r="T167" s="108"/>
      <c r="U167" s="108"/>
      <c r="V167" s="108"/>
      <c r="W167" s="108"/>
      <c r="X167" s="109">
        <f t="shared" si="13"/>
        <v>0</v>
      </c>
      <c r="Y167" s="390">
        <f t="shared" si="14"/>
        <v>0</v>
      </c>
      <c r="Z167" s="406"/>
      <c r="AA167" s="365"/>
    </row>
    <row r="168" spans="1:27" ht="24" hidden="1" customHeight="1" thickTop="1" thickBot="1" x14ac:dyDescent="0.25">
      <c r="A168" s="42"/>
      <c r="B168" s="111" t="s">
        <v>211</v>
      </c>
      <c r="C168" s="44" t="s">
        <v>19</v>
      </c>
      <c r="D168" s="522">
        <f t="shared" ref="D168:Q168" si="15">SUM(D92:D167)</f>
        <v>-10308</v>
      </c>
      <c r="E168" s="522">
        <f t="shared" si="15"/>
        <v>-2783.1600000000003</v>
      </c>
      <c r="F168" s="522">
        <f t="shared" si="15"/>
        <v>5176.5679999999993</v>
      </c>
      <c r="G168" s="522">
        <f t="shared" si="15"/>
        <v>810</v>
      </c>
      <c r="H168" s="522">
        <f t="shared" si="15"/>
        <v>10298.656000000001</v>
      </c>
      <c r="I168" s="522">
        <f t="shared" si="15"/>
        <v>2000</v>
      </c>
      <c r="J168" s="522">
        <f t="shared" si="15"/>
        <v>-13198</v>
      </c>
      <c r="K168" s="522">
        <f t="shared" si="15"/>
        <v>-181188</v>
      </c>
      <c r="L168" s="522">
        <f t="shared" si="15"/>
        <v>86577.686000000002</v>
      </c>
      <c r="M168" s="522">
        <f t="shared" si="15"/>
        <v>2548</v>
      </c>
      <c r="N168" s="522">
        <f t="shared" si="15"/>
        <v>0</v>
      </c>
      <c r="O168" s="522">
        <f t="shared" si="15"/>
        <v>0</v>
      </c>
      <c r="P168" s="522">
        <f t="shared" si="15"/>
        <v>0</v>
      </c>
      <c r="Q168" s="522">
        <f t="shared" si="15"/>
        <v>7823</v>
      </c>
      <c r="R168" s="522">
        <f t="shared" si="10"/>
        <v>-92243.249999999985</v>
      </c>
      <c r="S168" s="522"/>
      <c r="T168" s="522">
        <f>SUM(T92:T167)</f>
        <v>0</v>
      </c>
      <c r="U168" s="522">
        <f>SUM(U92:U167)</f>
        <v>0</v>
      </c>
      <c r="V168" s="522">
        <f>SUM(V92:V167)</f>
        <v>0</v>
      </c>
      <c r="W168" s="522">
        <f>SUM(W92:W167)</f>
        <v>0</v>
      </c>
      <c r="X168" s="523">
        <f t="shared" si="13"/>
        <v>0</v>
      </c>
      <c r="Y168" s="523">
        <f t="shared" si="14"/>
        <v>-92243.249999999985</v>
      </c>
      <c r="Z168" s="524">
        <f>SUM(Z92:Z167)</f>
        <v>231239.34299999999</v>
      </c>
      <c r="AA168" s="374"/>
    </row>
    <row r="169" spans="1:27" ht="16.5" hidden="1" customHeight="1" thickTop="1" x14ac:dyDescent="0.2">
      <c r="A169" s="82"/>
      <c r="B169" s="31"/>
      <c r="C169" s="41"/>
      <c r="D169" s="161"/>
      <c r="E169" s="161"/>
      <c r="F169" s="161"/>
      <c r="G169" s="161"/>
      <c r="H169" s="161"/>
      <c r="I169" s="161"/>
      <c r="J169" s="161"/>
      <c r="K169" s="161"/>
      <c r="L169" s="161"/>
      <c r="M169" s="161"/>
      <c r="N169" s="161"/>
      <c r="O169" s="161"/>
      <c r="P169" s="161"/>
      <c r="Q169" s="161"/>
      <c r="R169" s="161">
        <f t="shared" si="10"/>
        <v>0</v>
      </c>
      <c r="S169" s="161"/>
      <c r="T169" s="161"/>
      <c r="U169" s="161"/>
      <c r="V169" s="161"/>
      <c r="W169" s="161"/>
      <c r="X169" s="167">
        <f t="shared" si="13"/>
        <v>0</v>
      </c>
      <c r="Y169" s="247">
        <f t="shared" si="14"/>
        <v>0</v>
      </c>
      <c r="Z169" s="348"/>
      <c r="AA169" s="373"/>
    </row>
    <row r="170" spans="1:27" ht="16.5" hidden="1" customHeight="1" x14ac:dyDescent="0.2">
      <c r="A170" s="82"/>
      <c r="B170" s="32"/>
      <c r="C170" s="41"/>
      <c r="D170" s="161"/>
      <c r="E170" s="161"/>
      <c r="F170" s="161"/>
      <c r="G170" s="161"/>
      <c r="H170" s="161"/>
      <c r="I170" s="161"/>
      <c r="J170" s="161"/>
      <c r="K170" s="161"/>
      <c r="L170" s="161"/>
      <c r="M170" s="161"/>
      <c r="N170" s="161"/>
      <c r="O170" s="161"/>
      <c r="P170" s="161"/>
      <c r="Q170" s="161"/>
      <c r="R170" s="161">
        <f t="shared" si="10"/>
        <v>0</v>
      </c>
      <c r="S170" s="161"/>
      <c r="T170" s="161"/>
      <c r="U170" s="161"/>
      <c r="V170" s="161"/>
      <c r="W170" s="161"/>
      <c r="X170" s="167">
        <f t="shared" si="13"/>
        <v>0</v>
      </c>
      <c r="Y170" s="247">
        <f t="shared" si="14"/>
        <v>0</v>
      </c>
      <c r="Z170" s="348"/>
      <c r="AA170" s="373"/>
    </row>
    <row r="171" spans="1:27" ht="16.5" hidden="1" customHeight="1" x14ac:dyDescent="0.2">
      <c r="A171" s="82"/>
      <c r="B171" s="31"/>
      <c r="C171" s="41"/>
      <c r="D171" s="161"/>
      <c r="E171" s="161"/>
      <c r="F171" s="161"/>
      <c r="G171" s="161"/>
      <c r="H171" s="161"/>
      <c r="I171" s="161"/>
      <c r="J171" s="161"/>
      <c r="K171" s="161"/>
      <c r="L171" s="161"/>
      <c r="M171" s="161"/>
      <c r="N171" s="161"/>
      <c r="O171" s="161"/>
      <c r="P171" s="161"/>
      <c r="Q171" s="161"/>
      <c r="R171" s="161">
        <f t="shared" si="10"/>
        <v>0</v>
      </c>
      <c r="S171" s="161"/>
      <c r="T171" s="161"/>
      <c r="U171" s="161"/>
      <c r="V171" s="161"/>
      <c r="W171" s="161"/>
      <c r="X171" s="167">
        <f t="shared" si="13"/>
        <v>0</v>
      </c>
      <c r="Y171" s="247">
        <f t="shared" si="14"/>
        <v>0</v>
      </c>
      <c r="Z171" s="348"/>
      <c r="AA171" s="373"/>
    </row>
    <row r="172" spans="1:27" ht="16.5" hidden="1" customHeight="1" x14ac:dyDescent="0.2">
      <c r="A172" s="82"/>
      <c r="B172" s="31"/>
      <c r="C172" s="41"/>
      <c r="D172" s="161"/>
      <c r="E172" s="161"/>
      <c r="F172" s="161"/>
      <c r="G172" s="161"/>
      <c r="H172" s="161"/>
      <c r="I172" s="161"/>
      <c r="J172" s="161"/>
      <c r="K172" s="161"/>
      <c r="L172" s="161"/>
      <c r="M172" s="161"/>
      <c r="N172" s="161"/>
      <c r="O172" s="161"/>
      <c r="P172" s="161"/>
      <c r="Q172" s="161"/>
      <c r="R172" s="161">
        <f t="shared" si="10"/>
        <v>0</v>
      </c>
      <c r="S172" s="161"/>
      <c r="T172" s="161"/>
      <c r="U172" s="161"/>
      <c r="V172" s="161"/>
      <c r="W172" s="161"/>
      <c r="X172" s="167">
        <f t="shared" si="13"/>
        <v>0</v>
      </c>
      <c r="Y172" s="247">
        <f t="shared" si="14"/>
        <v>0</v>
      </c>
      <c r="Z172" s="348"/>
      <c r="AA172" s="373"/>
    </row>
    <row r="173" spans="1:27" ht="16.5" hidden="1" customHeight="1" x14ac:dyDescent="0.2">
      <c r="A173" s="82"/>
      <c r="B173" s="32"/>
      <c r="C173" s="41"/>
      <c r="D173" s="161"/>
      <c r="E173" s="161"/>
      <c r="F173" s="161"/>
      <c r="G173" s="161"/>
      <c r="H173" s="161"/>
      <c r="I173" s="161"/>
      <c r="J173" s="161"/>
      <c r="K173" s="161"/>
      <c r="L173" s="161"/>
      <c r="M173" s="161"/>
      <c r="N173" s="161"/>
      <c r="O173" s="161"/>
      <c r="P173" s="161"/>
      <c r="Q173" s="161"/>
      <c r="R173" s="161">
        <f t="shared" ref="R173:R276" si="16">SUM(D173:Q173)</f>
        <v>0</v>
      </c>
      <c r="S173" s="161"/>
      <c r="T173" s="161"/>
      <c r="U173" s="161"/>
      <c r="V173" s="161"/>
      <c r="W173" s="161"/>
      <c r="X173" s="167">
        <f t="shared" si="13"/>
        <v>0</v>
      </c>
      <c r="Y173" s="247">
        <f t="shared" si="14"/>
        <v>0</v>
      </c>
      <c r="Z173" s="348"/>
      <c r="AA173" s="373"/>
    </row>
    <row r="174" spans="1:27" ht="16.5" hidden="1" customHeight="1" x14ac:dyDescent="0.2">
      <c r="A174" s="82"/>
      <c r="B174" s="31"/>
      <c r="C174" s="41"/>
      <c r="D174" s="161"/>
      <c r="E174" s="161"/>
      <c r="F174" s="161"/>
      <c r="G174" s="161"/>
      <c r="H174" s="161"/>
      <c r="I174" s="161"/>
      <c r="J174" s="161"/>
      <c r="K174" s="161"/>
      <c r="L174" s="161"/>
      <c r="M174" s="161"/>
      <c r="N174" s="161"/>
      <c r="O174" s="161"/>
      <c r="P174" s="161"/>
      <c r="Q174" s="161"/>
      <c r="R174" s="161">
        <f t="shared" si="16"/>
        <v>0</v>
      </c>
      <c r="S174" s="161"/>
      <c r="T174" s="161"/>
      <c r="U174" s="161"/>
      <c r="V174" s="161"/>
      <c r="W174" s="161"/>
      <c r="X174" s="167">
        <f t="shared" si="13"/>
        <v>0</v>
      </c>
      <c r="Y174" s="247">
        <f t="shared" si="14"/>
        <v>0</v>
      </c>
      <c r="Z174" s="348"/>
      <c r="AA174" s="373"/>
    </row>
    <row r="175" spans="1:27" ht="16.5" hidden="1" customHeight="1" x14ac:dyDescent="0.2">
      <c r="A175" s="82"/>
      <c r="B175" s="31"/>
      <c r="C175" s="41"/>
      <c r="D175" s="161"/>
      <c r="E175" s="161"/>
      <c r="F175" s="161"/>
      <c r="G175" s="161"/>
      <c r="H175" s="161"/>
      <c r="I175" s="161"/>
      <c r="J175" s="161"/>
      <c r="K175" s="161"/>
      <c r="L175" s="161"/>
      <c r="M175" s="161"/>
      <c r="N175" s="161"/>
      <c r="O175" s="161"/>
      <c r="P175" s="161"/>
      <c r="Q175" s="161"/>
      <c r="R175" s="161">
        <f t="shared" si="16"/>
        <v>0</v>
      </c>
      <c r="S175" s="161"/>
      <c r="T175" s="161"/>
      <c r="U175" s="161"/>
      <c r="V175" s="161"/>
      <c r="W175" s="161"/>
      <c r="X175" s="167">
        <f t="shared" si="13"/>
        <v>0</v>
      </c>
      <c r="Y175" s="247">
        <f t="shared" si="14"/>
        <v>0</v>
      </c>
      <c r="Z175" s="348"/>
      <c r="AA175" s="373"/>
    </row>
    <row r="176" spans="1:27" ht="17.25" hidden="1" customHeight="1" thickBot="1" x14ac:dyDescent="0.25">
      <c r="A176" s="82"/>
      <c r="B176" s="31"/>
      <c r="C176" s="41"/>
      <c r="D176" s="161"/>
      <c r="E176" s="161"/>
      <c r="F176" s="161"/>
      <c r="G176" s="161"/>
      <c r="H176" s="161"/>
      <c r="I176" s="161"/>
      <c r="J176" s="161"/>
      <c r="K176" s="161"/>
      <c r="L176" s="161"/>
      <c r="M176" s="161"/>
      <c r="N176" s="161"/>
      <c r="O176" s="161"/>
      <c r="P176" s="161"/>
      <c r="Q176" s="161"/>
      <c r="R176" s="161">
        <f t="shared" si="16"/>
        <v>0</v>
      </c>
      <c r="S176" s="161"/>
      <c r="T176" s="161"/>
      <c r="U176" s="161"/>
      <c r="V176" s="161"/>
      <c r="W176" s="161"/>
      <c r="X176" s="167">
        <f t="shared" si="13"/>
        <v>0</v>
      </c>
      <c r="Y176" s="247">
        <f t="shared" si="14"/>
        <v>0</v>
      </c>
      <c r="Z176" s="348"/>
      <c r="AA176" s="373"/>
    </row>
    <row r="177" spans="1:27" ht="18.75" hidden="1" customHeight="1" thickTop="1" thickBot="1" x14ac:dyDescent="0.25">
      <c r="A177" s="110"/>
      <c r="B177" s="112" t="s">
        <v>68</v>
      </c>
      <c r="C177" s="44"/>
      <c r="D177" s="168">
        <f t="shared" ref="D177:I177" si="17">SUM(D169:D173)</f>
        <v>0</v>
      </c>
      <c r="E177" s="168">
        <f t="shared" si="17"/>
        <v>0</v>
      </c>
      <c r="F177" s="168">
        <f t="shared" si="17"/>
        <v>0</v>
      </c>
      <c r="G177" s="168">
        <f t="shared" si="17"/>
        <v>0</v>
      </c>
      <c r="H177" s="168">
        <f t="shared" si="17"/>
        <v>0</v>
      </c>
      <c r="I177" s="168">
        <f t="shared" si="17"/>
        <v>0</v>
      </c>
      <c r="J177" s="168">
        <f>SUM(J169:J173)</f>
        <v>0</v>
      </c>
      <c r="K177" s="168">
        <f t="shared" ref="K177:W177" si="18">SUM(K169:K173)</f>
        <v>0</v>
      </c>
      <c r="L177" s="168">
        <f t="shared" si="18"/>
        <v>0</v>
      </c>
      <c r="M177" s="168">
        <f t="shared" si="18"/>
        <v>0</v>
      </c>
      <c r="N177" s="168">
        <f t="shared" si="18"/>
        <v>0</v>
      </c>
      <c r="O177" s="168">
        <f t="shared" si="18"/>
        <v>0</v>
      </c>
      <c r="P177" s="168">
        <f t="shared" si="18"/>
        <v>0</v>
      </c>
      <c r="Q177" s="168">
        <f t="shared" si="18"/>
        <v>0</v>
      </c>
      <c r="R177" s="168">
        <f t="shared" si="16"/>
        <v>0</v>
      </c>
      <c r="S177" s="168"/>
      <c r="T177" s="168">
        <f t="shared" si="18"/>
        <v>0</v>
      </c>
      <c r="U177" s="168">
        <f>SUM(U169:U173)</f>
        <v>0</v>
      </c>
      <c r="V177" s="168">
        <f>SUM(V169:V173)</f>
        <v>0</v>
      </c>
      <c r="W177" s="168">
        <f t="shared" si="18"/>
        <v>0</v>
      </c>
      <c r="X177" s="171">
        <f t="shared" si="13"/>
        <v>0</v>
      </c>
      <c r="Y177" s="171">
        <f t="shared" si="14"/>
        <v>0</v>
      </c>
      <c r="Z177" s="280">
        <f>SUM(Z169:Z173)</f>
        <v>0</v>
      </c>
      <c r="AA177" s="374"/>
    </row>
    <row r="178" spans="1:27" ht="24" hidden="1" customHeight="1" thickTop="1" thickBot="1" x14ac:dyDescent="0.25">
      <c r="A178" s="42"/>
      <c r="B178" s="345" t="s">
        <v>212</v>
      </c>
      <c r="C178" s="44" t="s">
        <v>166</v>
      </c>
      <c r="D178" s="267">
        <f t="shared" ref="D178:Q178" si="19">D91+D168+D177</f>
        <v>29342</v>
      </c>
      <c r="E178" s="267">
        <f t="shared" si="19"/>
        <v>10585.84</v>
      </c>
      <c r="F178" s="267">
        <f t="shared" si="19"/>
        <v>4279801.568</v>
      </c>
      <c r="G178" s="267">
        <f t="shared" si="19"/>
        <v>205017</v>
      </c>
      <c r="H178" s="267">
        <f t="shared" si="19"/>
        <v>10298.656000000001</v>
      </c>
      <c r="I178" s="267">
        <f t="shared" si="19"/>
        <v>27950</v>
      </c>
      <c r="J178" s="267">
        <f t="shared" si="19"/>
        <v>466027</v>
      </c>
      <c r="K178" s="267">
        <f t="shared" si="19"/>
        <v>1947252</v>
      </c>
      <c r="L178" s="267">
        <f t="shared" si="19"/>
        <v>3079821.6860000002</v>
      </c>
      <c r="M178" s="267">
        <f t="shared" si="19"/>
        <v>49426</v>
      </c>
      <c r="N178" s="267">
        <f t="shared" si="19"/>
        <v>63338</v>
      </c>
      <c r="O178" s="267">
        <f t="shared" si="19"/>
        <v>12000</v>
      </c>
      <c r="P178" s="267">
        <f t="shared" si="19"/>
        <v>0</v>
      </c>
      <c r="Q178" s="267">
        <f t="shared" si="19"/>
        <v>123813</v>
      </c>
      <c r="R178" s="267">
        <f t="shared" si="16"/>
        <v>10304672.75</v>
      </c>
      <c r="S178" s="267"/>
      <c r="T178" s="267">
        <f>T91+T168+T177</f>
        <v>20172</v>
      </c>
      <c r="U178" s="267">
        <f>U91+U168+U177</f>
        <v>1400000</v>
      </c>
      <c r="V178" s="267">
        <f>V91+V168+V177</f>
        <v>0</v>
      </c>
      <c r="W178" s="267">
        <f>W91+W168+W177</f>
        <v>0</v>
      </c>
      <c r="X178" s="267">
        <f t="shared" si="13"/>
        <v>1420172</v>
      </c>
      <c r="Y178" s="267">
        <f t="shared" si="14"/>
        <v>11724844.75</v>
      </c>
      <c r="Z178" s="243">
        <f>Z91+Z168+Z177</f>
        <v>6042302.3430000003</v>
      </c>
      <c r="AA178" s="372"/>
    </row>
    <row r="179" spans="1:27" ht="24.95" hidden="1" customHeight="1" thickTop="1" x14ac:dyDescent="0.2">
      <c r="A179" s="189"/>
      <c r="B179" s="190" t="s">
        <v>301</v>
      </c>
      <c r="C179" s="136" t="s">
        <v>18</v>
      </c>
      <c r="D179" s="244">
        <f t="shared" ref="D179:W179" si="20">D178</f>
        <v>29342</v>
      </c>
      <c r="E179" s="244">
        <f t="shared" si="20"/>
        <v>10585.84</v>
      </c>
      <c r="F179" s="244">
        <f t="shared" si="20"/>
        <v>4279801.568</v>
      </c>
      <c r="G179" s="244">
        <f t="shared" si="20"/>
        <v>205017</v>
      </c>
      <c r="H179" s="244">
        <f t="shared" si="20"/>
        <v>10298.656000000001</v>
      </c>
      <c r="I179" s="244">
        <f t="shared" si="20"/>
        <v>27950</v>
      </c>
      <c r="J179" s="244">
        <f t="shared" si="20"/>
        <v>466027</v>
      </c>
      <c r="K179" s="244">
        <f t="shared" si="20"/>
        <v>1947252</v>
      </c>
      <c r="L179" s="244">
        <f t="shared" si="20"/>
        <v>3079821.6860000002</v>
      </c>
      <c r="M179" s="244">
        <f t="shared" si="20"/>
        <v>49426</v>
      </c>
      <c r="N179" s="244">
        <f t="shared" si="20"/>
        <v>63338</v>
      </c>
      <c r="O179" s="244">
        <f t="shared" si="20"/>
        <v>12000</v>
      </c>
      <c r="P179" s="244">
        <f t="shared" si="20"/>
        <v>0</v>
      </c>
      <c r="Q179" s="244">
        <f t="shared" si="20"/>
        <v>123813</v>
      </c>
      <c r="R179" s="244">
        <f t="shared" si="16"/>
        <v>10304672.75</v>
      </c>
      <c r="S179" s="244"/>
      <c r="T179" s="244">
        <f t="shared" si="20"/>
        <v>20172</v>
      </c>
      <c r="U179" s="244">
        <f t="shared" si="20"/>
        <v>1400000</v>
      </c>
      <c r="V179" s="244">
        <f t="shared" si="20"/>
        <v>0</v>
      </c>
      <c r="W179" s="244">
        <f t="shared" si="20"/>
        <v>0</v>
      </c>
      <c r="X179" s="516">
        <f t="shared" si="13"/>
        <v>1420172</v>
      </c>
      <c r="Y179" s="391">
        <f t="shared" si="14"/>
        <v>11724844.75</v>
      </c>
      <c r="Z179" s="407">
        <f>Z178</f>
        <v>6042302.3430000003</v>
      </c>
      <c r="AA179" s="366"/>
    </row>
    <row r="180" spans="1:27" ht="24.95" hidden="1" customHeight="1" x14ac:dyDescent="0.2">
      <c r="A180" s="82">
        <v>1</v>
      </c>
      <c r="B180" s="120" t="s">
        <v>303</v>
      </c>
      <c r="C180" s="28" t="s">
        <v>308</v>
      </c>
      <c r="D180" s="166"/>
      <c r="E180" s="166"/>
      <c r="F180" s="161">
        <f>-4016</f>
        <v>-4016</v>
      </c>
      <c r="G180" s="161"/>
      <c r="H180" s="161"/>
      <c r="I180" s="161"/>
      <c r="J180" s="161"/>
      <c r="K180" s="161"/>
      <c r="L180" s="161">
        <f>3162+854</f>
        <v>4016</v>
      </c>
      <c r="M180" s="161"/>
      <c r="N180" s="161"/>
      <c r="O180" s="161"/>
      <c r="P180" s="161"/>
      <c r="Q180" s="161"/>
      <c r="R180" s="161">
        <f t="shared" si="16"/>
        <v>0</v>
      </c>
      <c r="S180" s="161"/>
      <c r="T180" s="161"/>
      <c r="U180" s="161"/>
      <c r="V180" s="161"/>
      <c r="W180" s="161"/>
      <c r="X180" s="167">
        <f t="shared" si="13"/>
        <v>0</v>
      </c>
      <c r="Y180" s="247">
        <f t="shared" si="14"/>
        <v>0</v>
      </c>
      <c r="Z180" s="348"/>
      <c r="AA180" s="373"/>
    </row>
    <row r="181" spans="1:27" ht="24.95" hidden="1" customHeight="1" x14ac:dyDescent="0.2">
      <c r="A181" s="82">
        <v>2</v>
      </c>
      <c r="B181" s="120" t="s">
        <v>304</v>
      </c>
      <c r="C181" s="28" t="s">
        <v>311</v>
      </c>
      <c r="D181" s="166"/>
      <c r="E181" s="166"/>
      <c r="F181" s="161"/>
      <c r="G181" s="161"/>
      <c r="H181" s="161"/>
      <c r="I181" s="161"/>
      <c r="J181" s="161"/>
      <c r="K181" s="161">
        <f>1063</f>
        <v>1063</v>
      </c>
      <c r="L181" s="161"/>
      <c r="M181" s="161"/>
      <c r="N181" s="161"/>
      <c r="O181" s="161"/>
      <c r="P181" s="161"/>
      <c r="Q181" s="161"/>
      <c r="R181" s="161">
        <f t="shared" si="16"/>
        <v>1063</v>
      </c>
      <c r="S181" s="161"/>
      <c r="T181" s="161"/>
      <c r="U181" s="161"/>
      <c r="V181" s="161"/>
      <c r="W181" s="161"/>
      <c r="X181" s="167">
        <f t="shared" si="13"/>
        <v>0</v>
      </c>
      <c r="Y181" s="247">
        <f t="shared" si="14"/>
        <v>1063</v>
      </c>
      <c r="Z181" s="348"/>
      <c r="AA181" s="373"/>
    </row>
    <row r="182" spans="1:27" ht="24.95" hidden="1" customHeight="1" x14ac:dyDescent="0.2">
      <c r="A182" s="82">
        <v>3</v>
      </c>
      <c r="B182" s="120" t="s">
        <v>305</v>
      </c>
      <c r="C182" s="28" t="s">
        <v>312</v>
      </c>
      <c r="D182" s="166"/>
      <c r="E182" s="166"/>
      <c r="F182" s="161">
        <f>-331-90</f>
        <v>-421</v>
      </c>
      <c r="G182" s="161"/>
      <c r="H182" s="161"/>
      <c r="I182" s="161"/>
      <c r="J182" s="161"/>
      <c r="K182" s="161"/>
      <c r="L182" s="161">
        <f>331+90</f>
        <v>421</v>
      </c>
      <c r="M182" s="161"/>
      <c r="N182" s="161"/>
      <c r="O182" s="161"/>
      <c r="P182" s="161"/>
      <c r="Q182" s="161"/>
      <c r="R182" s="161">
        <f t="shared" si="16"/>
        <v>0</v>
      </c>
      <c r="S182" s="161"/>
      <c r="T182" s="161"/>
      <c r="U182" s="161"/>
      <c r="V182" s="161"/>
      <c r="W182" s="161"/>
      <c r="X182" s="167">
        <f t="shared" si="13"/>
        <v>0</v>
      </c>
      <c r="Y182" s="247">
        <f t="shared" si="14"/>
        <v>0</v>
      </c>
      <c r="Z182" s="348"/>
      <c r="AA182" s="373"/>
    </row>
    <row r="183" spans="1:27" ht="24.95" hidden="1" customHeight="1" x14ac:dyDescent="0.2">
      <c r="A183" s="82">
        <v>4</v>
      </c>
      <c r="B183" s="120" t="s">
        <v>306</v>
      </c>
      <c r="C183" s="28" t="s">
        <v>313</v>
      </c>
      <c r="D183" s="166"/>
      <c r="E183" s="166"/>
      <c r="F183" s="161"/>
      <c r="G183" s="161"/>
      <c r="H183" s="161"/>
      <c r="I183" s="161">
        <f>2000</f>
        <v>2000</v>
      </c>
      <c r="J183" s="161"/>
      <c r="K183" s="161"/>
      <c r="L183" s="161"/>
      <c r="M183" s="161"/>
      <c r="N183" s="161"/>
      <c r="O183" s="161"/>
      <c r="P183" s="161"/>
      <c r="Q183" s="161"/>
      <c r="R183" s="161">
        <f t="shared" si="16"/>
        <v>2000</v>
      </c>
      <c r="S183" s="161"/>
      <c r="T183" s="161"/>
      <c r="U183" s="161"/>
      <c r="V183" s="161"/>
      <c r="W183" s="161"/>
      <c r="X183" s="167">
        <f t="shared" si="13"/>
        <v>0</v>
      </c>
      <c r="Y183" s="247">
        <f t="shared" si="14"/>
        <v>2000</v>
      </c>
      <c r="Z183" s="348"/>
      <c r="AA183" s="373"/>
    </row>
    <row r="184" spans="1:27" ht="24.95" hidden="1" customHeight="1" x14ac:dyDescent="0.2">
      <c r="A184" s="82">
        <v>5</v>
      </c>
      <c r="B184" s="120" t="s">
        <v>307</v>
      </c>
      <c r="C184" s="28" t="s">
        <v>256</v>
      </c>
      <c r="D184" s="166"/>
      <c r="E184" s="166"/>
      <c r="F184" s="161"/>
      <c r="G184" s="161"/>
      <c r="H184" s="161"/>
      <c r="I184" s="161"/>
      <c r="J184" s="161"/>
      <c r="K184" s="161">
        <f>-2810</f>
        <v>-2810</v>
      </c>
      <c r="L184" s="161"/>
      <c r="M184" s="161"/>
      <c r="N184" s="161"/>
      <c r="O184" s="161"/>
      <c r="P184" s="161"/>
      <c r="Q184" s="161">
        <v>2810</v>
      </c>
      <c r="R184" s="161">
        <f t="shared" si="16"/>
        <v>0</v>
      </c>
      <c r="S184" s="161"/>
      <c r="T184" s="161"/>
      <c r="U184" s="161"/>
      <c r="V184" s="161"/>
      <c r="W184" s="161"/>
      <c r="X184" s="167">
        <f t="shared" si="13"/>
        <v>0</v>
      </c>
      <c r="Y184" s="247">
        <f t="shared" si="14"/>
        <v>0</v>
      </c>
      <c r="Z184" s="348"/>
      <c r="AA184" s="373"/>
    </row>
    <row r="185" spans="1:27" ht="24.95" hidden="1" customHeight="1" x14ac:dyDescent="0.2">
      <c r="A185" s="82">
        <v>6</v>
      </c>
      <c r="B185" s="27" t="s">
        <v>309</v>
      </c>
      <c r="C185" s="28" t="s">
        <v>314</v>
      </c>
      <c r="D185" s="166"/>
      <c r="E185" s="166"/>
      <c r="F185" s="161">
        <f>25</f>
        <v>25</v>
      </c>
      <c r="G185" s="161"/>
      <c r="H185" s="161"/>
      <c r="I185" s="161"/>
      <c r="J185" s="161"/>
      <c r="K185" s="161"/>
      <c r="L185" s="161">
        <f>-20-5</f>
        <v>-25</v>
      </c>
      <c r="M185" s="161"/>
      <c r="N185" s="161"/>
      <c r="O185" s="161"/>
      <c r="P185" s="161"/>
      <c r="Q185" s="161"/>
      <c r="R185" s="161">
        <f t="shared" si="16"/>
        <v>0</v>
      </c>
      <c r="S185" s="161"/>
      <c r="T185" s="161"/>
      <c r="U185" s="161"/>
      <c r="V185" s="161"/>
      <c r="W185" s="161"/>
      <c r="X185" s="167">
        <f t="shared" si="13"/>
        <v>0</v>
      </c>
      <c r="Y185" s="247">
        <f t="shared" si="14"/>
        <v>0</v>
      </c>
      <c r="Z185" s="348"/>
      <c r="AA185" s="373"/>
    </row>
    <row r="186" spans="1:27" ht="24.95" hidden="1" customHeight="1" x14ac:dyDescent="0.2">
      <c r="A186" s="82">
        <v>7</v>
      </c>
      <c r="B186" s="27" t="s">
        <v>310</v>
      </c>
      <c r="C186" s="28" t="s">
        <v>315</v>
      </c>
      <c r="D186" s="166"/>
      <c r="E186" s="166"/>
      <c r="F186" s="161"/>
      <c r="G186" s="161"/>
      <c r="H186" s="161"/>
      <c r="I186" s="161"/>
      <c r="J186" s="161">
        <f>1000+787</f>
        <v>1787</v>
      </c>
      <c r="K186" s="161"/>
      <c r="L186" s="161"/>
      <c r="M186" s="161"/>
      <c r="N186" s="161"/>
      <c r="O186" s="161"/>
      <c r="P186" s="161"/>
      <c r="Q186" s="161"/>
      <c r="R186" s="161">
        <f t="shared" si="16"/>
        <v>1787</v>
      </c>
      <c r="S186" s="161"/>
      <c r="T186" s="161"/>
      <c r="U186" s="161"/>
      <c r="V186" s="161"/>
      <c r="W186" s="161"/>
      <c r="X186" s="167">
        <f t="shared" si="13"/>
        <v>0</v>
      </c>
      <c r="Y186" s="247">
        <f t="shared" si="14"/>
        <v>1787</v>
      </c>
      <c r="Z186" s="348"/>
      <c r="AA186" s="373"/>
    </row>
    <row r="187" spans="1:27" ht="24.95" hidden="1" customHeight="1" x14ac:dyDescent="0.2">
      <c r="A187" s="82">
        <v>8</v>
      </c>
      <c r="B187" s="27" t="s">
        <v>316</v>
      </c>
      <c r="C187" s="28" t="s">
        <v>317</v>
      </c>
      <c r="D187" s="166"/>
      <c r="E187" s="166"/>
      <c r="F187" s="161">
        <f>477+129+477+129</f>
        <v>1212</v>
      </c>
      <c r="G187" s="161"/>
      <c r="H187" s="161"/>
      <c r="I187" s="161"/>
      <c r="J187" s="161"/>
      <c r="K187" s="161"/>
      <c r="L187" s="161">
        <f>-954-258</f>
        <v>-1212</v>
      </c>
      <c r="M187" s="161"/>
      <c r="N187" s="161"/>
      <c r="O187" s="161"/>
      <c r="P187" s="161"/>
      <c r="Q187" s="161"/>
      <c r="R187" s="161">
        <f t="shared" si="16"/>
        <v>0</v>
      </c>
      <c r="S187" s="161"/>
      <c r="T187" s="161"/>
      <c r="U187" s="161"/>
      <c r="V187" s="161"/>
      <c r="W187" s="161"/>
      <c r="X187" s="167">
        <f t="shared" si="13"/>
        <v>0</v>
      </c>
      <c r="Y187" s="247">
        <f t="shared" si="14"/>
        <v>0</v>
      </c>
      <c r="Z187" s="348"/>
      <c r="AA187" s="373"/>
    </row>
    <row r="188" spans="1:27" ht="24.95" hidden="1" customHeight="1" x14ac:dyDescent="0.2">
      <c r="A188" s="82">
        <v>9</v>
      </c>
      <c r="B188" s="30" t="s">
        <v>318</v>
      </c>
      <c r="C188" s="28" t="s">
        <v>241</v>
      </c>
      <c r="D188" s="161"/>
      <c r="E188" s="161"/>
      <c r="F188" s="161"/>
      <c r="G188" s="161"/>
      <c r="H188" s="161"/>
      <c r="I188" s="161"/>
      <c r="J188" s="161"/>
      <c r="K188" s="161">
        <f>-1000</f>
        <v>-1000</v>
      </c>
      <c r="L188" s="161"/>
      <c r="M188" s="161"/>
      <c r="N188" s="161">
        <f>1000</f>
        <v>1000</v>
      </c>
      <c r="O188" s="161"/>
      <c r="P188" s="161"/>
      <c r="Q188" s="161"/>
      <c r="R188" s="161">
        <f t="shared" si="16"/>
        <v>0</v>
      </c>
      <c r="S188" s="161"/>
      <c r="T188" s="161"/>
      <c r="U188" s="161"/>
      <c r="V188" s="161"/>
      <c r="W188" s="161"/>
      <c r="X188" s="167">
        <f t="shared" si="13"/>
        <v>0</v>
      </c>
      <c r="Y188" s="247">
        <f t="shared" si="14"/>
        <v>0</v>
      </c>
      <c r="Z188" s="348"/>
      <c r="AA188" s="373"/>
    </row>
    <row r="189" spans="1:27" ht="24.95" hidden="1" customHeight="1" x14ac:dyDescent="0.2">
      <c r="A189" s="82">
        <v>10</v>
      </c>
      <c r="B189" s="30" t="s">
        <v>319</v>
      </c>
      <c r="C189" s="88" t="s">
        <v>320</v>
      </c>
      <c r="D189" s="161"/>
      <c r="E189" s="161"/>
      <c r="F189" s="161">
        <f>20472+5528</f>
        <v>26000</v>
      </c>
      <c r="G189" s="161"/>
      <c r="H189" s="161"/>
      <c r="I189" s="161"/>
      <c r="J189" s="161"/>
      <c r="K189" s="161">
        <f>-26000</f>
        <v>-26000</v>
      </c>
      <c r="L189" s="161"/>
      <c r="M189" s="161"/>
      <c r="N189" s="161"/>
      <c r="O189" s="161"/>
      <c r="P189" s="161"/>
      <c r="Q189" s="161"/>
      <c r="R189" s="161">
        <f t="shared" si="16"/>
        <v>0</v>
      </c>
      <c r="S189" s="161"/>
      <c r="T189" s="161"/>
      <c r="U189" s="161"/>
      <c r="V189" s="161"/>
      <c r="W189" s="161"/>
      <c r="X189" s="167">
        <f t="shared" si="13"/>
        <v>0</v>
      </c>
      <c r="Y189" s="247">
        <f t="shared" si="14"/>
        <v>0</v>
      </c>
      <c r="Z189" s="348"/>
      <c r="AA189" s="373"/>
    </row>
    <row r="190" spans="1:27" ht="24.95" hidden="1" customHeight="1" x14ac:dyDescent="0.2">
      <c r="A190" s="82">
        <v>11</v>
      </c>
      <c r="B190" s="30" t="s">
        <v>321</v>
      </c>
      <c r="C190" s="28" t="s">
        <v>241</v>
      </c>
      <c r="D190" s="161"/>
      <c r="E190" s="161"/>
      <c r="F190" s="161"/>
      <c r="G190" s="161"/>
      <c r="H190" s="161"/>
      <c r="I190" s="161">
        <f>286</f>
        <v>286</v>
      </c>
      <c r="J190" s="161"/>
      <c r="K190" s="161">
        <f>-286</f>
        <v>-286</v>
      </c>
      <c r="L190" s="161"/>
      <c r="M190" s="161"/>
      <c r="N190" s="161"/>
      <c r="O190" s="161"/>
      <c r="P190" s="161"/>
      <c r="Q190" s="161"/>
      <c r="R190" s="161">
        <f t="shared" si="16"/>
        <v>0</v>
      </c>
      <c r="S190" s="161"/>
      <c r="T190" s="161"/>
      <c r="U190" s="161"/>
      <c r="V190" s="161"/>
      <c r="W190" s="161"/>
      <c r="X190" s="167">
        <f t="shared" si="13"/>
        <v>0</v>
      </c>
      <c r="Y190" s="247">
        <f t="shared" si="14"/>
        <v>0</v>
      </c>
      <c r="Z190" s="348"/>
      <c r="AA190" s="373"/>
    </row>
    <row r="191" spans="1:27" ht="24.95" hidden="1" customHeight="1" x14ac:dyDescent="0.2">
      <c r="A191" s="82">
        <v>12</v>
      </c>
      <c r="B191" s="30" t="s">
        <v>322</v>
      </c>
      <c r="C191" s="28" t="s">
        <v>323</v>
      </c>
      <c r="D191" s="161"/>
      <c r="E191" s="161"/>
      <c r="F191" s="161">
        <f>701+190</f>
        <v>891</v>
      </c>
      <c r="G191" s="161"/>
      <c r="H191" s="161"/>
      <c r="I191" s="161"/>
      <c r="J191" s="161"/>
      <c r="K191" s="161"/>
      <c r="L191" s="161">
        <f>-701-190</f>
        <v>-891</v>
      </c>
      <c r="M191" s="161"/>
      <c r="N191" s="161"/>
      <c r="O191" s="161"/>
      <c r="P191" s="161"/>
      <c r="Q191" s="161"/>
      <c r="R191" s="161">
        <f t="shared" si="16"/>
        <v>0</v>
      </c>
      <c r="S191" s="161"/>
      <c r="T191" s="161"/>
      <c r="U191" s="161"/>
      <c r="V191" s="161"/>
      <c r="W191" s="161"/>
      <c r="X191" s="167">
        <f t="shared" si="13"/>
        <v>0</v>
      </c>
      <c r="Y191" s="247">
        <f t="shared" si="14"/>
        <v>0</v>
      </c>
      <c r="Z191" s="348"/>
      <c r="AA191" s="373"/>
    </row>
    <row r="192" spans="1:27" ht="24.95" hidden="1" customHeight="1" x14ac:dyDescent="0.2">
      <c r="A192" s="82">
        <v>13</v>
      </c>
      <c r="B192" s="45" t="s">
        <v>324</v>
      </c>
      <c r="C192" s="88" t="s">
        <v>243</v>
      </c>
      <c r="D192" s="161"/>
      <c r="E192" s="161"/>
      <c r="F192" s="161">
        <f>648</f>
        <v>648</v>
      </c>
      <c r="G192" s="161"/>
      <c r="H192" s="161"/>
      <c r="I192" s="161"/>
      <c r="J192" s="161"/>
      <c r="K192" s="161">
        <f>2400</f>
        <v>2400</v>
      </c>
      <c r="L192" s="161"/>
      <c r="M192" s="161"/>
      <c r="N192" s="161"/>
      <c r="O192" s="161"/>
      <c r="P192" s="161"/>
      <c r="Q192" s="161"/>
      <c r="R192" s="161">
        <f t="shared" si="16"/>
        <v>3048</v>
      </c>
      <c r="S192" s="161"/>
      <c r="T192" s="161"/>
      <c r="U192" s="161"/>
      <c r="V192" s="161"/>
      <c r="W192" s="161"/>
      <c r="X192" s="167">
        <f t="shared" si="13"/>
        <v>0</v>
      </c>
      <c r="Y192" s="247">
        <f t="shared" si="14"/>
        <v>3048</v>
      </c>
      <c r="Z192" s="348"/>
      <c r="AA192" s="373"/>
    </row>
    <row r="193" spans="1:27" ht="24.95" hidden="1" customHeight="1" x14ac:dyDescent="0.2">
      <c r="A193" s="82">
        <v>14</v>
      </c>
      <c r="B193" s="45" t="s">
        <v>337</v>
      </c>
      <c r="C193" s="28" t="s">
        <v>338</v>
      </c>
      <c r="D193" s="161"/>
      <c r="E193" s="161"/>
      <c r="F193" s="161"/>
      <c r="G193" s="161"/>
      <c r="H193" s="161"/>
      <c r="I193" s="161"/>
      <c r="J193" s="161"/>
      <c r="K193" s="161">
        <f>-76300</f>
        <v>-76300</v>
      </c>
      <c r="L193" s="161">
        <f>60078+16222</f>
        <v>76300</v>
      </c>
      <c r="M193" s="161"/>
      <c r="N193" s="161"/>
      <c r="O193" s="161"/>
      <c r="P193" s="161"/>
      <c r="Q193" s="161"/>
      <c r="R193" s="161">
        <f t="shared" si="16"/>
        <v>0</v>
      </c>
      <c r="S193" s="161"/>
      <c r="T193" s="161"/>
      <c r="U193" s="161"/>
      <c r="V193" s="161"/>
      <c r="W193" s="161"/>
      <c r="X193" s="167">
        <f t="shared" si="13"/>
        <v>0</v>
      </c>
      <c r="Y193" s="247">
        <f t="shared" si="14"/>
        <v>0</v>
      </c>
      <c r="Z193" s="348"/>
      <c r="AA193" s="373"/>
    </row>
    <row r="194" spans="1:27" ht="24.95" hidden="1" customHeight="1" x14ac:dyDescent="0.2">
      <c r="A194" s="82">
        <v>15</v>
      </c>
      <c r="B194" s="45" t="s">
        <v>353</v>
      </c>
      <c r="C194" s="28" t="s">
        <v>223</v>
      </c>
      <c r="D194" s="161"/>
      <c r="E194" s="161"/>
      <c r="F194" s="161"/>
      <c r="G194" s="161"/>
      <c r="H194" s="161"/>
      <c r="I194" s="161"/>
      <c r="J194" s="161"/>
      <c r="K194" s="161">
        <f>-12600</f>
        <v>-12600</v>
      </c>
      <c r="L194" s="161"/>
      <c r="M194" s="161"/>
      <c r="N194" s="161"/>
      <c r="O194" s="161"/>
      <c r="P194" s="161"/>
      <c r="Q194" s="161"/>
      <c r="R194" s="161">
        <f t="shared" si="16"/>
        <v>-12600</v>
      </c>
      <c r="S194" s="161"/>
      <c r="T194" s="161"/>
      <c r="U194" s="161"/>
      <c r="V194" s="161"/>
      <c r="W194" s="161"/>
      <c r="X194" s="167">
        <f t="shared" si="13"/>
        <v>0</v>
      </c>
      <c r="Y194" s="247">
        <f t="shared" si="14"/>
        <v>-12600</v>
      </c>
      <c r="Z194" s="348">
        <f>12600</f>
        <v>12600</v>
      </c>
      <c r="AA194" s="373"/>
    </row>
    <row r="195" spans="1:27" ht="24.95" hidden="1" customHeight="1" x14ac:dyDescent="0.2">
      <c r="A195" s="82">
        <v>16</v>
      </c>
      <c r="B195" s="45" t="s">
        <v>354</v>
      </c>
      <c r="C195" s="28" t="s">
        <v>223</v>
      </c>
      <c r="D195" s="161">
        <f>-1983-1299</f>
        <v>-3282</v>
      </c>
      <c r="E195" s="161">
        <f>-886</f>
        <v>-886</v>
      </c>
      <c r="F195" s="161">
        <f>-236-64-200-298-80-157-43-33-9-415-223</f>
        <v>-1758</v>
      </c>
      <c r="G195" s="161"/>
      <c r="H195" s="161"/>
      <c r="I195" s="161"/>
      <c r="J195" s="161"/>
      <c r="K195" s="161"/>
      <c r="L195" s="161"/>
      <c r="M195" s="161"/>
      <c r="N195" s="161"/>
      <c r="O195" s="161"/>
      <c r="P195" s="161"/>
      <c r="Q195" s="161"/>
      <c r="R195" s="161">
        <f t="shared" si="16"/>
        <v>-5926</v>
      </c>
      <c r="S195" s="161"/>
      <c r="T195" s="161"/>
      <c r="U195" s="161"/>
      <c r="V195" s="161"/>
      <c r="W195" s="161"/>
      <c r="X195" s="167">
        <f t="shared" si="13"/>
        <v>0</v>
      </c>
      <c r="Y195" s="247">
        <f t="shared" si="14"/>
        <v>-5926</v>
      </c>
      <c r="Z195" s="348">
        <f>5926</f>
        <v>5926</v>
      </c>
      <c r="AA195" s="373"/>
    </row>
    <row r="196" spans="1:27" ht="24.95" hidden="1" customHeight="1" x14ac:dyDescent="0.2">
      <c r="A196" s="82">
        <v>17</v>
      </c>
      <c r="B196" s="45" t="s">
        <v>339</v>
      </c>
      <c r="C196" s="33" t="s">
        <v>340</v>
      </c>
      <c r="D196" s="161"/>
      <c r="E196" s="161"/>
      <c r="F196" s="161"/>
      <c r="G196" s="161"/>
      <c r="H196" s="161"/>
      <c r="I196" s="161"/>
      <c r="J196" s="161"/>
      <c r="K196" s="161">
        <f>-10160</f>
        <v>-10160</v>
      </c>
      <c r="L196" s="161">
        <f>8000+2160</f>
        <v>10160</v>
      </c>
      <c r="M196" s="161"/>
      <c r="N196" s="161"/>
      <c r="O196" s="161"/>
      <c r="P196" s="161"/>
      <c r="Q196" s="161"/>
      <c r="R196" s="161">
        <f t="shared" si="16"/>
        <v>0</v>
      </c>
      <c r="S196" s="161"/>
      <c r="T196" s="161"/>
      <c r="U196" s="161"/>
      <c r="V196" s="161"/>
      <c r="W196" s="161"/>
      <c r="X196" s="167">
        <f t="shared" si="13"/>
        <v>0</v>
      </c>
      <c r="Y196" s="247">
        <f t="shared" si="14"/>
        <v>0</v>
      </c>
      <c r="Z196" s="348"/>
      <c r="AA196" s="373"/>
    </row>
    <row r="197" spans="1:27" ht="24.95" hidden="1" customHeight="1" x14ac:dyDescent="0.2">
      <c r="A197" s="82">
        <v>18</v>
      </c>
      <c r="B197" s="45" t="s">
        <v>341</v>
      </c>
      <c r="C197" s="28" t="s">
        <v>338</v>
      </c>
      <c r="D197" s="161"/>
      <c r="E197" s="161"/>
      <c r="F197" s="161"/>
      <c r="G197" s="161"/>
      <c r="H197" s="161"/>
      <c r="I197" s="161"/>
      <c r="J197" s="161"/>
      <c r="K197" s="161">
        <f>-13650-33950</f>
        <v>-47600</v>
      </c>
      <c r="L197" s="161">
        <f>10748+2902+26732+7218</f>
        <v>47600</v>
      </c>
      <c r="M197" s="161"/>
      <c r="N197" s="161"/>
      <c r="O197" s="161"/>
      <c r="P197" s="161"/>
      <c r="Q197" s="161"/>
      <c r="R197" s="161">
        <f t="shared" si="16"/>
        <v>0</v>
      </c>
      <c r="S197" s="161"/>
      <c r="T197" s="161"/>
      <c r="U197" s="161"/>
      <c r="V197" s="161"/>
      <c r="W197" s="161"/>
      <c r="X197" s="167">
        <f t="shared" si="13"/>
        <v>0</v>
      </c>
      <c r="Y197" s="247">
        <f t="shared" si="14"/>
        <v>0</v>
      </c>
      <c r="Z197" s="348"/>
      <c r="AA197" s="373"/>
    </row>
    <row r="198" spans="1:27" ht="24.95" hidden="1" customHeight="1" x14ac:dyDescent="0.2">
      <c r="A198" s="82">
        <v>19</v>
      </c>
      <c r="B198" s="45" t="s">
        <v>342</v>
      </c>
      <c r="C198" s="33" t="s">
        <v>343</v>
      </c>
      <c r="D198" s="161"/>
      <c r="E198" s="161"/>
      <c r="F198" s="161">
        <f>288+78</f>
        <v>366</v>
      </c>
      <c r="G198" s="161"/>
      <c r="H198" s="161"/>
      <c r="I198" s="161"/>
      <c r="J198" s="161"/>
      <c r="K198" s="161"/>
      <c r="L198" s="161">
        <f>-288-78</f>
        <v>-366</v>
      </c>
      <c r="M198" s="161"/>
      <c r="N198" s="161"/>
      <c r="O198" s="161"/>
      <c r="P198" s="161"/>
      <c r="Q198" s="161"/>
      <c r="R198" s="161">
        <f t="shared" si="16"/>
        <v>0</v>
      </c>
      <c r="S198" s="161"/>
      <c r="T198" s="161"/>
      <c r="U198" s="161"/>
      <c r="V198" s="161"/>
      <c r="W198" s="161"/>
      <c r="X198" s="167">
        <f t="shared" si="13"/>
        <v>0</v>
      </c>
      <c r="Y198" s="247">
        <f t="shared" si="14"/>
        <v>0</v>
      </c>
      <c r="Z198" s="348"/>
      <c r="AA198" s="373"/>
    </row>
    <row r="199" spans="1:27" ht="24.95" hidden="1" customHeight="1" x14ac:dyDescent="0.2">
      <c r="A199" s="82">
        <v>20</v>
      </c>
      <c r="B199" s="45" t="s">
        <v>344</v>
      </c>
      <c r="C199" s="33" t="s">
        <v>345</v>
      </c>
      <c r="D199" s="161"/>
      <c r="E199" s="161"/>
      <c r="F199" s="161"/>
      <c r="G199" s="161"/>
      <c r="H199" s="161"/>
      <c r="I199" s="161"/>
      <c r="K199" s="161"/>
      <c r="L199" s="161"/>
      <c r="M199" s="161"/>
      <c r="N199" s="161"/>
      <c r="P199" s="161"/>
      <c r="Q199" s="161">
        <f>1250</f>
        <v>1250</v>
      </c>
      <c r="R199" s="161">
        <f>SUM(D199:Q199)</f>
        <v>1250</v>
      </c>
      <c r="S199" s="161"/>
      <c r="T199" s="161"/>
      <c r="U199" s="161"/>
      <c r="V199" s="161"/>
      <c r="W199" s="161"/>
      <c r="X199" s="167">
        <f t="shared" si="13"/>
        <v>0</v>
      </c>
      <c r="Y199" s="247">
        <f t="shared" si="14"/>
        <v>1250</v>
      </c>
      <c r="Z199" s="348"/>
      <c r="AA199" s="373"/>
    </row>
    <row r="200" spans="1:27" ht="24.95" hidden="1" customHeight="1" x14ac:dyDescent="0.2">
      <c r="A200" s="82">
        <v>21</v>
      </c>
      <c r="B200" s="45" t="s">
        <v>346</v>
      </c>
      <c r="C200" s="28" t="s">
        <v>338</v>
      </c>
      <c r="D200" s="161"/>
      <c r="E200" s="161"/>
      <c r="F200" s="161"/>
      <c r="G200" s="161"/>
      <c r="H200" s="161"/>
      <c r="I200" s="161"/>
      <c r="J200" s="161"/>
      <c r="K200" s="161">
        <f>-53402</f>
        <v>-53402</v>
      </c>
      <c r="L200" s="161">
        <f>42049+11353</f>
        <v>53402</v>
      </c>
      <c r="M200" s="161"/>
      <c r="N200" s="161"/>
      <c r="O200" s="161"/>
      <c r="P200" s="161"/>
      <c r="Q200" s="161"/>
      <c r="R200" s="161">
        <f t="shared" si="16"/>
        <v>0</v>
      </c>
      <c r="S200" s="161"/>
      <c r="T200" s="161"/>
      <c r="U200" s="161"/>
      <c r="V200" s="161"/>
      <c r="W200" s="161"/>
      <c r="X200" s="167">
        <f t="shared" si="13"/>
        <v>0</v>
      </c>
      <c r="Y200" s="247">
        <f t="shared" si="14"/>
        <v>0</v>
      </c>
      <c r="Z200" s="348"/>
      <c r="AA200" s="373"/>
    </row>
    <row r="201" spans="1:27" ht="24.95" hidden="1" customHeight="1" x14ac:dyDescent="0.2">
      <c r="A201" s="82">
        <v>22</v>
      </c>
      <c r="B201" s="45" t="s">
        <v>347</v>
      </c>
      <c r="C201" s="28" t="s">
        <v>242</v>
      </c>
      <c r="D201" s="161"/>
      <c r="E201" s="161"/>
      <c r="F201" s="161"/>
      <c r="G201" s="161"/>
      <c r="H201" s="161"/>
      <c r="I201" s="161"/>
      <c r="J201" s="161">
        <f>75</f>
        <v>75</v>
      </c>
      <c r="K201" s="161">
        <f>-75</f>
        <v>-75</v>
      </c>
      <c r="L201" s="161"/>
      <c r="M201" s="161"/>
      <c r="N201" s="161"/>
      <c r="O201" s="161"/>
      <c r="P201" s="161"/>
      <c r="Q201" s="161"/>
      <c r="R201" s="161">
        <f t="shared" si="16"/>
        <v>0</v>
      </c>
      <c r="S201" s="161"/>
      <c r="T201" s="161"/>
      <c r="U201" s="161"/>
      <c r="V201" s="161"/>
      <c r="W201" s="161"/>
      <c r="X201" s="167">
        <f t="shared" si="13"/>
        <v>0</v>
      </c>
      <c r="Y201" s="247">
        <f t="shared" si="14"/>
        <v>0</v>
      </c>
      <c r="Z201" s="348"/>
      <c r="AA201" s="373"/>
    </row>
    <row r="202" spans="1:27" ht="24.95" hidden="1" customHeight="1" x14ac:dyDescent="0.2">
      <c r="A202" s="82">
        <v>23</v>
      </c>
      <c r="B202" s="45" t="s">
        <v>348</v>
      </c>
      <c r="C202" s="33" t="s">
        <v>349</v>
      </c>
      <c r="D202" s="161"/>
      <c r="E202" s="161"/>
      <c r="F202" s="161"/>
      <c r="G202" s="161">
        <f>475</f>
        <v>475</v>
      </c>
      <c r="H202" s="161"/>
      <c r="I202" s="161"/>
      <c r="J202" s="161">
        <f>-475</f>
        <v>-475</v>
      </c>
      <c r="K202" s="161"/>
      <c r="L202" s="161"/>
      <c r="M202" s="161"/>
      <c r="N202" s="161"/>
      <c r="O202" s="161"/>
      <c r="P202" s="161"/>
      <c r="Q202" s="161"/>
      <c r="R202" s="161">
        <f t="shared" si="16"/>
        <v>0</v>
      </c>
      <c r="S202" s="161"/>
      <c r="T202" s="161"/>
      <c r="U202" s="161"/>
      <c r="V202" s="161"/>
      <c r="W202" s="161"/>
      <c r="X202" s="167">
        <f t="shared" si="13"/>
        <v>0</v>
      </c>
      <c r="Y202" s="247">
        <f t="shared" si="14"/>
        <v>0</v>
      </c>
      <c r="Z202" s="348"/>
      <c r="AA202" s="373"/>
    </row>
    <row r="203" spans="1:27" ht="24.95" hidden="1" customHeight="1" x14ac:dyDescent="0.2">
      <c r="A203" s="82">
        <v>24</v>
      </c>
      <c r="B203" s="45" t="s">
        <v>350</v>
      </c>
      <c r="C203" s="33" t="s">
        <v>351</v>
      </c>
      <c r="D203" s="161"/>
      <c r="E203" s="161"/>
      <c r="F203" s="161">
        <f>477+129</f>
        <v>606</v>
      </c>
      <c r="G203" s="161"/>
      <c r="H203" s="161"/>
      <c r="I203" s="161"/>
      <c r="J203" s="161"/>
      <c r="K203" s="161"/>
      <c r="L203" s="161">
        <f>-477-129</f>
        <v>-606</v>
      </c>
      <c r="M203" s="161"/>
      <c r="N203" s="161"/>
      <c r="O203" s="161"/>
      <c r="P203" s="161"/>
      <c r="Q203" s="161"/>
      <c r="R203" s="161">
        <f t="shared" si="16"/>
        <v>0</v>
      </c>
      <c r="S203" s="161"/>
      <c r="T203" s="161"/>
      <c r="U203" s="161"/>
      <c r="V203" s="161"/>
      <c r="W203" s="161"/>
      <c r="X203" s="167">
        <f t="shared" si="13"/>
        <v>0</v>
      </c>
      <c r="Y203" s="247">
        <f t="shared" si="14"/>
        <v>0</v>
      </c>
      <c r="Z203" s="348"/>
      <c r="AA203" s="373"/>
    </row>
    <row r="204" spans="1:27" ht="24.95" hidden="1" customHeight="1" x14ac:dyDescent="0.2">
      <c r="A204" s="82">
        <v>25</v>
      </c>
      <c r="B204" s="564" t="s">
        <v>352</v>
      </c>
      <c r="C204" s="28" t="s">
        <v>338</v>
      </c>
      <c r="D204" s="161"/>
      <c r="E204" s="161"/>
      <c r="F204" s="161"/>
      <c r="G204" s="161"/>
      <c r="H204" s="161"/>
      <c r="I204" s="161"/>
      <c r="J204" s="161"/>
      <c r="K204" s="161">
        <f>-43942-2648</f>
        <v>-46590</v>
      </c>
      <c r="L204" s="161">
        <f>34600+9342+2085+563</f>
        <v>46590</v>
      </c>
      <c r="M204" s="161"/>
      <c r="N204" s="161"/>
      <c r="O204" s="161"/>
      <c r="P204" s="161"/>
      <c r="Q204" s="161"/>
      <c r="R204" s="161">
        <f t="shared" si="16"/>
        <v>0</v>
      </c>
      <c r="S204" s="161"/>
      <c r="T204" s="161"/>
      <c r="U204" s="161"/>
      <c r="V204" s="161"/>
      <c r="W204" s="161"/>
      <c r="X204" s="167">
        <f t="shared" si="13"/>
        <v>0</v>
      </c>
      <c r="Y204" s="247">
        <f t="shared" si="14"/>
        <v>0</v>
      </c>
      <c r="Z204" s="348"/>
      <c r="AA204" s="373"/>
    </row>
    <row r="205" spans="1:27" ht="24.95" hidden="1" customHeight="1" x14ac:dyDescent="0.2">
      <c r="A205" s="82">
        <v>26</v>
      </c>
      <c r="B205" s="45" t="s">
        <v>355</v>
      </c>
      <c r="C205" s="33" t="s">
        <v>356</v>
      </c>
      <c r="D205" s="161"/>
      <c r="E205" s="161"/>
      <c r="F205" s="161">
        <f>51</f>
        <v>51</v>
      </c>
      <c r="G205" s="161"/>
      <c r="H205" s="161"/>
      <c r="I205" s="161"/>
      <c r="J205" s="161"/>
      <c r="K205" s="161"/>
      <c r="L205" s="161">
        <f>-51</f>
        <v>-51</v>
      </c>
      <c r="M205" s="161"/>
      <c r="N205" s="161"/>
      <c r="O205" s="161"/>
      <c r="P205" s="161"/>
      <c r="Q205" s="161"/>
      <c r="R205" s="161">
        <f t="shared" si="16"/>
        <v>0</v>
      </c>
      <c r="S205" s="161"/>
      <c r="T205" s="161"/>
      <c r="U205" s="161"/>
      <c r="V205" s="161"/>
      <c r="W205" s="161"/>
      <c r="X205" s="167">
        <f t="shared" si="13"/>
        <v>0</v>
      </c>
      <c r="Y205" s="247">
        <f t="shared" si="14"/>
        <v>0</v>
      </c>
      <c r="Z205" s="348"/>
      <c r="AA205" s="373"/>
    </row>
    <row r="206" spans="1:27" ht="24.95" hidden="1" customHeight="1" x14ac:dyDescent="0.2">
      <c r="A206" s="82">
        <v>27</v>
      </c>
      <c r="B206" s="30" t="s">
        <v>357</v>
      </c>
      <c r="C206" s="28" t="s">
        <v>358</v>
      </c>
      <c r="D206" s="161"/>
      <c r="E206" s="161"/>
      <c r="F206" s="161">
        <f>829+234+287</f>
        <v>1350</v>
      </c>
      <c r="G206" s="161"/>
      <c r="H206" s="161"/>
      <c r="I206" s="161"/>
      <c r="J206" s="161">
        <f>-1350</f>
        <v>-1350</v>
      </c>
      <c r="K206" s="161"/>
      <c r="L206" s="161"/>
      <c r="M206" s="161"/>
      <c r="N206" s="161"/>
      <c r="O206" s="161"/>
      <c r="P206" s="161"/>
      <c r="Q206" s="161"/>
      <c r="R206" s="161">
        <f t="shared" si="16"/>
        <v>0</v>
      </c>
      <c r="S206" s="161"/>
      <c r="T206" s="161"/>
      <c r="U206" s="161"/>
      <c r="V206" s="161"/>
      <c r="W206" s="161"/>
      <c r="X206" s="167">
        <f t="shared" si="13"/>
        <v>0</v>
      </c>
      <c r="Y206" s="247">
        <f t="shared" si="14"/>
        <v>0</v>
      </c>
      <c r="Z206" s="348"/>
      <c r="AA206" s="373"/>
    </row>
    <row r="207" spans="1:27" ht="24.95" hidden="1" customHeight="1" x14ac:dyDescent="0.2">
      <c r="A207" s="82">
        <v>28</v>
      </c>
      <c r="B207" s="45" t="s">
        <v>359</v>
      </c>
      <c r="C207" s="28" t="s">
        <v>338</v>
      </c>
      <c r="D207" s="161"/>
      <c r="E207" s="161"/>
      <c r="F207" s="161"/>
      <c r="G207" s="161"/>
      <c r="H207" s="161"/>
      <c r="I207" s="161"/>
      <c r="J207" s="161"/>
      <c r="K207" s="161">
        <f>-560</f>
        <v>-560</v>
      </c>
      <c r="L207" s="161">
        <f>441+119</f>
        <v>560</v>
      </c>
      <c r="M207" s="161"/>
      <c r="N207" s="161"/>
      <c r="O207" s="161"/>
      <c r="P207" s="161"/>
      <c r="Q207" s="161"/>
      <c r="R207" s="161">
        <f t="shared" si="16"/>
        <v>0</v>
      </c>
      <c r="S207" s="161"/>
      <c r="T207" s="161"/>
      <c r="U207" s="161"/>
      <c r="V207" s="161"/>
      <c r="W207" s="161"/>
      <c r="X207" s="167">
        <f t="shared" si="13"/>
        <v>0</v>
      </c>
      <c r="Y207" s="247">
        <f t="shared" si="14"/>
        <v>0</v>
      </c>
      <c r="Z207" s="348"/>
      <c r="AA207" s="373"/>
    </row>
    <row r="208" spans="1:27" ht="24.95" hidden="1" customHeight="1" x14ac:dyDescent="0.2">
      <c r="A208" s="82">
        <v>29</v>
      </c>
      <c r="B208" s="45" t="s">
        <v>360</v>
      </c>
      <c r="C208" s="28" t="s">
        <v>361</v>
      </c>
      <c r="D208" s="161">
        <f>1500</f>
        <v>1500</v>
      </c>
      <c r="E208" s="161">
        <f>365</f>
        <v>365</v>
      </c>
      <c r="F208" s="161"/>
      <c r="G208" s="161"/>
      <c r="H208" s="161"/>
      <c r="I208" s="161"/>
      <c r="J208" s="161"/>
      <c r="K208" s="161">
        <f>-1865</f>
        <v>-1865</v>
      </c>
      <c r="L208" s="161"/>
      <c r="M208" s="161"/>
      <c r="N208" s="161"/>
      <c r="O208" s="161"/>
      <c r="P208" s="161"/>
      <c r="Q208" s="161"/>
      <c r="R208" s="161">
        <f t="shared" si="16"/>
        <v>0</v>
      </c>
      <c r="S208" s="161"/>
      <c r="T208" s="161"/>
      <c r="U208" s="161"/>
      <c r="V208" s="161"/>
      <c r="W208" s="161"/>
      <c r="X208" s="167">
        <f t="shared" si="13"/>
        <v>0</v>
      </c>
      <c r="Y208" s="247">
        <f t="shared" si="14"/>
        <v>0</v>
      </c>
      <c r="Z208" s="348"/>
      <c r="AA208" s="373"/>
    </row>
    <row r="209" spans="1:27" ht="24.95" hidden="1" customHeight="1" x14ac:dyDescent="0.2">
      <c r="A209" s="82">
        <v>30</v>
      </c>
      <c r="B209" s="238" t="s">
        <v>362</v>
      </c>
      <c r="C209" s="28" t="s">
        <v>363</v>
      </c>
      <c r="D209" s="161"/>
      <c r="E209" s="161"/>
      <c r="F209" s="161"/>
      <c r="G209" s="161"/>
      <c r="H209" s="161"/>
      <c r="I209" s="161"/>
      <c r="J209" s="161">
        <f>67465</f>
        <v>67465</v>
      </c>
      <c r="K209" s="161">
        <f>-20000-47465</f>
        <v>-67465</v>
      </c>
      <c r="L209" s="161"/>
      <c r="M209" s="161"/>
      <c r="N209" s="161"/>
      <c r="O209" s="161"/>
      <c r="P209" s="161"/>
      <c r="Q209" s="161"/>
      <c r="R209" s="161">
        <f t="shared" si="16"/>
        <v>0</v>
      </c>
      <c r="S209" s="161"/>
      <c r="T209" s="161"/>
      <c r="U209" s="161"/>
      <c r="V209" s="161"/>
      <c r="W209" s="161"/>
      <c r="X209" s="167">
        <f t="shared" si="13"/>
        <v>0</v>
      </c>
      <c r="Y209" s="247">
        <f t="shared" si="14"/>
        <v>0</v>
      </c>
      <c r="Z209" s="348"/>
      <c r="AA209" s="373"/>
    </row>
    <row r="210" spans="1:27" ht="24.95" hidden="1" customHeight="1" x14ac:dyDescent="0.2">
      <c r="A210" s="82">
        <v>31</v>
      </c>
      <c r="B210" s="238" t="s">
        <v>365</v>
      </c>
      <c r="C210" s="28" t="s">
        <v>364</v>
      </c>
      <c r="D210" s="161"/>
      <c r="E210" s="161"/>
      <c r="F210" s="161"/>
      <c r="G210" s="161"/>
      <c r="H210" s="161"/>
      <c r="I210" s="161"/>
      <c r="J210" s="161"/>
      <c r="K210" s="161">
        <f>-10000</f>
        <v>-10000</v>
      </c>
      <c r="L210" s="161">
        <f>7874+2126</f>
        <v>10000</v>
      </c>
      <c r="M210" s="161"/>
      <c r="N210" s="161"/>
      <c r="O210" s="161"/>
      <c r="P210" s="161"/>
      <c r="Q210" s="161"/>
      <c r="R210" s="161">
        <f t="shared" si="16"/>
        <v>0</v>
      </c>
      <c r="S210" s="161"/>
      <c r="T210" s="161"/>
      <c r="U210" s="161"/>
      <c r="V210" s="161"/>
      <c r="W210" s="161"/>
      <c r="X210" s="167">
        <f t="shared" si="13"/>
        <v>0</v>
      </c>
      <c r="Y210" s="247">
        <f t="shared" si="14"/>
        <v>0</v>
      </c>
      <c r="Z210" s="348"/>
      <c r="AA210" s="373"/>
    </row>
    <row r="211" spans="1:27" ht="24.95" hidden="1" customHeight="1" x14ac:dyDescent="0.2">
      <c r="A211" s="82">
        <v>32</v>
      </c>
      <c r="B211" s="30" t="s">
        <v>366</v>
      </c>
      <c r="C211" s="88" t="s">
        <v>254</v>
      </c>
      <c r="D211" s="161"/>
      <c r="E211" s="161"/>
      <c r="F211" s="161"/>
      <c r="G211" s="161"/>
      <c r="H211" s="161"/>
      <c r="I211" s="161"/>
      <c r="J211" s="161"/>
      <c r="K211" s="161">
        <f>-17000</f>
        <v>-17000</v>
      </c>
      <c r="L211" s="161"/>
      <c r="M211" s="161"/>
      <c r="N211" s="161"/>
      <c r="O211" s="161"/>
      <c r="P211" s="161"/>
      <c r="Q211" s="161">
        <f>17000</f>
        <v>17000</v>
      </c>
      <c r="R211" s="161">
        <f t="shared" si="16"/>
        <v>0</v>
      </c>
      <c r="S211" s="161"/>
      <c r="T211" s="161"/>
      <c r="U211" s="161"/>
      <c r="V211" s="161"/>
      <c r="W211" s="161"/>
      <c r="X211" s="167">
        <f t="shared" si="13"/>
        <v>0</v>
      </c>
      <c r="Y211" s="247">
        <f t="shared" si="14"/>
        <v>0</v>
      </c>
      <c r="Z211" s="348"/>
      <c r="AA211" s="373"/>
    </row>
    <row r="212" spans="1:27" ht="24.95" hidden="1" customHeight="1" x14ac:dyDescent="0.2">
      <c r="A212" s="82">
        <v>33</v>
      </c>
      <c r="B212" s="30" t="s">
        <v>367</v>
      </c>
      <c r="C212" s="28" t="s">
        <v>368</v>
      </c>
      <c r="D212" s="161"/>
      <c r="E212" s="161"/>
      <c r="F212" s="161">
        <f>-301-37+135+3+25</f>
        <v>-175</v>
      </c>
      <c r="G212" s="161"/>
      <c r="H212" s="161"/>
      <c r="I212" s="161"/>
      <c r="J212" s="161"/>
      <c r="K212" s="161"/>
      <c r="L212" s="161">
        <f>138+37</f>
        <v>175</v>
      </c>
      <c r="M212" s="161"/>
      <c r="N212" s="161"/>
      <c r="O212" s="161"/>
      <c r="P212" s="161"/>
      <c r="Q212" s="161"/>
      <c r="R212" s="161">
        <f t="shared" si="16"/>
        <v>0</v>
      </c>
      <c r="S212" s="161"/>
      <c r="T212" s="161"/>
      <c r="U212" s="161"/>
      <c r="V212" s="161"/>
      <c r="W212" s="161"/>
      <c r="X212" s="167">
        <f t="shared" si="13"/>
        <v>0</v>
      </c>
      <c r="Y212" s="247">
        <f t="shared" si="14"/>
        <v>0</v>
      </c>
      <c r="Z212" s="348"/>
      <c r="AA212" s="373"/>
    </row>
    <row r="213" spans="1:27" ht="24.95" hidden="1" customHeight="1" x14ac:dyDescent="0.2">
      <c r="A213" s="82">
        <v>34</v>
      </c>
      <c r="B213" s="238" t="s">
        <v>369</v>
      </c>
      <c r="C213" s="28" t="s">
        <v>364</v>
      </c>
      <c r="D213" s="161"/>
      <c r="E213" s="161"/>
      <c r="F213" s="161">
        <f>220+60</f>
        <v>280</v>
      </c>
      <c r="G213" s="161"/>
      <c r="H213" s="161"/>
      <c r="I213" s="161"/>
      <c r="J213" s="161"/>
      <c r="K213" s="161"/>
      <c r="L213" s="161">
        <f>-220-60</f>
        <v>-280</v>
      </c>
      <c r="M213" s="161"/>
      <c r="N213" s="161"/>
      <c r="O213" s="161"/>
      <c r="P213" s="161"/>
      <c r="Q213" s="161"/>
      <c r="R213" s="161">
        <f t="shared" si="16"/>
        <v>0</v>
      </c>
      <c r="S213" s="161"/>
      <c r="T213" s="161"/>
      <c r="U213" s="161"/>
      <c r="V213" s="161"/>
      <c r="W213" s="161"/>
      <c r="X213" s="167">
        <f t="shared" si="13"/>
        <v>0</v>
      </c>
      <c r="Y213" s="247">
        <f t="shared" si="14"/>
        <v>0</v>
      </c>
      <c r="Z213" s="348"/>
      <c r="AA213" s="373"/>
    </row>
    <row r="214" spans="1:27" ht="24.95" hidden="1" customHeight="1" x14ac:dyDescent="0.2">
      <c r="A214" s="82">
        <v>35</v>
      </c>
      <c r="B214" s="30" t="s">
        <v>371</v>
      </c>
      <c r="C214" s="28" t="s">
        <v>370</v>
      </c>
      <c r="D214" s="161"/>
      <c r="E214" s="161"/>
      <c r="F214" s="161">
        <f>98+27</f>
        <v>125</v>
      </c>
      <c r="G214" s="161"/>
      <c r="H214" s="161"/>
      <c r="I214" s="161"/>
      <c r="J214" s="161"/>
      <c r="K214" s="161"/>
      <c r="L214" s="161"/>
      <c r="M214" s="161"/>
      <c r="N214" s="161"/>
      <c r="O214" s="161"/>
      <c r="P214" s="161"/>
      <c r="Q214" s="161"/>
      <c r="R214" s="161">
        <f t="shared" si="16"/>
        <v>125</v>
      </c>
      <c r="S214" s="161"/>
      <c r="T214" s="161"/>
      <c r="U214" s="161"/>
      <c r="V214" s="161"/>
      <c r="W214" s="161"/>
      <c r="X214" s="167">
        <f t="shared" si="13"/>
        <v>0</v>
      </c>
      <c r="Y214" s="247">
        <f t="shared" si="14"/>
        <v>125</v>
      </c>
      <c r="Z214" s="348"/>
      <c r="AA214" s="373"/>
    </row>
    <row r="215" spans="1:27" ht="24.95" hidden="1" customHeight="1" x14ac:dyDescent="0.2">
      <c r="A215" s="82">
        <v>36</v>
      </c>
      <c r="B215" s="30" t="s">
        <v>372</v>
      </c>
      <c r="C215" s="28" t="s">
        <v>373</v>
      </c>
      <c r="D215" s="161"/>
      <c r="E215" s="161"/>
      <c r="F215" s="161"/>
      <c r="G215" s="161"/>
      <c r="H215" s="161"/>
      <c r="I215" s="161"/>
      <c r="J215" s="161"/>
      <c r="K215" s="161">
        <f>388.3</f>
        <v>388.3</v>
      </c>
      <c r="L215" s="161"/>
      <c r="M215" s="161"/>
      <c r="N215" s="161"/>
      <c r="O215" s="161"/>
      <c r="P215" s="161"/>
      <c r="Q215" s="161"/>
      <c r="R215" s="161">
        <f t="shared" si="16"/>
        <v>388.3</v>
      </c>
      <c r="S215" s="161"/>
      <c r="T215" s="161"/>
      <c r="U215" s="161"/>
      <c r="V215" s="161"/>
      <c r="W215" s="161"/>
      <c r="X215" s="167">
        <f t="shared" si="13"/>
        <v>0</v>
      </c>
      <c r="Y215" s="247">
        <f t="shared" si="14"/>
        <v>388.3</v>
      </c>
      <c r="Z215" s="348"/>
      <c r="AA215" s="373"/>
    </row>
    <row r="216" spans="1:27" ht="24.95" hidden="1" customHeight="1" x14ac:dyDescent="0.2">
      <c r="A216" s="82">
        <v>37</v>
      </c>
      <c r="B216" s="30" t="s">
        <v>374</v>
      </c>
      <c r="C216" s="28" t="s">
        <v>375</v>
      </c>
      <c r="D216" s="161"/>
      <c r="E216" s="161"/>
      <c r="F216" s="161">
        <f>1000</f>
        <v>1000</v>
      </c>
      <c r="G216" s="161"/>
      <c r="H216" s="161">
        <f>-1000</f>
        <v>-1000</v>
      </c>
      <c r="I216" s="161"/>
      <c r="J216" s="161"/>
      <c r="K216" s="161"/>
      <c r="L216" s="161"/>
      <c r="M216" s="161"/>
      <c r="N216" s="161"/>
      <c r="O216" s="161"/>
      <c r="P216" s="161"/>
      <c r="Q216" s="161"/>
      <c r="R216" s="161">
        <f t="shared" si="16"/>
        <v>0</v>
      </c>
      <c r="S216" s="161"/>
      <c r="T216" s="161"/>
      <c r="U216" s="161"/>
      <c r="V216" s="161"/>
      <c r="W216" s="161"/>
      <c r="X216" s="167">
        <f t="shared" si="13"/>
        <v>0</v>
      </c>
      <c r="Y216" s="247">
        <f t="shared" si="14"/>
        <v>0</v>
      </c>
      <c r="Z216" s="348"/>
      <c r="AA216" s="373"/>
    </row>
    <row r="217" spans="1:27" ht="24.95" hidden="1" customHeight="1" x14ac:dyDescent="0.2">
      <c r="A217" s="82">
        <v>38</v>
      </c>
      <c r="B217" s="30" t="s">
        <v>376</v>
      </c>
      <c r="C217" s="28" t="s">
        <v>338</v>
      </c>
      <c r="D217" s="161"/>
      <c r="E217" s="161"/>
      <c r="F217" s="161">
        <f>207+64+14+77</f>
        <v>362</v>
      </c>
      <c r="G217" s="161"/>
      <c r="H217" s="161"/>
      <c r="I217" s="161"/>
      <c r="J217" s="161"/>
      <c r="K217" s="161">
        <f>-10000</f>
        <v>-10000</v>
      </c>
      <c r="L217" s="161">
        <f>5959+1630+2049</f>
        <v>9638</v>
      </c>
      <c r="M217" s="161"/>
      <c r="N217" s="161"/>
      <c r="O217" s="161"/>
      <c r="P217" s="161"/>
      <c r="Q217" s="161"/>
      <c r="R217" s="161">
        <f t="shared" si="16"/>
        <v>0</v>
      </c>
      <c r="S217" s="161"/>
      <c r="T217" s="161"/>
      <c r="U217" s="161"/>
      <c r="V217" s="161"/>
      <c r="W217" s="161"/>
      <c r="X217" s="167">
        <f t="shared" si="13"/>
        <v>0</v>
      </c>
      <c r="Y217" s="247">
        <f t="shared" si="14"/>
        <v>0</v>
      </c>
      <c r="Z217" s="348"/>
      <c r="AA217" s="373"/>
    </row>
    <row r="218" spans="1:27" ht="24.95" hidden="1" customHeight="1" x14ac:dyDescent="0.2">
      <c r="A218" s="82">
        <v>39</v>
      </c>
      <c r="B218" s="30" t="s">
        <v>377</v>
      </c>
      <c r="C218" s="28" t="s">
        <v>338</v>
      </c>
      <c r="D218" s="161"/>
      <c r="E218" s="161"/>
      <c r="F218" s="161"/>
      <c r="G218" s="161"/>
      <c r="H218" s="161"/>
      <c r="I218" s="161"/>
      <c r="J218" s="161"/>
      <c r="K218" s="161">
        <f>-470</f>
        <v>-470</v>
      </c>
      <c r="L218" s="161">
        <f>370+100</f>
        <v>470</v>
      </c>
      <c r="M218" s="161"/>
      <c r="N218" s="161"/>
      <c r="O218" s="161"/>
      <c r="P218" s="161"/>
      <c r="Q218" s="161"/>
      <c r="R218" s="161">
        <f t="shared" si="16"/>
        <v>0</v>
      </c>
      <c r="S218" s="161"/>
      <c r="T218" s="161"/>
      <c r="U218" s="161"/>
      <c r="V218" s="161"/>
      <c r="W218" s="161"/>
      <c r="X218" s="167">
        <f t="shared" si="13"/>
        <v>0</v>
      </c>
      <c r="Y218" s="247">
        <f t="shared" si="14"/>
        <v>0</v>
      </c>
      <c r="Z218" s="348"/>
      <c r="AA218" s="373"/>
    </row>
    <row r="219" spans="1:27" ht="24.95" hidden="1" customHeight="1" x14ac:dyDescent="0.2">
      <c r="A219" s="82">
        <v>40</v>
      </c>
      <c r="B219" s="30" t="s">
        <v>378</v>
      </c>
      <c r="C219" s="28" t="s">
        <v>338</v>
      </c>
      <c r="D219" s="161"/>
      <c r="E219" s="161"/>
      <c r="F219" s="161"/>
      <c r="G219" s="161"/>
      <c r="H219" s="161"/>
      <c r="I219" s="161"/>
      <c r="J219" s="161"/>
      <c r="K219" s="161">
        <f>-17777</f>
        <v>-17777</v>
      </c>
      <c r="L219" s="161">
        <f>13998+3779</f>
        <v>17777</v>
      </c>
      <c r="M219" s="161"/>
      <c r="N219" s="161"/>
      <c r="O219" s="161"/>
      <c r="P219" s="161"/>
      <c r="Q219" s="161"/>
      <c r="R219" s="161">
        <f t="shared" si="16"/>
        <v>0</v>
      </c>
      <c r="S219" s="161"/>
      <c r="T219" s="161"/>
      <c r="U219" s="161"/>
      <c r="V219" s="161"/>
      <c r="W219" s="161"/>
      <c r="X219" s="167">
        <f t="shared" si="13"/>
        <v>0</v>
      </c>
      <c r="Y219" s="247">
        <f t="shared" si="14"/>
        <v>0</v>
      </c>
      <c r="Z219" s="348"/>
      <c r="AA219" s="373"/>
    </row>
    <row r="220" spans="1:27" ht="24.95" hidden="1" customHeight="1" x14ac:dyDescent="0.2">
      <c r="A220" s="82">
        <v>41</v>
      </c>
      <c r="B220" s="238" t="s">
        <v>379</v>
      </c>
      <c r="C220" s="28" t="s">
        <v>380</v>
      </c>
      <c r="D220" s="161"/>
      <c r="E220" s="161"/>
      <c r="F220" s="161"/>
      <c r="G220" s="161"/>
      <c r="H220" s="161"/>
      <c r="I220" s="161"/>
      <c r="J220" s="161"/>
      <c r="K220" s="161">
        <f>-4003</f>
        <v>-4003</v>
      </c>
      <c r="L220" s="161">
        <f>3152+851</f>
        <v>4003</v>
      </c>
      <c r="M220" s="161"/>
      <c r="N220" s="161"/>
      <c r="O220" s="161"/>
      <c r="P220" s="161"/>
      <c r="Q220" s="161"/>
      <c r="R220" s="161">
        <f t="shared" si="16"/>
        <v>0</v>
      </c>
      <c r="S220" s="161"/>
      <c r="T220" s="161"/>
      <c r="U220" s="161"/>
      <c r="V220" s="161"/>
      <c r="W220" s="161"/>
      <c r="X220" s="167">
        <f t="shared" si="13"/>
        <v>0</v>
      </c>
      <c r="Y220" s="247">
        <f t="shared" si="14"/>
        <v>0</v>
      </c>
      <c r="Z220" s="348"/>
      <c r="AA220" s="373"/>
    </row>
    <row r="221" spans="1:27" ht="24.95" hidden="1" customHeight="1" x14ac:dyDescent="0.2">
      <c r="A221" s="82">
        <v>42</v>
      </c>
      <c r="B221" s="30" t="s">
        <v>381</v>
      </c>
      <c r="C221" s="28" t="s">
        <v>382</v>
      </c>
      <c r="D221" s="161"/>
      <c r="E221" s="161"/>
      <c r="F221" s="161">
        <f>40+11</f>
        <v>51</v>
      </c>
      <c r="G221" s="161"/>
      <c r="H221" s="161"/>
      <c r="I221" s="161"/>
      <c r="J221" s="161"/>
      <c r="K221" s="161"/>
      <c r="L221" s="161"/>
      <c r="M221" s="161">
        <f>-40-11</f>
        <v>-51</v>
      </c>
      <c r="N221" s="161"/>
      <c r="O221" s="161"/>
      <c r="P221" s="161"/>
      <c r="Q221" s="161"/>
      <c r="R221" s="161">
        <f t="shared" si="16"/>
        <v>0</v>
      </c>
      <c r="S221" s="161"/>
      <c r="T221" s="161"/>
      <c r="U221" s="161"/>
      <c r="V221" s="161"/>
      <c r="W221" s="161"/>
      <c r="X221" s="167">
        <f t="shared" si="13"/>
        <v>0</v>
      </c>
      <c r="Y221" s="247">
        <f t="shared" si="14"/>
        <v>0</v>
      </c>
      <c r="Z221" s="348"/>
      <c r="AA221" s="373"/>
    </row>
    <row r="222" spans="1:27" ht="24.95" hidden="1" customHeight="1" x14ac:dyDescent="0.2">
      <c r="A222" s="82">
        <v>43</v>
      </c>
      <c r="B222" s="565" t="s">
        <v>401</v>
      </c>
      <c r="C222" s="28" t="s">
        <v>400</v>
      </c>
      <c r="D222" s="161"/>
      <c r="E222" s="161"/>
      <c r="F222" s="161">
        <f>39+11</f>
        <v>50</v>
      </c>
      <c r="G222" s="161"/>
      <c r="H222" s="161"/>
      <c r="I222" s="161"/>
      <c r="J222" s="375">
        <f>-50</f>
        <v>-50</v>
      </c>
      <c r="K222" s="161"/>
      <c r="L222" s="161"/>
      <c r="M222" s="161"/>
      <c r="N222" s="161"/>
      <c r="O222" s="161"/>
      <c r="P222" s="161"/>
      <c r="Q222" s="161"/>
      <c r="R222" s="161">
        <f t="shared" si="16"/>
        <v>0</v>
      </c>
      <c r="S222" s="161"/>
      <c r="T222" s="161"/>
      <c r="U222" s="161"/>
      <c r="V222" s="161"/>
      <c r="W222" s="161"/>
      <c r="X222" s="167">
        <f t="shared" si="13"/>
        <v>0</v>
      </c>
      <c r="Y222" s="247">
        <f t="shared" si="14"/>
        <v>0</v>
      </c>
      <c r="Z222" s="348"/>
      <c r="AA222" s="373"/>
    </row>
    <row r="223" spans="1:27" ht="24.95" hidden="1" customHeight="1" x14ac:dyDescent="0.2">
      <c r="A223" s="82">
        <v>44</v>
      </c>
      <c r="B223" s="30" t="s">
        <v>383</v>
      </c>
      <c r="C223" s="28" t="s">
        <v>384</v>
      </c>
      <c r="D223" s="161"/>
      <c r="E223" s="161"/>
      <c r="F223" s="161">
        <f>-255-69</f>
        <v>-324</v>
      </c>
      <c r="G223" s="161"/>
      <c r="H223" s="161"/>
      <c r="I223" s="161">
        <f>324</f>
        <v>324</v>
      </c>
      <c r="K223" s="161"/>
      <c r="L223" s="161"/>
      <c r="M223" s="161"/>
      <c r="N223" s="161"/>
      <c r="O223" s="161"/>
      <c r="P223" s="161"/>
      <c r="Q223" s="161"/>
      <c r="R223" s="161">
        <f t="shared" si="16"/>
        <v>0</v>
      </c>
      <c r="S223" s="161"/>
      <c r="T223" s="161"/>
      <c r="U223" s="161"/>
      <c r="V223" s="161"/>
      <c r="W223" s="161"/>
      <c r="X223" s="167">
        <f t="shared" si="13"/>
        <v>0</v>
      </c>
      <c r="Y223" s="247">
        <f t="shared" si="14"/>
        <v>0</v>
      </c>
      <c r="Z223" s="348"/>
      <c r="AA223" s="373"/>
    </row>
    <row r="224" spans="1:27" ht="24.95" hidden="1" customHeight="1" x14ac:dyDescent="0.2">
      <c r="A224" s="82">
        <v>45</v>
      </c>
      <c r="B224" s="30" t="s">
        <v>390</v>
      </c>
      <c r="C224" s="28" t="s">
        <v>338</v>
      </c>
      <c r="D224" s="161"/>
      <c r="E224" s="161"/>
      <c r="F224" s="161"/>
      <c r="G224" s="161"/>
      <c r="H224" s="161"/>
      <c r="I224" s="161"/>
      <c r="K224" s="161">
        <f>-68798-71202</f>
        <v>-140000</v>
      </c>
      <c r="L224" s="161">
        <f>68798+56065+15137</f>
        <v>140000</v>
      </c>
      <c r="M224" s="161"/>
      <c r="N224" s="161"/>
      <c r="O224" s="161"/>
      <c r="P224" s="161"/>
      <c r="Q224" s="161"/>
      <c r="R224" s="161">
        <f t="shared" si="16"/>
        <v>0</v>
      </c>
      <c r="S224" s="161"/>
      <c r="T224" s="161"/>
      <c r="U224" s="161"/>
      <c r="V224" s="161"/>
      <c r="W224" s="161"/>
      <c r="X224" s="167">
        <f t="shared" si="13"/>
        <v>0</v>
      </c>
      <c r="Y224" s="247">
        <f t="shared" si="14"/>
        <v>0</v>
      </c>
      <c r="Z224" s="348"/>
      <c r="AA224" s="373"/>
    </row>
    <row r="225" spans="1:27" ht="24.95" hidden="1" customHeight="1" x14ac:dyDescent="0.2">
      <c r="A225" s="82">
        <v>46</v>
      </c>
      <c r="B225" s="30" t="s">
        <v>392</v>
      </c>
      <c r="C225" s="28" t="s">
        <v>393</v>
      </c>
      <c r="D225" s="161"/>
      <c r="E225" s="161"/>
      <c r="F225" s="161">
        <f>43000+11610</f>
        <v>54610</v>
      </c>
      <c r="G225" s="161"/>
      <c r="H225" s="161"/>
      <c r="I225" s="161"/>
      <c r="K225" s="161">
        <f>-54610</f>
        <v>-54610</v>
      </c>
      <c r="L225" s="161"/>
      <c r="M225" s="161"/>
      <c r="N225" s="161"/>
      <c r="O225" s="161"/>
      <c r="P225" s="161"/>
      <c r="Q225" s="161"/>
      <c r="R225" s="161">
        <f t="shared" si="16"/>
        <v>0</v>
      </c>
      <c r="S225" s="161"/>
      <c r="T225" s="161"/>
      <c r="U225" s="161"/>
      <c r="V225" s="161"/>
      <c r="W225" s="161"/>
      <c r="X225" s="167">
        <f t="shared" si="13"/>
        <v>0</v>
      </c>
      <c r="Y225" s="247">
        <f t="shared" si="14"/>
        <v>0</v>
      </c>
      <c r="Z225" s="348"/>
      <c r="AA225" s="373"/>
    </row>
    <row r="226" spans="1:27" ht="24.95" hidden="1" customHeight="1" x14ac:dyDescent="0.2">
      <c r="A226" s="82">
        <v>47</v>
      </c>
      <c r="B226" s="30" t="s">
        <v>394</v>
      </c>
      <c r="C226" s="28" t="s">
        <v>256</v>
      </c>
      <c r="D226" s="161"/>
      <c r="E226" s="161"/>
      <c r="F226" s="161"/>
      <c r="G226" s="161"/>
      <c r="H226" s="161"/>
      <c r="I226" s="161"/>
      <c r="K226" s="161">
        <f>-2372</f>
        <v>-2372</v>
      </c>
      <c r="L226" s="161"/>
      <c r="M226" s="161"/>
      <c r="N226" s="161"/>
      <c r="O226" s="161"/>
      <c r="P226" s="161"/>
      <c r="Q226" s="161">
        <f>2372</f>
        <v>2372</v>
      </c>
      <c r="R226" s="161">
        <f t="shared" si="16"/>
        <v>0</v>
      </c>
      <c r="S226" s="161"/>
      <c r="T226" s="161"/>
      <c r="U226" s="161"/>
      <c r="V226" s="161"/>
      <c r="W226" s="161"/>
      <c r="X226" s="167">
        <f t="shared" si="13"/>
        <v>0</v>
      </c>
      <c r="Y226" s="247">
        <f t="shared" si="14"/>
        <v>0</v>
      </c>
      <c r="Z226" s="348"/>
      <c r="AA226" s="373"/>
    </row>
    <row r="227" spans="1:27" ht="24.95" hidden="1" customHeight="1" x14ac:dyDescent="0.2">
      <c r="A227" s="82">
        <v>48</v>
      </c>
      <c r="B227" s="30" t="s">
        <v>395</v>
      </c>
      <c r="C227" s="28" t="s">
        <v>396</v>
      </c>
      <c r="D227" s="161"/>
      <c r="E227" s="161"/>
      <c r="F227" s="161"/>
      <c r="G227" s="161"/>
      <c r="H227" s="161"/>
      <c r="I227" s="161"/>
      <c r="K227" s="161">
        <f>1029</f>
        <v>1029</v>
      </c>
      <c r="L227" s="161"/>
      <c r="M227" s="161"/>
      <c r="N227" s="161"/>
      <c r="O227" s="161"/>
      <c r="P227" s="161"/>
      <c r="Q227" s="161"/>
      <c r="R227" s="161">
        <f t="shared" si="16"/>
        <v>1029</v>
      </c>
      <c r="S227" s="161"/>
      <c r="T227" s="161"/>
      <c r="U227" s="161"/>
      <c r="V227" s="161"/>
      <c r="W227" s="161"/>
      <c r="X227" s="167">
        <f t="shared" si="13"/>
        <v>0</v>
      </c>
      <c r="Y227" s="247">
        <f t="shared" si="14"/>
        <v>1029</v>
      </c>
      <c r="Z227" s="348"/>
      <c r="AA227" s="373"/>
    </row>
    <row r="228" spans="1:27" ht="24.95" hidden="1" customHeight="1" x14ac:dyDescent="0.2">
      <c r="A228" s="82">
        <v>49</v>
      </c>
      <c r="B228" s="30" t="s">
        <v>397</v>
      </c>
      <c r="C228" s="28" t="s">
        <v>193</v>
      </c>
      <c r="D228" s="161"/>
      <c r="E228" s="161"/>
      <c r="F228" s="161">
        <f>-592+1182+160</f>
        <v>750</v>
      </c>
      <c r="G228" s="161"/>
      <c r="H228" s="161"/>
      <c r="I228" s="161"/>
      <c r="K228" s="161"/>
      <c r="L228" s="161">
        <f>-590-160</f>
        <v>-750</v>
      </c>
      <c r="M228" s="161"/>
      <c r="N228" s="161"/>
      <c r="O228" s="161"/>
      <c r="P228" s="161"/>
      <c r="Q228" s="161"/>
      <c r="R228" s="161">
        <f t="shared" si="16"/>
        <v>0</v>
      </c>
      <c r="S228" s="161"/>
      <c r="T228" s="161"/>
      <c r="U228" s="161"/>
      <c r="V228" s="161"/>
      <c r="W228" s="161"/>
      <c r="X228" s="167">
        <f t="shared" si="13"/>
        <v>0</v>
      </c>
      <c r="Y228" s="247">
        <f t="shared" si="14"/>
        <v>0</v>
      </c>
      <c r="Z228" s="348"/>
      <c r="AA228" s="373"/>
    </row>
    <row r="229" spans="1:27" ht="24.95" hidden="1" customHeight="1" x14ac:dyDescent="0.2">
      <c r="A229" s="82">
        <v>50</v>
      </c>
      <c r="B229" s="30" t="s">
        <v>398</v>
      </c>
      <c r="C229" s="28" t="s">
        <v>399</v>
      </c>
      <c r="D229" s="161"/>
      <c r="E229" s="161"/>
      <c r="F229" s="161"/>
      <c r="G229" s="161"/>
      <c r="H229" s="161"/>
      <c r="I229" s="161"/>
      <c r="K229" s="161">
        <f>-139700</f>
        <v>-139700</v>
      </c>
      <c r="L229" s="161">
        <f>110000+29700</f>
        <v>139700</v>
      </c>
      <c r="M229" s="161"/>
      <c r="N229" s="161"/>
      <c r="O229" s="161"/>
      <c r="P229" s="161"/>
      <c r="Q229" s="161"/>
      <c r="R229" s="161">
        <f t="shared" si="16"/>
        <v>0</v>
      </c>
      <c r="S229" s="161"/>
      <c r="T229" s="161"/>
      <c r="U229" s="161"/>
      <c r="V229" s="161"/>
      <c r="W229" s="161"/>
      <c r="X229" s="167">
        <f t="shared" si="13"/>
        <v>0</v>
      </c>
      <c r="Y229" s="247">
        <f t="shared" si="14"/>
        <v>0</v>
      </c>
      <c r="Z229" s="348"/>
      <c r="AA229" s="373"/>
    </row>
    <row r="230" spans="1:27" ht="24.95" hidden="1" customHeight="1" x14ac:dyDescent="0.2">
      <c r="A230" s="82">
        <v>51</v>
      </c>
      <c r="B230" s="565" t="s">
        <v>414</v>
      </c>
      <c r="C230" s="28" t="s">
        <v>415</v>
      </c>
      <c r="D230" s="161"/>
      <c r="E230" s="161"/>
      <c r="F230" s="161"/>
      <c r="G230" s="161"/>
      <c r="H230" s="161"/>
      <c r="I230" s="161"/>
      <c r="K230" s="161"/>
      <c r="L230" s="161">
        <f>685+185</f>
        <v>870</v>
      </c>
      <c r="M230" s="161"/>
      <c r="N230" s="161"/>
      <c r="O230" s="161"/>
      <c r="P230" s="161"/>
      <c r="Q230" s="161"/>
      <c r="R230" s="161">
        <f t="shared" si="16"/>
        <v>870</v>
      </c>
      <c r="S230" s="161"/>
      <c r="T230" s="161"/>
      <c r="U230" s="161"/>
      <c r="V230" s="161"/>
      <c r="W230" s="161"/>
      <c r="X230" s="167">
        <f>SUM(T230:W230)</f>
        <v>0</v>
      </c>
      <c r="Y230" s="247">
        <f>R230+X230</f>
        <v>870</v>
      </c>
      <c r="Z230" s="348">
        <f>-870</f>
        <v>-870</v>
      </c>
      <c r="AA230" s="373"/>
    </row>
    <row r="231" spans="1:27" ht="24.95" hidden="1" customHeight="1" x14ac:dyDescent="0.2">
      <c r="A231" s="82">
        <v>52</v>
      </c>
      <c r="B231" s="30" t="s">
        <v>388</v>
      </c>
      <c r="C231" s="28" t="s">
        <v>389</v>
      </c>
      <c r="D231" s="161"/>
      <c r="E231" s="161"/>
      <c r="F231" s="161"/>
      <c r="G231" s="161"/>
      <c r="H231" s="161"/>
      <c r="I231" s="161"/>
      <c r="J231" s="161"/>
      <c r="K231" s="161">
        <f>-2223</f>
        <v>-2223</v>
      </c>
      <c r="L231" s="161"/>
      <c r="M231" s="161"/>
      <c r="N231" s="161"/>
      <c r="O231" s="161"/>
      <c r="P231" s="161"/>
      <c r="Q231" s="161"/>
      <c r="R231" s="161">
        <f t="shared" si="16"/>
        <v>-2223</v>
      </c>
      <c r="S231" s="161"/>
      <c r="T231" s="161"/>
      <c r="U231" s="161"/>
      <c r="V231" s="161"/>
      <c r="W231" s="161"/>
      <c r="X231" s="167">
        <f t="shared" si="13"/>
        <v>0</v>
      </c>
      <c r="Y231" s="247">
        <f t="shared" si="14"/>
        <v>-2223</v>
      </c>
      <c r="Z231" s="348">
        <f>2223</f>
        <v>2223</v>
      </c>
      <c r="AA231" s="373"/>
    </row>
    <row r="232" spans="1:27" ht="24.95" hidden="1" customHeight="1" x14ac:dyDescent="0.2">
      <c r="A232" s="82">
        <v>53</v>
      </c>
      <c r="B232" s="30" t="s">
        <v>385</v>
      </c>
      <c r="C232" s="28" t="s">
        <v>223</v>
      </c>
      <c r="D232" s="161"/>
      <c r="E232" s="161"/>
      <c r="F232" s="161"/>
      <c r="G232" s="161"/>
      <c r="H232" s="161">
        <f>-70.349</f>
        <v>-70.349000000000004</v>
      </c>
      <c r="I232" s="161"/>
      <c r="J232" s="161"/>
      <c r="K232" s="161"/>
      <c r="L232" s="161"/>
      <c r="M232" s="161"/>
      <c r="N232" s="161"/>
      <c r="O232" s="161"/>
      <c r="P232" s="161"/>
      <c r="Q232" s="161"/>
      <c r="R232" s="161">
        <f t="shared" si="16"/>
        <v>-70.349000000000004</v>
      </c>
      <c r="S232" s="161"/>
      <c r="T232" s="161"/>
      <c r="U232" s="161"/>
      <c r="V232" s="161"/>
      <c r="W232" s="161"/>
      <c r="X232" s="167">
        <f t="shared" si="13"/>
        <v>0</v>
      </c>
      <c r="Y232" s="247">
        <f t="shared" si="14"/>
        <v>-70.349000000000004</v>
      </c>
      <c r="Z232" s="348">
        <f>8280.578+70.349</f>
        <v>8350.9269999999997</v>
      </c>
      <c r="AA232" s="373"/>
    </row>
    <row r="233" spans="1:27" ht="24.95" hidden="1" customHeight="1" x14ac:dyDescent="0.2">
      <c r="A233" s="82">
        <v>54</v>
      </c>
      <c r="B233" s="30" t="s">
        <v>386</v>
      </c>
      <c r="C233" s="28" t="s">
        <v>223</v>
      </c>
      <c r="D233" s="161"/>
      <c r="E233" s="161"/>
      <c r="F233" s="161"/>
      <c r="G233" s="161"/>
      <c r="H233" s="161"/>
      <c r="I233" s="161"/>
      <c r="J233" s="161"/>
      <c r="K233" s="161"/>
      <c r="L233" s="161"/>
      <c r="M233" s="161"/>
      <c r="N233" s="161"/>
      <c r="O233" s="161"/>
      <c r="P233" s="161"/>
      <c r="Q233" s="161"/>
      <c r="R233" s="161">
        <f t="shared" si="16"/>
        <v>0</v>
      </c>
      <c r="S233" s="161"/>
      <c r="T233" s="161"/>
      <c r="U233" s="161"/>
      <c r="V233" s="161"/>
      <c r="W233" s="161"/>
      <c r="X233" s="167">
        <f t="shared" si="13"/>
        <v>0</v>
      </c>
      <c r="Y233" s="247">
        <f t="shared" si="14"/>
        <v>0</v>
      </c>
      <c r="Z233" s="348">
        <f>10321.925</f>
        <v>10321.924999999999</v>
      </c>
      <c r="AA233" s="373"/>
    </row>
    <row r="234" spans="1:27" ht="24.95" hidden="1" customHeight="1" x14ac:dyDescent="0.2">
      <c r="A234" s="82">
        <v>55</v>
      </c>
      <c r="B234" s="30" t="s">
        <v>386</v>
      </c>
      <c r="C234" s="28" t="s">
        <v>389</v>
      </c>
      <c r="D234" s="161"/>
      <c r="E234" s="161"/>
      <c r="F234" s="161"/>
      <c r="G234" s="161"/>
      <c r="H234" s="161"/>
      <c r="I234" s="161"/>
      <c r="J234" s="161"/>
      <c r="K234" s="161"/>
      <c r="L234" s="161"/>
      <c r="M234" s="161"/>
      <c r="N234" s="161"/>
      <c r="O234" s="161"/>
      <c r="P234" s="161"/>
      <c r="Q234" s="161"/>
      <c r="R234" s="161">
        <f t="shared" si="16"/>
        <v>0</v>
      </c>
      <c r="S234" s="161"/>
      <c r="T234" s="161"/>
      <c r="U234" s="161"/>
      <c r="V234" s="161"/>
      <c r="W234" s="161"/>
      <c r="X234" s="167">
        <f t="shared" si="13"/>
        <v>0</v>
      </c>
      <c r="Y234" s="247">
        <f t="shared" si="14"/>
        <v>0</v>
      </c>
      <c r="Z234" s="348">
        <f>6993.89</f>
        <v>6993.89</v>
      </c>
      <c r="AA234" s="373"/>
    </row>
    <row r="235" spans="1:27" ht="24.95" hidden="1" customHeight="1" x14ac:dyDescent="0.2">
      <c r="A235" s="82">
        <v>56</v>
      </c>
      <c r="B235" s="30" t="s">
        <v>391</v>
      </c>
      <c r="C235" s="28" t="s">
        <v>223</v>
      </c>
      <c r="D235" s="161"/>
      <c r="E235" s="161"/>
      <c r="F235" s="161"/>
      <c r="G235" s="161"/>
      <c r="H235" s="161"/>
      <c r="I235" s="161"/>
      <c r="J235" s="161"/>
      <c r="K235" s="161">
        <f>8000</f>
        <v>8000</v>
      </c>
      <c r="L235" s="161"/>
      <c r="M235" s="161"/>
      <c r="N235" s="161"/>
      <c r="O235" s="161"/>
      <c r="P235" s="161"/>
      <c r="Q235" s="161"/>
      <c r="R235" s="161">
        <f t="shared" si="16"/>
        <v>8000</v>
      </c>
      <c r="S235" s="161"/>
      <c r="T235" s="161"/>
      <c r="U235" s="161"/>
      <c r="V235" s="161"/>
      <c r="W235" s="161"/>
      <c r="X235" s="167">
        <f t="shared" si="13"/>
        <v>0</v>
      </c>
      <c r="Y235" s="247">
        <f t="shared" si="14"/>
        <v>8000</v>
      </c>
      <c r="Z235" s="348">
        <f>-8000</f>
        <v>-8000</v>
      </c>
      <c r="AA235" s="373"/>
    </row>
    <row r="236" spans="1:27" ht="24.95" hidden="1" customHeight="1" x14ac:dyDescent="0.2">
      <c r="A236" s="82">
        <v>57</v>
      </c>
      <c r="B236" s="30" t="s">
        <v>387</v>
      </c>
      <c r="C236" s="28" t="s">
        <v>223</v>
      </c>
      <c r="D236" s="161"/>
      <c r="E236" s="161"/>
      <c r="F236" s="161"/>
      <c r="G236" s="161"/>
      <c r="H236" s="161"/>
      <c r="I236" s="161"/>
      <c r="J236" s="161"/>
      <c r="K236" s="161">
        <f>1663.352</f>
        <v>1663.3520000000001</v>
      </c>
      <c r="L236" s="161"/>
      <c r="M236" s="161"/>
      <c r="N236" s="161"/>
      <c r="O236" s="161"/>
      <c r="P236" s="161"/>
      <c r="Q236" s="161"/>
      <c r="R236" s="161">
        <f t="shared" si="16"/>
        <v>1663.3520000000001</v>
      </c>
      <c r="S236" s="161"/>
      <c r="T236" s="161"/>
      <c r="U236" s="161"/>
      <c r="V236" s="161"/>
      <c r="W236" s="161"/>
      <c r="X236" s="167">
        <f t="shared" si="13"/>
        <v>0</v>
      </c>
      <c r="Y236" s="247">
        <f t="shared" si="14"/>
        <v>1663.3520000000001</v>
      </c>
      <c r="Z236" s="348">
        <f>-1663.352</f>
        <v>-1663.3520000000001</v>
      </c>
      <c r="AA236" s="373"/>
    </row>
    <row r="237" spans="1:27" ht="24.95" hidden="1" customHeight="1" x14ac:dyDescent="0.2">
      <c r="A237" s="82">
        <v>58</v>
      </c>
      <c r="B237" s="30" t="s">
        <v>402</v>
      </c>
      <c r="C237" s="28" t="s">
        <v>241</v>
      </c>
      <c r="D237" s="161"/>
      <c r="E237" s="161"/>
      <c r="F237" s="161"/>
      <c r="G237" s="161"/>
      <c r="H237" s="161"/>
      <c r="I237" s="161"/>
      <c r="J237" s="161">
        <f>50</f>
        <v>50</v>
      </c>
      <c r="K237" s="161">
        <f>-50</f>
        <v>-50</v>
      </c>
      <c r="L237" s="161"/>
      <c r="M237" s="161"/>
      <c r="N237" s="161"/>
      <c r="O237" s="161"/>
      <c r="P237" s="161"/>
      <c r="Q237" s="161"/>
      <c r="R237" s="161">
        <f t="shared" si="16"/>
        <v>0</v>
      </c>
      <c r="S237" s="161"/>
      <c r="T237" s="161"/>
      <c r="U237" s="161"/>
      <c r="V237" s="161"/>
      <c r="W237" s="161"/>
      <c r="X237" s="167">
        <f t="shared" si="13"/>
        <v>0</v>
      </c>
      <c r="Y237" s="247">
        <f t="shared" si="14"/>
        <v>0</v>
      </c>
      <c r="Z237" s="348"/>
      <c r="AA237" s="373"/>
    </row>
    <row r="238" spans="1:27" ht="24.95" hidden="1" customHeight="1" x14ac:dyDescent="0.2">
      <c r="A238" s="82">
        <v>59</v>
      </c>
      <c r="B238" s="30" t="s">
        <v>403</v>
      </c>
      <c r="C238" s="28" t="s">
        <v>404</v>
      </c>
      <c r="D238" s="161"/>
      <c r="E238" s="161"/>
      <c r="F238" s="161">
        <f>-184-50</f>
        <v>-234</v>
      </c>
      <c r="G238" s="161"/>
      <c r="H238" s="161"/>
      <c r="I238" s="161"/>
      <c r="J238" s="161">
        <f>234</f>
        <v>234</v>
      </c>
      <c r="K238" s="161"/>
      <c r="L238" s="161"/>
      <c r="M238" s="161"/>
      <c r="N238" s="161"/>
      <c r="O238" s="161"/>
      <c r="P238" s="161"/>
      <c r="Q238" s="161"/>
      <c r="R238" s="161">
        <f t="shared" si="16"/>
        <v>0</v>
      </c>
      <c r="S238" s="161"/>
      <c r="T238" s="161"/>
      <c r="U238" s="161"/>
      <c r="V238" s="161"/>
      <c r="W238" s="161"/>
      <c r="X238" s="167">
        <f t="shared" si="13"/>
        <v>0</v>
      </c>
      <c r="Y238" s="247">
        <f t="shared" si="14"/>
        <v>0</v>
      </c>
      <c r="Z238" s="348"/>
      <c r="AA238" s="373"/>
    </row>
    <row r="239" spans="1:27" ht="24.95" hidden="1" customHeight="1" x14ac:dyDescent="0.2">
      <c r="A239" s="82">
        <v>60</v>
      </c>
      <c r="B239" s="30" t="s">
        <v>405</v>
      </c>
      <c r="C239" s="28" t="s">
        <v>406</v>
      </c>
      <c r="D239" s="161"/>
      <c r="E239" s="161"/>
      <c r="F239" s="161"/>
      <c r="G239" s="161"/>
      <c r="H239" s="161"/>
      <c r="I239" s="161"/>
      <c r="J239" s="161"/>
      <c r="K239" s="161">
        <f>-5000</f>
        <v>-5000</v>
      </c>
      <c r="L239" s="161"/>
      <c r="M239" s="161"/>
      <c r="N239" s="161"/>
      <c r="O239" s="161"/>
      <c r="P239" s="161"/>
      <c r="Q239" s="161"/>
      <c r="R239" s="161">
        <f t="shared" si="16"/>
        <v>-5000</v>
      </c>
      <c r="S239" s="161"/>
      <c r="T239" s="161"/>
      <c r="U239" s="161"/>
      <c r="V239" s="161"/>
      <c r="W239" s="161"/>
      <c r="X239" s="167">
        <f t="shared" si="13"/>
        <v>0</v>
      </c>
      <c r="Y239" s="247">
        <f t="shared" si="14"/>
        <v>-5000</v>
      </c>
      <c r="Z239" s="348">
        <f>5000</f>
        <v>5000</v>
      </c>
      <c r="AA239" s="373"/>
    </row>
    <row r="240" spans="1:27" ht="24.95" hidden="1" customHeight="1" x14ac:dyDescent="0.2">
      <c r="A240" s="82">
        <v>61</v>
      </c>
      <c r="B240" s="30" t="s">
        <v>407</v>
      </c>
      <c r="C240" s="28" t="s">
        <v>338</v>
      </c>
      <c r="D240" s="161"/>
      <c r="E240" s="161"/>
      <c r="F240" s="161"/>
      <c r="G240" s="161"/>
      <c r="H240" s="161"/>
      <c r="I240" s="161"/>
      <c r="J240" s="161"/>
      <c r="K240" s="161">
        <f>-6110</f>
        <v>-6110</v>
      </c>
      <c r="L240" s="161">
        <f>4811+1299</f>
        <v>6110</v>
      </c>
      <c r="M240" s="161"/>
      <c r="N240" s="161"/>
      <c r="O240" s="161"/>
      <c r="P240" s="161"/>
      <c r="Q240" s="161"/>
      <c r="R240" s="161">
        <f t="shared" si="16"/>
        <v>0</v>
      </c>
      <c r="S240" s="161"/>
      <c r="T240" s="161"/>
      <c r="U240" s="161"/>
      <c r="V240" s="161"/>
      <c r="W240" s="161"/>
      <c r="X240" s="167">
        <f t="shared" si="13"/>
        <v>0</v>
      </c>
      <c r="Y240" s="247">
        <f t="shared" si="14"/>
        <v>0</v>
      </c>
      <c r="Z240" s="348"/>
      <c r="AA240" s="373"/>
    </row>
    <row r="241" spans="1:27" ht="24.95" hidden="1" customHeight="1" x14ac:dyDescent="0.2">
      <c r="A241" s="82">
        <v>62</v>
      </c>
      <c r="B241" s="30" t="s">
        <v>408</v>
      </c>
      <c r="C241" s="28" t="s">
        <v>256</v>
      </c>
      <c r="D241" s="161"/>
      <c r="E241" s="161"/>
      <c r="F241" s="161"/>
      <c r="G241" s="161"/>
      <c r="H241" s="161"/>
      <c r="I241" s="161"/>
      <c r="J241" s="161"/>
      <c r="K241" s="161">
        <f>-3455</f>
        <v>-3455</v>
      </c>
      <c r="L241" s="161"/>
      <c r="M241" s="161"/>
      <c r="N241" s="161"/>
      <c r="O241" s="161"/>
      <c r="P241" s="161"/>
      <c r="Q241" s="161">
        <f>3455</f>
        <v>3455</v>
      </c>
      <c r="R241" s="161">
        <f t="shared" si="16"/>
        <v>0</v>
      </c>
      <c r="S241" s="161"/>
      <c r="T241" s="161"/>
      <c r="U241" s="161"/>
      <c r="V241" s="161"/>
      <c r="W241" s="161"/>
      <c r="X241" s="167">
        <f t="shared" si="13"/>
        <v>0</v>
      </c>
      <c r="Y241" s="247">
        <f t="shared" si="14"/>
        <v>0</v>
      </c>
      <c r="Z241" s="348"/>
      <c r="AA241" s="373"/>
    </row>
    <row r="242" spans="1:27" ht="24.95" hidden="1" customHeight="1" x14ac:dyDescent="0.2">
      <c r="A242" s="82">
        <v>63</v>
      </c>
      <c r="B242" s="30" t="s">
        <v>409</v>
      </c>
      <c r="C242" s="28" t="s">
        <v>338</v>
      </c>
      <c r="D242" s="161"/>
      <c r="E242" s="161"/>
      <c r="F242" s="161"/>
      <c r="G242" s="161"/>
      <c r="H242" s="161"/>
      <c r="I242" s="161"/>
      <c r="J242" s="161"/>
      <c r="K242" s="161">
        <f>-2520</f>
        <v>-2520</v>
      </c>
      <c r="L242" s="161">
        <f>1984+536</f>
        <v>2520</v>
      </c>
      <c r="M242" s="161"/>
      <c r="N242" s="161"/>
      <c r="O242" s="161"/>
      <c r="P242" s="161"/>
      <c r="Q242" s="161"/>
      <c r="R242" s="161">
        <f t="shared" si="16"/>
        <v>0</v>
      </c>
      <c r="S242" s="161"/>
      <c r="T242" s="161"/>
      <c r="U242" s="161"/>
      <c r="V242" s="161"/>
      <c r="W242" s="161"/>
      <c r="X242" s="167">
        <f t="shared" si="13"/>
        <v>0</v>
      </c>
      <c r="Y242" s="247">
        <f t="shared" si="14"/>
        <v>0</v>
      </c>
      <c r="Z242" s="348"/>
      <c r="AA242" s="373"/>
    </row>
    <row r="243" spans="1:27" ht="24.95" hidden="1" customHeight="1" x14ac:dyDescent="0.2">
      <c r="A243" s="82">
        <v>64</v>
      </c>
      <c r="B243" s="30" t="s">
        <v>416</v>
      </c>
      <c r="C243" s="28" t="s">
        <v>223</v>
      </c>
      <c r="D243" s="161"/>
      <c r="E243" s="161"/>
      <c r="F243" s="161"/>
      <c r="G243" s="161"/>
      <c r="H243" s="161"/>
      <c r="I243" s="161"/>
      <c r="J243" s="161">
        <f>-400</f>
        <v>-400</v>
      </c>
      <c r="K243" s="161"/>
      <c r="L243" s="161"/>
      <c r="M243" s="161"/>
      <c r="N243" s="161"/>
      <c r="O243" s="161"/>
      <c r="P243" s="161"/>
      <c r="Q243" s="161"/>
      <c r="R243" s="161">
        <f t="shared" si="16"/>
        <v>-400</v>
      </c>
      <c r="S243" s="161"/>
      <c r="T243" s="161"/>
      <c r="U243" s="161"/>
      <c r="V243" s="161"/>
      <c r="W243" s="161"/>
      <c r="X243" s="167">
        <f>SUM(T243:W243)</f>
        <v>0</v>
      </c>
      <c r="Y243" s="247">
        <f>R243+X243</f>
        <v>-400</v>
      </c>
      <c r="Z243" s="348">
        <f>400</f>
        <v>400</v>
      </c>
      <c r="AA243" s="373"/>
    </row>
    <row r="244" spans="1:27" ht="24.95" hidden="1" customHeight="1" x14ac:dyDescent="0.2">
      <c r="A244" s="82">
        <v>65</v>
      </c>
      <c r="B244" s="30" t="s">
        <v>417</v>
      </c>
      <c r="C244" s="28" t="s">
        <v>418</v>
      </c>
      <c r="D244" s="161"/>
      <c r="E244" s="161"/>
      <c r="F244" s="161"/>
      <c r="G244" s="161"/>
      <c r="H244" s="161"/>
      <c r="I244" s="161"/>
      <c r="J244" s="161"/>
      <c r="K244" s="161"/>
      <c r="L244" s="161"/>
      <c r="M244" s="161"/>
      <c r="N244" s="161"/>
      <c r="O244" s="161"/>
      <c r="P244" s="161"/>
      <c r="Q244" s="161"/>
      <c r="R244" s="161">
        <f t="shared" si="16"/>
        <v>0</v>
      </c>
      <c r="S244" s="161"/>
      <c r="T244" s="161"/>
      <c r="U244" s="161"/>
      <c r="V244" s="161"/>
      <c r="W244" s="161"/>
      <c r="X244" s="167">
        <f>SUM(T244:W244)</f>
        <v>0</v>
      </c>
      <c r="Y244" s="247">
        <f>R244+X244</f>
        <v>0</v>
      </c>
      <c r="Z244" s="348">
        <f>3384.423</f>
        <v>3384.4229999999998</v>
      </c>
      <c r="AA244" s="373"/>
    </row>
    <row r="245" spans="1:27" ht="24.95" hidden="1" customHeight="1" x14ac:dyDescent="0.2">
      <c r="A245" s="82">
        <v>66</v>
      </c>
      <c r="B245" s="30" t="s">
        <v>417</v>
      </c>
      <c r="C245" s="28" t="s">
        <v>419</v>
      </c>
      <c r="D245" s="161"/>
      <c r="E245" s="161"/>
      <c r="F245" s="161"/>
      <c r="G245" s="161"/>
      <c r="H245" s="161"/>
      <c r="I245" s="161"/>
      <c r="J245" s="161"/>
      <c r="K245" s="161"/>
      <c r="L245" s="161"/>
      <c r="M245" s="161"/>
      <c r="N245" s="161"/>
      <c r="O245" s="161"/>
      <c r="P245" s="161"/>
      <c r="Q245" s="161"/>
      <c r="R245" s="161">
        <f t="shared" si="16"/>
        <v>0</v>
      </c>
      <c r="S245" s="161"/>
      <c r="T245" s="161"/>
      <c r="U245" s="161"/>
      <c r="V245" s="161"/>
      <c r="W245" s="161"/>
      <c r="X245" s="167">
        <f>SUM(T245:W245)</f>
        <v>0</v>
      </c>
      <c r="Y245" s="247">
        <f>R245+X245</f>
        <v>0</v>
      </c>
      <c r="Z245" s="348">
        <f>2257.328</f>
        <v>2257.328</v>
      </c>
      <c r="AA245" s="373"/>
    </row>
    <row r="246" spans="1:27" ht="24.95" hidden="1" customHeight="1" x14ac:dyDescent="0.2">
      <c r="A246" s="82">
        <v>67</v>
      </c>
      <c r="B246" s="30" t="s">
        <v>410</v>
      </c>
      <c r="C246" s="28" t="s">
        <v>411</v>
      </c>
      <c r="D246" s="161"/>
      <c r="E246" s="161"/>
      <c r="F246" s="161"/>
      <c r="G246" s="161"/>
      <c r="H246" s="161"/>
      <c r="I246" s="161"/>
      <c r="J246" s="161"/>
      <c r="K246" s="161"/>
      <c r="L246" s="161"/>
      <c r="M246" s="161"/>
      <c r="N246" s="161"/>
      <c r="O246" s="161"/>
      <c r="P246" s="161"/>
      <c r="Q246" s="161"/>
      <c r="R246" s="161">
        <f t="shared" si="16"/>
        <v>0</v>
      </c>
      <c r="S246" s="161"/>
      <c r="T246" s="161"/>
      <c r="U246" s="161"/>
      <c r="V246" s="161"/>
      <c r="W246" s="161"/>
      <c r="X246" s="167">
        <f t="shared" si="13"/>
        <v>0</v>
      </c>
      <c r="Y246" s="247">
        <f t="shared" si="14"/>
        <v>0</v>
      </c>
      <c r="Z246" s="348">
        <f>5828.919</f>
        <v>5828.9189999999999</v>
      </c>
      <c r="AA246" s="373"/>
    </row>
    <row r="247" spans="1:27" ht="24.95" hidden="1" customHeight="1" x14ac:dyDescent="0.2">
      <c r="A247" s="82">
        <v>68</v>
      </c>
      <c r="B247" s="30" t="s">
        <v>412</v>
      </c>
      <c r="C247" s="28" t="s">
        <v>413</v>
      </c>
      <c r="D247" s="161"/>
      <c r="E247" s="161"/>
      <c r="F247" s="161">
        <f>2362+638</f>
        <v>3000</v>
      </c>
      <c r="G247" s="161">
        <f>-3000</f>
        <v>-3000</v>
      </c>
      <c r="H247" s="161"/>
      <c r="I247" s="161"/>
      <c r="J247" s="161"/>
      <c r="K247" s="161"/>
      <c r="L247" s="161"/>
      <c r="M247" s="161"/>
      <c r="N247" s="161"/>
      <c r="O247" s="161"/>
      <c r="P247" s="161"/>
      <c r="Q247" s="161"/>
      <c r="R247" s="161">
        <f t="shared" si="16"/>
        <v>0</v>
      </c>
      <c r="S247" s="161"/>
      <c r="T247" s="161"/>
      <c r="U247" s="161"/>
      <c r="V247" s="161"/>
      <c r="W247" s="161"/>
      <c r="X247" s="167">
        <f t="shared" si="13"/>
        <v>0</v>
      </c>
      <c r="Y247" s="247">
        <f t="shared" si="14"/>
        <v>0</v>
      </c>
      <c r="Z247" s="348"/>
      <c r="AA247" s="373"/>
    </row>
    <row r="248" spans="1:27" ht="24.95" hidden="1" customHeight="1" x14ac:dyDescent="0.2">
      <c r="A248" s="82">
        <v>69</v>
      </c>
      <c r="B248" s="30" t="s">
        <v>420</v>
      </c>
      <c r="C248" s="28" t="s">
        <v>223</v>
      </c>
      <c r="D248" s="161"/>
      <c r="E248" s="161"/>
      <c r="F248" s="161">
        <f>1600</f>
        <v>1600</v>
      </c>
      <c r="G248" s="161"/>
      <c r="H248" s="161"/>
      <c r="I248" s="161"/>
      <c r="J248" s="161">
        <f>-1600</f>
        <v>-1600</v>
      </c>
      <c r="K248" s="161"/>
      <c r="L248" s="161"/>
      <c r="M248" s="161"/>
      <c r="N248" s="161"/>
      <c r="O248" s="161"/>
      <c r="P248" s="161"/>
      <c r="Q248" s="161"/>
      <c r="R248" s="161">
        <f t="shared" si="16"/>
        <v>0</v>
      </c>
      <c r="S248" s="161"/>
      <c r="T248" s="161"/>
      <c r="U248" s="161"/>
      <c r="V248" s="161"/>
      <c r="W248" s="161"/>
      <c r="X248" s="167">
        <f t="shared" si="13"/>
        <v>0</v>
      </c>
      <c r="Y248" s="247">
        <f t="shared" si="14"/>
        <v>0</v>
      </c>
      <c r="Z248" s="348"/>
      <c r="AA248" s="373"/>
    </row>
    <row r="249" spans="1:27" ht="24.95" hidden="1" customHeight="1" x14ac:dyDescent="0.2">
      <c r="A249" s="82">
        <v>70</v>
      </c>
      <c r="B249" s="30" t="s">
        <v>421</v>
      </c>
      <c r="C249" s="28" t="s">
        <v>422</v>
      </c>
      <c r="D249" s="161"/>
      <c r="E249" s="161"/>
      <c r="F249" s="161">
        <f>1557+393</f>
        <v>1950</v>
      </c>
      <c r="G249" s="161"/>
      <c r="H249" s="161"/>
      <c r="I249" s="161"/>
      <c r="J249" s="161"/>
      <c r="K249" s="161"/>
      <c r="L249" s="161"/>
      <c r="M249" s="161"/>
      <c r="N249" s="161"/>
      <c r="O249" s="161"/>
      <c r="P249" s="161"/>
      <c r="Q249" s="161"/>
      <c r="R249" s="161">
        <f t="shared" si="16"/>
        <v>1950</v>
      </c>
      <c r="S249" s="161"/>
      <c r="T249" s="161"/>
      <c r="U249" s="161"/>
      <c r="V249" s="161"/>
      <c r="W249" s="161"/>
      <c r="X249" s="167">
        <f t="shared" si="13"/>
        <v>0</v>
      </c>
      <c r="Y249" s="247">
        <f t="shared" si="14"/>
        <v>1950</v>
      </c>
      <c r="Z249" s="348"/>
      <c r="AA249" s="373"/>
    </row>
    <row r="250" spans="1:27" ht="24.95" hidden="1" customHeight="1" x14ac:dyDescent="0.2">
      <c r="A250" s="82">
        <v>71</v>
      </c>
      <c r="B250" s="30" t="s">
        <v>423</v>
      </c>
      <c r="C250" s="28" t="s">
        <v>424</v>
      </c>
      <c r="D250" s="161"/>
      <c r="E250" s="161"/>
      <c r="F250" s="161"/>
      <c r="G250" s="161"/>
      <c r="H250" s="161"/>
      <c r="I250" s="161">
        <f>2376</f>
        <v>2376</v>
      </c>
      <c r="J250" s="161"/>
      <c r="K250" s="161">
        <f>-2376</f>
        <v>-2376</v>
      </c>
      <c r="L250" s="161"/>
      <c r="M250" s="161"/>
      <c r="N250" s="161"/>
      <c r="O250" s="161"/>
      <c r="P250" s="161"/>
      <c r="Q250" s="161"/>
      <c r="R250" s="161">
        <f t="shared" si="16"/>
        <v>0</v>
      </c>
      <c r="S250" s="161"/>
      <c r="T250" s="161"/>
      <c r="U250" s="161"/>
      <c r="V250" s="161"/>
      <c r="W250" s="161"/>
      <c r="X250" s="167">
        <f t="shared" si="13"/>
        <v>0</v>
      </c>
      <c r="Y250" s="247">
        <f t="shared" si="14"/>
        <v>0</v>
      </c>
      <c r="Z250" s="348"/>
      <c r="AA250" s="373"/>
    </row>
    <row r="251" spans="1:27" ht="24.95" hidden="1" customHeight="1" x14ac:dyDescent="0.2">
      <c r="A251" s="82">
        <v>72</v>
      </c>
      <c r="B251" s="30" t="s">
        <v>425</v>
      </c>
      <c r="C251" s="28" t="s">
        <v>426</v>
      </c>
      <c r="D251" s="161"/>
      <c r="E251" s="161"/>
      <c r="F251" s="161"/>
      <c r="G251" s="161"/>
      <c r="H251" s="161"/>
      <c r="I251" s="161"/>
      <c r="J251" s="161"/>
      <c r="K251" s="161">
        <f>2576</f>
        <v>2576</v>
      </c>
      <c r="L251" s="161"/>
      <c r="M251" s="161"/>
      <c r="N251" s="161"/>
      <c r="O251" s="161"/>
      <c r="P251" s="161"/>
      <c r="Q251" s="161"/>
      <c r="R251" s="161">
        <f t="shared" si="16"/>
        <v>2576</v>
      </c>
      <c r="S251" s="161"/>
      <c r="T251" s="161"/>
      <c r="U251" s="161"/>
      <c r="V251" s="161"/>
      <c r="W251" s="161"/>
      <c r="X251" s="167">
        <f t="shared" si="13"/>
        <v>0</v>
      </c>
      <c r="Y251" s="247">
        <f t="shared" si="14"/>
        <v>2576</v>
      </c>
      <c r="Z251" s="348"/>
      <c r="AA251" s="373"/>
    </row>
    <row r="252" spans="1:27" ht="24.95" hidden="1" customHeight="1" x14ac:dyDescent="0.2">
      <c r="A252" s="82">
        <v>73</v>
      </c>
      <c r="B252" s="30" t="s">
        <v>427</v>
      </c>
      <c r="C252" s="28" t="s">
        <v>428</v>
      </c>
      <c r="D252" s="161"/>
      <c r="E252" s="161"/>
      <c r="F252" s="161">
        <f>270+1000-74+74</f>
        <v>1270</v>
      </c>
      <c r="G252" s="161"/>
      <c r="H252" s="161"/>
      <c r="I252" s="161"/>
      <c r="J252" s="161"/>
      <c r="K252" s="161"/>
      <c r="L252" s="161"/>
      <c r="M252" s="161"/>
      <c r="N252" s="161"/>
      <c r="O252" s="161"/>
      <c r="P252" s="161"/>
      <c r="Q252" s="161"/>
      <c r="R252" s="161">
        <f t="shared" si="16"/>
        <v>1270</v>
      </c>
      <c r="S252" s="161"/>
      <c r="T252" s="161"/>
      <c r="U252" s="161"/>
      <c r="V252" s="161"/>
      <c r="W252" s="161"/>
      <c r="X252" s="167">
        <f t="shared" si="13"/>
        <v>0</v>
      </c>
      <c r="Y252" s="247">
        <f t="shared" si="14"/>
        <v>1270</v>
      </c>
      <c r="Z252" s="348"/>
      <c r="AA252" s="373"/>
    </row>
    <row r="253" spans="1:27" ht="24.95" hidden="1" customHeight="1" x14ac:dyDescent="0.2">
      <c r="A253" s="82">
        <v>74</v>
      </c>
      <c r="B253" s="30" t="s">
        <v>429</v>
      </c>
      <c r="C253" s="28" t="s">
        <v>430</v>
      </c>
      <c r="D253" s="161"/>
      <c r="E253" s="161"/>
      <c r="F253" s="161">
        <f>56</f>
        <v>56</v>
      </c>
      <c r="G253" s="161"/>
      <c r="H253" s="161"/>
      <c r="I253" s="161"/>
      <c r="J253" s="161"/>
      <c r="K253" s="161"/>
      <c r="L253" s="161"/>
      <c r="M253" s="161"/>
      <c r="N253" s="161"/>
      <c r="O253" s="161"/>
      <c r="P253" s="161"/>
      <c r="Q253" s="161"/>
      <c r="R253" s="161">
        <f t="shared" si="16"/>
        <v>56</v>
      </c>
      <c r="S253" s="161"/>
      <c r="T253" s="161"/>
      <c r="U253" s="161"/>
      <c r="V253" s="161"/>
      <c r="W253" s="161"/>
      <c r="X253" s="167">
        <f t="shared" si="13"/>
        <v>0</v>
      </c>
      <c r="Y253" s="247">
        <f t="shared" si="14"/>
        <v>56</v>
      </c>
      <c r="Z253" s="348"/>
      <c r="AA253" s="373"/>
    </row>
    <row r="254" spans="1:27" ht="24.95" hidden="1" customHeight="1" x14ac:dyDescent="0.2">
      <c r="A254" s="82">
        <v>75</v>
      </c>
      <c r="B254" s="30" t="s">
        <v>431</v>
      </c>
      <c r="C254" s="28" t="s">
        <v>432</v>
      </c>
      <c r="D254" s="161"/>
      <c r="E254" s="161"/>
      <c r="F254" s="161">
        <f>-68-38</f>
        <v>-106</v>
      </c>
      <c r="G254" s="161"/>
      <c r="H254" s="161"/>
      <c r="I254" s="161"/>
      <c r="J254" s="161"/>
      <c r="K254" s="161"/>
      <c r="L254" s="161"/>
      <c r="M254" s="161"/>
      <c r="N254" s="161">
        <f>106</f>
        <v>106</v>
      </c>
      <c r="O254" s="161"/>
      <c r="P254" s="161"/>
      <c r="Q254" s="161"/>
      <c r="R254" s="161">
        <f t="shared" si="16"/>
        <v>0</v>
      </c>
      <c r="S254" s="161"/>
      <c r="T254" s="161"/>
      <c r="U254" s="161"/>
      <c r="V254" s="161"/>
      <c r="W254" s="161"/>
      <c r="X254" s="167">
        <f>SUM(T254:W254)</f>
        <v>0</v>
      </c>
      <c r="Y254" s="247">
        <f>R254+X254</f>
        <v>0</v>
      </c>
      <c r="Z254" s="348"/>
      <c r="AA254" s="373"/>
    </row>
    <row r="255" spans="1:27" ht="24.95" hidden="1" customHeight="1" x14ac:dyDescent="0.2">
      <c r="A255" s="82">
        <v>76</v>
      </c>
      <c r="B255" s="238" t="s">
        <v>439</v>
      </c>
      <c r="C255" s="28" t="s">
        <v>440</v>
      </c>
      <c r="D255" s="161"/>
      <c r="E255" s="161"/>
      <c r="F255" s="161"/>
      <c r="G255" s="161"/>
      <c r="H255" s="161"/>
      <c r="I255" s="161"/>
      <c r="J255" s="161"/>
      <c r="K255" s="161">
        <f>9158</f>
        <v>9158</v>
      </c>
      <c r="L255" s="161"/>
      <c r="M255" s="161"/>
      <c r="N255" s="161"/>
      <c r="O255" s="161"/>
      <c r="P255" s="161"/>
      <c r="Q255" s="161"/>
      <c r="R255" s="161">
        <f t="shared" si="16"/>
        <v>9158</v>
      </c>
      <c r="S255" s="161"/>
      <c r="T255" s="161"/>
      <c r="U255" s="161"/>
      <c r="V255" s="161"/>
      <c r="W255" s="161"/>
      <c r="X255" s="167">
        <f>SUM(T255:W255)</f>
        <v>0</v>
      </c>
      <c r="Y255" s="247">
        <f>R255+X255</f>
        <v>9158</v>
      </c>
      <c r="Z255" s="348"/>
      <c r="AA255" s="373"/>
    </row>
    <row r="256" spans="1:27" ht="24.95" hidden="1" customHeight="1" x14ac:dyDescent="0.2">
      <c r="A256" s="82">
        <v>77</v>
      </c>
      <c r="B256" s="238" t="s">
        <v>447</v>
      </c>
      <c r="C256" s="28" t="s">
        <v>446</v>
      </c>
      <c r="D256" s="161"/>
      <c r="E256" s="161"/>
      <c r="F256" s="161">
        <f>1140</f>
        <v>1140</v>
      </c>
      <c r="G256" s="161"/>
      <c r="H256" s="161"/>
      <c r="I256" s="161"/>
      <c r="J256" s="161">
        <f>-1140</f>
        <v>-1140</v>
      </c>
      <c r="K256" s="161"/>
      <c r="L256" s="161"/>
      <c r="M256" s="161"/>
      <c r="N256" s="161"/>
      <c r="O256" s="161"/>
      <c r="P256" s="161"/>
      <c r="Q256" s="161"/>
      <c r="R256" s="161">
        <f t="shared" si="16"/>
        <v>0</v>
      </c>
      <c r="S256" s="161"/>
      <c r="T256" s="161"/>
      <c r="U256" s="161"/>
      <c r="V256" s="161"/>
      <c r="W256" s="161"/>
      <c r="X256" s="167">
        <f t="shared" ref="X256:X263" si="21">SUM(T256:W256)</f>
        <v>0</v>
      </c>
      <c r="Y256" s="247">
        <f t="shared" ref="Y256:Y263" si="22">R256+X256</f>
        <v>0</v>
      </c>
      <c r="Z256" s="348"/>
      <c r="AA256" s="373"/>
    </row>
    <row r="257" spans="1:27" ht="24.95" hidden="1" customHeight="1" x14ac:dyDescent="0.2">
      <c r="A257" s="82">
        <v>78</v>
      </c>
      <c r="B257" s="238" t="s">
        <v>449</v>
      </c>
      <c r="C257" s="28" t="s">
        <v>448</v>
      </c>
      <c r="D257" s="161"/>
      <c r="E257" s="161"/>
      <c r="F257" s="161">
        <f>252</f>
        <v>252</v>
      </c>
      <c r="G257" s="161"/>
      <c r="H257" s="161"/>
      <c r="I257" s="161"/>
      <c r="J257" s="161">
        <f>-252</f>
        <v>-252</v>
      </c>
      <c r="K257" s="161"/>
      <c r="L257" s="161"/>
      <c r="M257" s="161"/>
      <c r="N257" s="161"/>
      <c r="O257" s="161"/>
      <c r="P257" s="161"/>
      <c r="Q257" s="161"/>
      <c r="R257" s="161">
        <f t="shared" si="16"/>
        <v>0</v>
      </c>
      <c r="S257" s="161"/>
      <c r="T257" s="161"/>
      <c r="U257" s="161"/>
      <c r="V257" s="161"/>
      <c r="W257" s="161"/>
      <c r="X257" s="167">
        <f t="shared" si="21"/>
        <v>0</v>
      </c>
      <c r="Y257" s="247">
        <f t="shared" si="22"/>
        <v>0</v>
      </c>
      <c r="Z257" s="348"/>
      <c r="AA257" s="373"/>
    </row>
    <row r="258" spans="1:27" ht="24.95" hidden="1" customHeight="1" x14ac:dyDescent="0.2">
      <c r="A258" s="82">
        <v>79</v>
      </c>
      <c r="B258" s="238" t="s">
        <v>450</v>
      </c>
      <c r="C258" s="28" t="s">
        <v>451</v>
      </c>
      <c r="D258" s="161"/>
      <c r="E258" s="161"/>
      <c r="F258" s="161">
        <f>-390-106</f>
        <v>-496</v>
      </c>
      <c r="G258" s="161"/>
      <c r="H258" s="161"/>
      <c r="I258" s="161"/>
      <c r="J258" s="161"/>
      <c r="K258" s="161"/>
      <c r="L258" s="161">
        <f>390+106</f>
        <v>496</v>
      </c>
      <c r="M258" s="161"/>
      <c r="N258" s="161"/>
      <c r="O258" s="161"/>
      <c r="P258" s="161"/>
      <c r="Q258" s="161"/>
      <c r="R258" s="161">
        <f t="shared" si="16"/>
        <v>0</v>
      </c>
      <c r="S258" s="161"/>
      <c r="T258" s="161"/>
      <c r="U258" s="161"/>
      <c r="V258" s="161"/>
      <c r="W258" s="161"/>
      <c r="X258" s="167">
        <f t="shared" si="21"/>
        <v>0</v>
      </c>
      <c r="Y258" s="247">
        <f t="shared" si="22"/>
        <v>0</v>
      </c>
      <c r="Z258" s="348"/>
      <c r="AA258" s="373"/>
    </row>
    <row r="259" spans="1:27" ht="24.95" hidden="1" customHeight="1" x14ac:dyDescent="0.2">
      <c r="A259" s="82">
        <v>80</v>
      </c>
      <c r="B259" s="238" t="s">
        <v>452</v>
      </c>
      <c r="C259" s="28" t="s">
        <v>453</v>
      </c>
      <c r="D259" s="161"/>
      <c r="E259" s="161"/>
      <c r="F259" s="161"/>
      <c r="G259" s="161"/>
      <c r="H259" s="161"/>
      <c r="I259" s="161"/>
      <c r="J259" s="161"/>
      <c r="K259" s="161"/>
      <c r="L259" s="161"/>
      <c r="M259" s="161">
        <f>342+93</f>
        <v>435</v>
      </c>
      <c r="N259" s="161"/>
      <c r="O259" s="161"/>
      <c r="P259" s="161"/>
      <c r="Q259" s="161"/>
      <c r="R259" s="161">
        <f t="shared" si="16"/>
        <v>435</v>
      </c>
      <c r="S259" s="161"/>
      <c r="T259" s="161"/>
      <c r="U259" s="161"/>
      <c r="V259" s="161"/>
      <c r="W259" s="161"/>
      <c r="X259" s="167">
        <f t="shared" si="21"/>
        <v>0</v>
      </c>
      <c r="Y259" s="247">
        <f t="shared" si="22"/>
        <v>435</v>
      </c>
      <c r="Z259" s="348">
        <f>-435</f>
        <v>-435</v>
      </c>
      <c r="AA259" s="373"/>
    </row>
    <row r="260" spans="1:27" ht="24.95" hidden="1" customHeight="1" x14ac:dyDescent="0.2">
      <c r="A260" s="82">
        <v>81</v>
      </c>
      <c r="B260" s="238" t="s">
        <v>455</v>
      </c>
      <c r="C260" s="28" t="s">
        <v>241</v>
      </c>
      <c r="D260" s="161"/>
      <c r="E260" s="161"/>
      <c r="F260" s="161"/>
      <c r="G260" s="161"/>
      <c r="H260" s="161"/>
      <c r="I260" s="161"/>
      <c r="J260" s="161">
        <f>200+100</f>
        <v>300</v>
      </c>
      <c r="K260" s="161">
        <f>-300</f>
        <v>-300</v>
      </c>
      <c r="L260" s="161"/>
      <c r="M260" s="161"/>
      <c r="N260" s="161"/>
      <c r="O260" s="161"/>
      <c r="P260" s="161"/>
      <c r="Q260" s="161"/>
      <c r="R260" s="161">
        <f t="shared" si="16"/>
        <v>0</v>
      </c>
      <c r="S260" s="161"/>
      <c r="T260" s="161"/>
      <c r="U260" s="161"/>
      <c r="V260" s="161"/>
      <c r="W260" s="161"/>
      <c r="X260" s="167">
        <f t="shared" si="21"/>
        <v>0</v>
      </c>
      <c r="Y260" s="247">
        <f t="shared" si="22"/>
        <v>0</v>
      </c>
      <c r="Z260" s="348"/>
      <c r="AA260" s="373"/>
    </row>
    <row r="261" spans="1:27" ht="24.95" hidden="1" customHeight="1" x14ac:dyDescent="0.2">
      <c r="A261" s="82">
        <v>82</v>
      </c>
      <c r="B261" s="238" t="s">
        <v>456</v>
      </c>
      <c r="C261" s="28" t="s">
        <v>364</v>
      </c>
      <c r="D261" s="161"/>
      <c r="E261" s="161"/>
      <c r="F261" s="161"/>
      <c r="G261" s="161"/>
      <c r="H261" s="161"/>
      <c r="I261" s="161"/>
      <c r="J261" s="161"/>
      <c r="K261" s="161">
        <f>-15000</f>
        <v>-15000</v>
      </c>
      <c r="L261" s="161">
        <f>11811+3189</f>
        <v>15000</v>
      </c>
      <c r="M261" s="161"/>
      <c r="N261" s="161"/>
      <c r="O261" s="161"/>
      <c r="P261" s="161"/>
      <c r="Q261" s="161"/>
      <c r="R261" s="161">
        <f t="shared" si="16"/>
        <v>0</v>
      </c>
      <c r="S261" s="161"/>
      <c r="T261" s="161"/>
      <c r="U261" s="161"/>
      <c r="V261" s="161"/>
      <c r="W261" s="161"/>
      <c r="X261" s="167">
        <f t="shared" si="21"/>
        <v>0</v>
      </c>
      <c r="Y261" s="247">
        <f t="shared" si="22"/>
        <v>0</v>
      </c>
      <c r="Z261" s="348"/>
      <c r="AA261" s="373"/>
    </row>
    <row r="262" spans="1:27" ht="24.95" hidden="1" customHeight="1" x14ac:dyDescent="0.2">
      <c r="A262" s="82">
        <v>83</v>
      </c>
      <c r="B262" s="238" t="s">
        <v>457</v>
      </c>
      <c r="C262" s="28" t="s">
        <v>223</v>
      </c>
      <c r="D262" s="161"/>
      <c r="E262" s="161"/>
      <c r="F262" s="161"/>
      <c r="G262" s="161"/>
      <c r="H262" s="161"/>
      <c r="I262" s="161"/>
      <c r="J262" s="161"/>
      <c r="K262" s="161">
        <f>-12900</f>
        <v>-12900</v>
      </c>
      <c r="L262" s="161"/>
      <c r="M262" s="161"/>
      <c r="N262" s="161"/>
      <c r="O262" s="161"/>
      <c r="P262" s="161"/>
      <c r="Q262" s="161"/>
      <c r="R262" s="161">
        <f t="shared" si="16"/>
        <v>-12900</v>
      </c>
      <c r="S262" s="161"/>
      <c r="T262" s="161"/>
      <c r="U262" s="161"/>
      <c r="V262" s="161"/>
      <c r="W262" s="161"/>
      <c r="X262" s="167">
        <f t="shared" si="21"/>
        <v>0</v>
      </c>
      <c r="Y262" s="247">
        <f t="shared" si="22"/>
        <v>-12900</v>
      </c>
      <c r="Z262" s="348">
        <v>12900</v>
      </c>
      <c r="AA262" s="373"/>
    </row>
    <row r="263" spans="1:27" ht="24.95" hidden="1" customHeight="1" x14ac:dyDescent="0.2">
      <c r="A263" s="82">
        <v>84</v>
      </c>
      <c r="B263" s="238" t="s">
        <v>458</v>
      </c>
      <c r="C263" s="28" t="s">
        <v>243</v>
      </c>
      <c r="D263" s="161"/>
      <c r="E263" s="161"/>
      <c r="F263" s="161">
        <f>189</f>
        <v>189</v>
      </c>
      <c r="G263" s="161"/>
      <c r="H263" s="161"/>
      <c r="I263" s="161"/>
      <c r="J263" s="161"/>
      <c r="K263" s="161">
        <f>700</f>
        <v>700</v>
      </c>
      <c r="L263" s="161"/>
      <c r="M263" s="161"/>
      <c r="N263" s="161"/>
      <c r="O263" s="161"/>
      <c r="P263" s="161"/>
      <c r="Q263" s="161"/>
      <c r="R263" s="161">
        <f t="shared" si="16"/>
        <v>889</v>
      </c>
      <c r="S263" s="161"/>
      <c r="T263" s="161"/>
      <c r="U263" s="161"/>
      <c r="V263" s="161"/>
      <c r="W263" s="161"/>
      <c r="X263" s="167">
        <f t="shared" si="21"/>
        <v>0</v>
      </c>
      <c r="Y263" s="247">
        <f t="shared" si="22"/>
        <v>889</v>
      </c>
      <c r="Z263" s="348"/>
      <c r="AA263" s="373"/>
    </row>
    <row r="264" spans="1:27" ht="24.95" hidden="1" customHeight="1" x14ac:dyDescent="0.2">
      <c r="A264" s="82">
        <v>85</v>
      </c>
      <c r="B264" s="30" t="s">
        <v>441</v>
      </c>
      <c r="C264" s="28" t="s">
        <v>223</v>
      </c>
      <c r="D264" s="161">
        <f>-2212-219.142</f>
        <v>-2431.1419999999998</v>
      </c>
      <c r="E264" s="161">
        <f>-656.408</f>
        <v>-656.40800000000002</v>
      </c>
      <c r="F264" s="161"/>
      <c r="G264" s="161"/>
      <c r="H264" s="161"/>
      <c r="I264" s="161"/>
      <c r="J264" s="161"/>
      <c r="K264" s="161"/>
      <c r="L264" s="161"/>
      <c r="M264" s="161"/>
      <c r="N264" s="161"/>
      <c r="O264" s="161"/>
      <c r="P264" s="161"/>
      <c r="Q264" s="161"/>
      <c r="R264" s="161">
        <f t="shared" si="16"/>
        <v>-3087.5499999999997</v>
      </c>
      <c r="S264" s="161"/>
      <c r="T264" s="161"/>
      <c r="U264" s="161"/>
      <c r="V264" s="161"/>
      <c r="W264" s="161"/>
      <c r="X264" s="167">
        <f t="shared" ref="X264:X273" si="23">SUM(T264:W264)</f>
        <v>0</v>
      </c>
      <c r="Y264" s="247">
        <f t="shared" ref="Y264:Y273" si="24">R264+X264</f>
        <v>-3087.5499999999997</v>
      </c>
      <c r="Z264" s="348">
        <f>3087.55</f>
        <v>3087.55</v>
      </c>
      <c r="AA264" s="373"/>
    </row>
    <row r="265" spans="1:27" ht="24.95" hidden="1" customHeight="1" x14ac:dyDescent="0.2">
      <c r="A265" s="82">
        <v>86</v>
      </c>
      <c r="B265" s="30" t="s">
        <v>442</v>
      </c>
      <c r="C265" s="28" t="s">
        <v>223</v>
      </c>
      <c r="D265" s="161"/>
      <c r="E265" s="161"/>
      <c r="F265" s="161">
        <f>1200</f>
        <v>1200</v>
      </c>
      <c r="G265" s="161"/>
      <c r="H265" s="161"/>
      <c r="I265" s="161"/>
      <c r="J265" s="161">
        <f>-1200</f>
        <v>-1200</v>
      </c>
      <c r="K265" s="161"/>
      <c r="L265" s="161"/>
      <c r="M265" s="161"/>
      <c r="N265" s="161"/>
      <c r="O265" s="161"/>
      <c r="P265" s="161"/>
      <c r="Q265" s="161"/>
      <c r="R265" s="161">
        <f t="shared" si="16"/>
        <v>0</v>
      </c>
      <c r="S265" s="161"/>
      <c r="T265" s="161"/>
      <c r="U265" s="161"/>
      <c r="V265" s="161"/>
      <c r="W265" s="161"/>
      <c r="X265" s="167">
        <f t="shared" si="23"/>
        <v>0</v>
      </c>
      <c r="Y265" s="247">
        <f t="shared" si="24"/>
        <v>0</v>
      </c>
      <c r="Z265" s="348"/>
      <c r="AA265" s="373"/>
    </row>
    <row r="266" spans="1:27" ht="24.95" hidden="1" customHeight="1" x14ac:dyDescent="0.2">
      <c r="A266" s="82">
        <v>87</v>
      </c>
      <c r="B266" s="30" t="s">
        <v>443</v>
      </c>
      <c r="C266" s="28" t="s">
        <v>223</v>
      </c>
      <c r="D266" s="161"/>
      <c r="E266" s="161"/>
      <c r="F266" s="161">
        <f>-522.5</f>
        <v>-522.5</v>
      </c>
      <c r="G266" s="161"/>
      <c r="H266" s="161"/>
      <c r="I266" s="161"/>
      <c r="J266" s="161"/>
      <c r="K266" s="161"/>
      <c r="L266" s="161"/>
      <c r="M266" s="161"/>
      <c r="N266" s="161"/>
      <c r="O266" s="161"/>
      <c r="P266" s="161"/>
      <c r="Q266" s="161"/>
      <c r="R266" s="161">
        <f t="shared" si="16"/>
        <v>-522.5</v>
      </c>
      <c r="S266" s="161"/>
      <c r="T266" s="161"/>
      <c r="U266" s="161"/>
      <c r="V266" s="161"/>
      <c r="W266" s="161"/>
      <c r="X266" s="167">
        <f t="shared" si="23"/>
        <v>0</v>
      </c>
      <c r="Y266" s="247">
        <f t="shared" si="24"/>
        <v>-522.5</v>
      </c>
      <c r="Z266" s="348">
        <f>522.5</f>
        <v>522.5</v>
      </c>
      <c r="AA266" s="373"/>
    </row>
    <row r="267" spans="1:27" ht="24.95" hidden="1" customHeight="1" x14ac:dyDescent="0.2">
      <c r="A267" s="82">
        <v>88</v>
      </c>
      <c r="B267" s="30" t="s">
        <v>444</v>
      </c>
      <c r="C267" s="28" t="s">
        <v>223</v>
      </c>
      <c r="D267" s="161"/>
      <c r="E267" s="161"/>
      <c r="F267" s="161"/>
      <c r="G267" s="161"/>
      <c r="H267" s="161"/>
      <c r="I267" s="161"/>
      <c r="J267" s="161">
        <f>-300</f>
        <v>-300</v>
      </c>
      <c r="K267" s="161"/>
      <c r="L267" s="161"/>
      <c r="M267" s="161"/>
      <c r="N267" s="161"/>
      <c r="O267" s="161"/>
      <c r="P267" s="161"/>
      <c r="Q267" s="161"/>
      <c r="R267" s="161">
        <f>SUM(D267:Q267)</f>
        <v>-300</v>
      </c>
      <c r="S267" s="161"/>
      <c r="T267" s="161"/>
      <c r="U267" s="161"/>
      <c r="V267" s="161"/>
      <c r="W267" s="161"/>
      <c r="X267" s="167">
        <f t="shared" si="23"/>
        <v>0</v>
      </c>
      <c r="Y267" s="247">
        <f t="shared" si="24"/>
        <v>-300</v>
      </c>
      <c r="Z267" s="348">
        <f>300</f>
        <v>300</v>
      </c>
      <c r="AA267" s="373"/>
    </row>
    <row r="268" spans="1:27" ht="24.95" hidden="1" customHeight="1" x14ac:dyDescent="0.2">
      <c r="A268" s="82">
        <v>89</v>
      </c>
      <c r="B268" s="30" t="s">
        <v>459</v>
      </c>
      <c r="C268" s="28" t="s">
        <v>460</v>
      </c>
      <c r="D268" s="161"/>
      <c r="E268" s="161"/>
      <c r="F268" s="161"/>
      <c r="G268" s="161"/>
      <c r="H268" s="161"/>
      <c r="I268" s="161"/>
      <c r="J268" s="161">
        <f>1530</f>
        <v>1530</v>
      </c>
      <c r="K268" s="161">
        <f>-1530</f>
        <v>-1530</v>
      </c>
      <c r="L268" s="161"/>
      <c r="M268" s="161"/>
      <c r="N268" s="161"/>
      <c r="O268" s="161"/>
      <c r="P268" s="161"/>
      <c r="Q268" s="161"/>
      <c r="R268" s="161">
        <f>SUM(D268:Q268)</f>
        <v>0</v>
      </c>
      <c r="S268" s="161"/>
      <c r="T268" s="161"/>
      <c r="U268" s="161"/>
      <c r="V268" s="161"/>
      <c r="W268" s="161"/>
      <c r="X268" s="167">
        <f t="shared" si="23"/>
        <v>0</v>
      </c>
      <c r="Y268" s="247">
        <f t="shared" si="24"/>
        <v>0</v>
      </c>
      <c r="Z268" s="348"/>
      <c r="AA268" s="373"/>
    </row>
    <row r="269" spans="1:27" ht="24.95" hidden="1" customHeight="1" x14ac:dyDescent="0.2">
      <c r="A269" s="82">
        <v>90</v>
      </c>
      <c r="B269" s="30" t="s">
        <v>476</v>
      </c>
      <c r="C269" s="28" t="s">
        <v>477</v>
      </c>
      <c r="D269" s="161"/>
      <c r="E269" s="161"/>
      <c r="F269" s="161"/>
      <c r="G269" s="161"/>
      <c r="H269" s="161"/>
      <c r="I269" s="161"/>
      <c r="J269" s="161"/>
      <c r="K269" s="161">
        <f>-19324</f>
        <v>-19324</v>
      </c>
      <c r="L269" s="161"/>
      <c r="M269" s="161"/>
      <c r="N269" s="161"/>
      <c r="O269" s="161"/>
      <c r="P269" s="161"/>
      <c r="Q269" s="161"/>
      <c r="R269" s="161">
        <f>SUM(D269:Q269)</f>
        <v>-19324</v>
      </c>
      <c r="S269" s="161"/>
      <c r="T269" s="161"/>
      <c r="U269" s="161"/>
      <c r="V269" s="161"/>
      <c r="W269" s="161"/>
      <c r="X269" s="167">
        <f t="shared" si="23"/>
        <v>0</v>
      </c>
      <c r="Y269" s="247">
        <f>R269+X269</f>
        <v>-19324</v>
      </c>
      <c r="Z269" s="348">
        <f>19324</f>
        <v>19324</v>
      </c>
      <c r="AA269" s="373"/>
    </row>
    <row r="270" spans="1:27" ht="24.95" hidden="1" customHeight="1" x14ac:dyDescent="0.2">
      <c r="A270" s="82">
        <v>91</v>
      </c>
      <c r="B270" s="30" t="s">
        <v>461</v>
      </c>
      <c r="C270" s="28" t="s">
        <v>473</v>
      </c>
      <c r="D270" s="161">
        <f>2960</f>
        <v>2960</v>
      </c>
      <c r="E270" s="161">
        <f>799</f>
        <v>799</v>
      </c>
      <c r="F270" s="161"/>
      <c r="G270" s="161"/>
      <c r="H270" s="161"/>
      <c r="I270" s="161"/>
      <c r="J270" s="161"/>
      <c r="K270" s="161">
        <f>-3759</f>
        <v>-3759</v>
      </c>
      <c r="L270" s="161"/>
      <c r="M270" s="161"/>
      <c r="N270" s="161"/>
      <c r="O270" s="161"/>
      <c r="P270" s="161"/>
      <c r="Q270" s="161"/>
      <c r="R270" s="161">
        <f>SUM(D270:Q270)</f>
        <v>0</v>
      </c>
      <c r="S270" s="161"/>
      <c r="T270" s="161"/>
      <c r="U270" s="161"/>
      <c r="V270" s="161"/>
      <c r="W270" s="161"/>
      <c r="X270" s="167">
        <f t="shared" si="23"/>
        <v>0</v>
      </c>
      <c r="Y270" s="247">
        <f t="shared" si="24"/>
        <v>0</v>
      </c>
      <c r="Z270" s="348"/>
      <c r="AA270" s="373"/>
    </row>
    <row r="271" spans="1:27" ht="24.95" hidden="1" customHeight="1" x14ac:dyDescent="0.2">
      <c r="A271" s="82">
        <v>92</v>
      </c>
      <c r="B271" s="30" t="s">
        <v>445</v>
      </c>
      <c r="C271" s="28" t="s">
        <v>223</v>
      </c>
      <c r="D271" s="161">
        <f>-7960-1780-900-600</f>
        <v>-11240</v>
      </c>
      <c r="E271" s="161">
        <f>-3035</f>
        <v>-3035</v>
      </c>
      <c r="F271" s="161"/>
      <c r="G271" s="161"/>
      <c r="H271" s="161"/>
      <c r="I271" s="161"/>
      <c r="J271" s="161"/>
      <c r="K271" s="161"/>
      <c r="L271" s="161"/>
      <c r="M271" s="161"/>
      <c r="N271" s="161"/>
      <c r="O271" s="161"/>
      <c r="P271" s="161"/>
      <c r="Q271" s="161"/>
      <c r="R271" s="161">
        <f t="shared" si="16"/>
        <v>-14275</v>
      </c>
      <c r="S271" s="161"/>
      <c r="T271" s="161"/>
      <c r="U271" s="161"/>
      <c r="V271" s="161"/>
      <c r="W271" s="161"/>
      <c r="X271" s="167">
        <f t="shared" si="23"/>
        <v>0</v>
      </c>
      <c r="Y271" s="247">
        <f t="shared" si="24"/>
        <v>-14275</v>
      </c>
      <c r="Z271" s="348">
        <f>14275</f>
        <v>14275</v>
      </c>
      <c r="AA271" s="373"/>
    </row>
    <row r="272" spans="1:27" ht="24.95" hidden="1" customHeight="1" x14ac:dyDescent="0.2">
      <c r="A272" s="82">
        <v>93</v>
      </c>
      <c r="B272" s="570" t="s">
        <v>462</v>
      </c>
      <c r="C272" s="28" t="s">
        <v>463</v>
      </c>
      <c r="D272" s="161"/>
      <c r="E272" s="161"/>
      <c r="F272" s="161">
        <f>3474-1</f>
        <v>3473</v>
      </c>
      <c r="G272" s="161"/>
      <c r="H272" s="161">
        <f>-3474</f>
        <v>-3474</v>
      </c>
      <c r="I272" s="161">
        <f>1</f>
        <v>1</v>
      </c>
      <c r="J272" s="161"/>
      <c r="K272" s="161"/>
      <c r="L272" s="161"/>
      <c r="M272" s="161"/>
      <c r="N272" s="161"/>
      <c r="O272" s="161"/>
      <c r="P272" s="161"/>
      <c r="Q272" s="161"/>
      <c r="R272" s="161">
        <f t="shared" si="16"/>
        <v>0</v>
      </c>
      <c r="S272" s="161"/>
      <c r="T272" s="161"/>
      <c r="U272" s="161"/>
      <c r="V272" s="161"/>
      <c r="W272" s="161"/>
      <c r="X272" s="167">
        <f t="shared" si="23"/>
        <v>0</v>
      </c>
      <c r="Y272" s="247">
        <f t="shared" si="24"/>
        <v>0</v>
      </c>
      <c r="Z272" s="348"/>
      <c r="AA272" s="373"/>
    </row>
    <row r="273" spans="1:27" ht="24.95" hidden="1" customHeight="1" x14ac:dyDescent="0.2">
      <c r="A273" s="82"/>
      <c r="B273" s="30"/>
      <c r="C273" s="28"/>
      <c r="D273" s="161"/>
      <c r="E273" s="161"/>
      <c r="F273" s="161"/>
      <c r="G273" s="161"/>
      <c r="H273" s="161"/>
      <c r="I273" s="161"/>
      <c r="J273" s="161"/>
      <c r="K273" s="161"/>
      <c r="L273" s="161"/>
      <c r="M273" s="161"/>
      <c r="N273" s="161"/>
      <c r="O273" s="161"/>
      <c r="P273" s="161"/>
      <c r="Q273" s="161"/>
      <c r="R273" s="161">
        <f t="shared" si="16"/>
        <v>0</v>
      </c>
      <c r="S273" s="161"/>
      <c r="T273" s="161"/>
      <c r="U273" s="161"/>
      <c r="V273" s="161"/>
      <c r="W273" s="161"/>
      <c r="X273" s="167">
        <f t="shared" si="23"/>
        <v>0</v>
      </c>
      <c r="Y273" s="247">
        <f t="shared" si="24"/>
        <v>0</v>
      </c>
      <c r="Z273" s="348"/>
      <c r="AA273" s="373"/>
    </row>
    <row r="274" spans="1:27" ht="24.95" hidden="1" customHeight="1" x14ac:dyDescent="0.2">
      <c r="A274" s="82"/>
      <c r="B274" s="543"/>
      <c r="C274" s="41"/>
      <c r="D274" s="161"/>
      <c r="E274" s="161"/>
      <c r="F274" s="161"/>
      <c r="G274" s="161"/>
      <c r="H274" s="161"/>
      <c r="I274" s="161"/>
      <c r="J274" s="161"/>
      <c r="K274" s="161"/>
      <c r="L274" s="161"/>
      <c r="M274" s="161"/>
      <c r="N274" s="161"/>
      <c r="O274" s="161"/>
      <c r="P274" s="161"/>
      <c r="Q274" s="161"/>
      <c r="R274" s="161"/>
      <c r="S274" s="161"/>
      <c r="T274" s="161"/>
      <c r="U274" s="161"/>
      <c r="V274" s="161"/>
      <c r="W274" s="161"/>
      <c r="X274" s="167"/>
      <c r="Y274" s="247"/>
      <c r="Z274" s="348"/>
      <c r="AA274" s="373"/>
    </row>
    <row r="275" spans="1:27" ht="17.25" hidden="1" customHeight="1" thickBot="1" x14ac:dyDescent="0.25">
      <c r="A275" s="82"/>
      <c r="B275" s="89"/>
      <c r="C275" s="41"/>
      <c r="D275" s="161"/>
      <c r="E275" s="161"/>
      <c r="F275" s="161"/>
      <c r="G275" s="161"/>
      <c r="H275" s="161"/>
      <c r="I275" s="161"/>
      <c r="J275" s="161"/>
      <c r="K275" s="161"/>
      <c r="L275" s="161"/>
      <c r="M275" s="161"/>
      <c r="N275" s="161"/>
      <c r="O275" s="161"/>
      <c r="P275" s="161"/>
      <c r="Q275" s="161"/>
      <c r="R275" s="161">
        <f t="shared" si="16"/>
        <v>0</v>
      </c>
      <c r="S275" s="72"/>
      <c r="T275" s="72"/>
      <c r="U275" s="72"/>
      <c r="V275" s="72"/>
      <c r="W275" s="72"/>
      <c r="X275" s="167"/>
      <c r="Y275" s="247"/>
      <c r="Z275" s="348"/>
      <c r="AA275" s="365"/>
    </row>
    <row r="276" spans="1:27" ht="24.95" hidden="1" customHeight="1" thickTop="1" thickBot="1" x14ac:dyDescent="0.25">
      <c r="A276" s="269"/>
      <c r="B276" s="42" t="s">
        <v>301</v>
      </c>
      <c r="C276" s="44" t="s">
        <v>19</v>
      </c>
      <c r="D276" s="86">
        <f t="shared" ref="D276:Q276" si="25">SUM(D180:D275)</f>
        <v>-12493.142</v>
      </c>
      <c r="E276" s="86">
        <f t="shared" si="25"/>
        <v>-3413.4079999999999</v>
      </c>
      <c r="F276" s="86">
        <f t="shared" si="25"/>
        <v>94454.5</v>
      </c>
      <c r="G276" s="86">
        <f t="shared" si="25"/>
        <v>-2525</v>
      </c>
      <c r="H276" s="86">
        <f t="shared" si="25"/>
        <v>-4544.3490000000002</v>
      </c>
      <c r="I276" s="86">
        <f t="shared" si="25"/>
        <v>4987</v>
      </c>
      <c r="J276" s="86">
        <f t="shared" si="25"/>
        <v>64674</v>
      </c>
      <c r="K276" s="86">
        <f t="shared" si="25"/>
        <v>-790214.348</v>
      </c>
      <c r="L276" s="86">
        <f t="shared" si="25"/>
        <v>581627</v>
      </c>
      <c r="M276" s="86">
        <f t="shared" si="25"/>
        <v>384</v>
      </c>
      <c r="N276" s="86">
        <f t="shared" si="25"/>
        <v>1106</v>
      </c>
      <c r="O276" s="86">
        <f t="shared" si="25"/>
        <v>0</v>
      </c>
      <c r="P276" s="86">
        <f t="shared" si="25"/>
        <v>0</v>
      </c>
      <c r="Q276" s="86">
        <f t="shared" si="25"/>
        <v>26887</v>
      </c>
      <c r="R276" s="86">
        <f t="shared" si="16"/>
        <v>-39070.746999999974</v>
      </c>
      <c r="S276" s="86"/>
      <c r="T276" s="86">
        <f>SUM(T180:T275)</f>
        <v>0</v>
      </c>
      <c r="U276" s="86">
        <f>SUM(U180:U275)</f>
        <v>0</v>
      </c>
      <c r="V276" s="86">
        <f>SUM(V180:V275)</f>
        <v>0</v>
      </c>
      <c r="W276" s="86">
        <f>SUM(W180:W275)</f>
        <v>0</v>
      </c>
      <c r="X276" s="87">
        <f t="shared" si="13"/>
        <v>0</v>
      </c>
      <c r="Y276" s="87">
        <f t="shared" si="14"/>
        <v>-39070.746999999974</v>
      </c>
      <c r="Z276" s="278">
        <f>SUM(Z180:Z275)</f>
        <v>102727.11</v>
      </c>
      <c r="AA276" s="366"/>
    </row>
    <row r="277" spans="1:27" ht="24.95" hidden="1" customHeight="1" thickTop="1" x14ac:dyDescent="0.2">
      <c r="A277" s="215"/>
      <c r="B277" s="232"/>
      <c r="C277" s="233"/>
      <c r="D277" s="270"/>
      <c r="E277" s="270"/>
      <c r="F277" s="270"/>
      <c r="G277" s="270"/>
      <c r="H277" s="270"/>
      <c r="I277" s="270"/>
      <c r="J277" s="270"/>
      <c r="K277" s="270"/>
      <c r="L277" s="270"/>
      <c r="M277" s="270"/>
      <c r="N277" s="270"/>
      <c r="O277" s="270"/>
      <c r="P277" s="270"/>
      <c r="Q277" s="270"/>
      <c r="R277" s="270">
        <f t="shared" ref="R277:R293" si="26">SUM(D277:Q277)</f>
        <v>0</v>
      </c>
      <c r="S277" s="270"/>
      <c r="T277" s="270"/>
      <c r="U277" s="270"/>
      <c r="V277" s="270"/>
      <c r="W277" s="270"/>
      <c r="X277" s="271">
        <f t="shared" ref="X277:X286" si="27">SUM(T277:W277)</f>
        <v>0</v>
      </c>
      <c r="Y277" s="392"/>
      <c r="Z277" s="354"/>
      <c r="AA277" s="366"/>
    </row>
    <row r="278" spans="1:27" ht="16.5" hidden="1" customHeight="1" x14ac:dyDescent="0.2">
      <c r="A278" s="215"/>
      <c r="B278" s="74"/>
      <c r="C278" s="41" t="s">
        <v>479</v>
      </c>
      <c r="D278" s="172"/>
      <c r="E278" s="172"/>
      <c r="F278" s="161">
        <f>315+181+134+7000</f>
        <v>7630</v>
      </c>
      <c r="G278" s="172"/>
      <c r="H278" s="172"/>
      <c r="I278" s="172"/>
      <c r="J278" s="172"/>
      <c r="K278" s="161">
        <f>7559</f>
        <v>7559</v>
      </c>
      <c r="L278" s="161">
        <f>551+149</f>
        <v>700</v>
      </c>
      <c r="M278" s="172"/>
      <c r="N278" s="172"/>
      <c r="O278" s="172"/>
      <c r="P278" s="172"/>
      <c r="Q278" s="172"/>
      <c r="R278" s="172">
        <f t="shared" si="26"/>
        <v>15889</v>
      </c>
      <c r="S278" s="172"/>
      <c r="T278" s="172"/>
      <c r="U278" s="172"/>
      <c r="V278" s="172"/>
      <c r="W278" s="172"/>
      <c r="X278" s="173">
        <f t="shared" si="27"/>
        <v>0</v>
      </c>
      <c r="Y278" s="247">
        <f t="shared" ref="Y278:Y286" si="28">R278+X278</f>
        <v>15889</v>
      </c>
      <c r="Z278" s="409"/>
      <c r="AA278" s="373"/>
    </row>
    <row r="279" spans="1:27" ht="16.5" hidden="1" customHeight="1" x14ac:dyDescent="0.2">
      <c r="A279" s="215"/>
      <c r="B279" s="592"/>
      <c r="C279" s="41" t="s">
        <v>223</v>
      </c>
      <c r="D279" s="172"/>
      <c r="E279" s="172"/>
      <c r="G279" s="172"/>
      <c r="H279" s="172"/>
      <c r="I279" s="172"/>
      <c r="J279" s="172"/>
      <c r="K279" s="161">
        <f>-7559-12357.288</f>
        <v>-19916.288</v>
      </c>
      <c r="L279" s="172"/>
      <c r="M279" s="172"/>
      <c r="N279" s="172"/>
      <c r="O279" s="172"/>
      <c r="P279" s="172"/>
      <c r="Q279" s="172"/>
      <c r="R279" s="172">
        <f t="shared" si="26"/>
        <v>-19916.288</v>
      </c>
      <c r="S279" s="172"/>
      <c r="T279" s="172"/>
      <c r="U279" s="172"/>
      <c r="V279" s="172"/>
      <c r="W279" s="172"/>
      <c r="X279" s="173"/>
      <c r="Y279" s="247">
        <f t="shared" si="28"/>
        <v>-19916.288</v>
      </c>
      <c r="Z279" s="409">
        <v>19916.288</v>
      </c>
      <c r="AA279" s="373"/>
    </row>
    <row r="280" spans="1:27" ht="16.5" hidden="1" customHeight="1" x14ac:dyDescent="0.2">
      <c r="A280" s="215"/>
      <c r="B280" s="592"/>
      <c r="C280" s="41" t="s">
        <v>480</v>
      </c>
      <c r="D280" s="172"/>
      <c r="E280" s="172"/>
      <c r="F280" s="161">
        <f>20000+5400</f>
        <v>25400</v>
      </c>
      <c r="G280" s="172"/>
      <c r="H280" s="172"/>
      <c r="I280" s="172"/>
      <c r="J280" s="172"/>
      <c r="K280" s="161">
        <v>-25400</v>
      </c>
      <c r="L280" s="172"/>
      <c r="M280" s="172"/>
      <c r="N280" s="172"/>
      <c r="O280" s="172"/>
      <c r="P280" s="172"/>
      <c r="Q280" s="172"/>
      <c r="R280" s="172">
        <f t="shared" si="26"/>
        <v>0</v>
      </c>
      <c r="S280" s="172"/>
      <c r="T280" s="172"/>
      <c r="U280" s="172"/>
      <c r="V280" s="172"/>
      <c r="W280" s="172"/>
      <c r="X280" s="173"/>
      <c r="Y280" s="247">
        <f t="shared" si="28"/>
        <v>0</v>
      </c>
      <c r="Z280" s="409"/>
      <c r="AA280" s="373"/>
    </row>
    <row r="281" spans="1:27" ht="16.5" hidden="1" customHeight="1" thickBot="1" x14ac:dyDescent="0.25">
      <c r="A281" s="215"/>
      <c r="B281" s="592"/>
      <c r="C281" s="41"/>
      <c r="D281" s="172"/>
      <c r="E281" s="172"/>
      <c r="F281" s="375"/>
      <c r="G281" s="172"/>
      <c r="H281" s="172"/>
      <c r="I281" s="172"/>
      <c r="J281" s="172"/>
      <c r="K281" s="161"/>
      <c r="L281" s="172"/>
      <c r="M281" s="172"/>
      <c r="N281" s="172"/>
      <c r="O281" s="172"/>
      <c r="P281" s="172"/>
      <c r="Q281" s="172"/>
      <c r="R281" s="172"/>
      <c r="S281" s="172"/>
      <c r="T281" s="172"/>
      <c r="U281" s="172"/>
      <c r="V281" s="172"/>
      <c r="W281" s="172"/>
      <c r="X281" s="173"/>
      <c r="Y281" s="247"/>
      <c r="Z281" s="409"/>
      <c r="AA281" s="373"/>
    </row>
    <row r="282" spans="1:27" ht="16.5" hidden="1" customHeight="1" x14ac:dyDescent="0.2">
      <c r="A282" s="215"/>
      <c r="B282" s="74" t="s">
        <v>22</v>
      </c>
      <c r="C282" s="39" t="s">
        <v>23</v>
      </c>
      <c r="D282" s="172"/>
      <c r="E282" s="172"/>
      <c r="G282" s="172"/>
      <c r="H282" s="172"/>
      <c r="I282" s="172"/>
      <c r="J282" s="172"/>
      <c r="K282" s="172"/>
      <c r="L282" s="172"/>
      <c r="M282" s="172"/>
      <c r="N282" s="172"/>
      <c r="O282" s="172"/>
      <c r="P282" s="172"/>
      <c r="Q282" s="172"/>
      <c r="R282" s="172">
        <f t="shared" si="26"/>
        <v>0</v>
      </c>
      <c r="S282" s="172"/>
      <c r="T282" s="172"/>
      <c r="U282" s="172"/>
      <c r="V282" s="172"/>
      <c r="W282" s="172"/>
      <c r="X282" s="173"/>
      <c r="Y282" s="247">
        <f t="shared" si="28"/>
        <v>0</v>
      </c>
      <c r="Z282" s="409"/>
      <c r="AA282" s="373"/>
    </row>
    <row r="283" spans="1:27" ht="16.5" hidden="1" customHeight="1" x14ac:dyDescent="0.25">
      <c r="A283" s="215"/>
      <c r="B283" s="91" t="s">
        <v>24</v>
      </c>
      <c r="C283" s="39" t="s">
        <v>23</v>
      </c>
      <c r="D283" s="172"/>
      <c r="E283" s="172"/>
      <c r="F283" s="172"/>
      <c r="G283" s="172"/>
      <c r="H283" s="172"/>
      <c r="I283" s="172"/>
      <c r="J283" s="172"/>
      <c r="K283" s="172"/>
      <c r="L283" s="172"/>
      <c r="M283" s="172"/>
      <c r="N283" s="172"/>
      <c r="O283" s="172"/>
      <c r="P283" s="172"/>
      <c r="Q283" s="172"/>
      <c r="R283" s="172">
        <f t="shared" si="26"/>
        <v>0</v>
      </c>
      <c r="S283" s="172"/>
      <c r="T283" s="172"/>
      <c r="U283" s="172"/>
      <c r="V283" s="172"/>
      <c r="W283" s="172"/>
      <c r="X283" s="173">
        <f t="shared" si="27"/>
        <v>0</v>
      </c>
      <c r="Y283" s="247">
        <f t="shared" si="28"/>
        <v>0</v>
      </c>
      <c r="Z283" s="409"/>
      <c r="AA283" s="373"/>
    </row>
    <row r="284" spans="1:27" ht="16.5" hidden="1" customHeight="1" x14ac:dyDescent="0.25">
      <c r="A284" s="26"/>
      <c r="B284" s="91" t="s">
        <v>87</v>
      </c>
      <c r="C284" s="39" t="s">
        <v>23</v>
      </c>
      <c r="D284" s="172"/>
      <c r="E284" s="172"/>
      <c r="F284" s="172"/>
      <c r="G284" s="172"/>
      <c r="H284" s="172"/>
      <c r="I284" s="172"/>
      <c r="J284" s="172"/>
      <c r="K284" s="172"/>
      <c r="L284" s="172"/>
      <c r="M284" s="172"/>
      <c r="N284" s="172"/>
      <c r="O284" s="172"/>
      <c r="P284" s="172"/>
      <c r="Q284" s="172"/>
      <c r="R284" s="172">
        <f t="shared" si="26"/>
        <v>0</v>
      </c>
      <c r="S284" s="172"/>
      <c r="T284" s="172"/>
      <c r="U284" s="172"/>
      <c r="V284" s="172"/>
      <c r="W284" s="172"/>
      <c r="X284" s="173">
        <f t="shared" si="27"/>
        <v>0</v>
      </c>
      <c r="Y284" s="247">
        <f t="shared" si="28"/>
        <v>0</v>
      </c>
      <c r="Z284" s="409"/>
      <c r="AA284" s="373"/>
    </row>
    <row r="285" spans="1:27" ht="16.5" hidden="1" customHeight="1" x14ac:dyDescent="0.25">
      <c r="A285" s="26"/>
      <c r="B285" s="91" t="s">
        <v>89</v>
      </c>
      <c r="C285" s="39" t="s">
        <v>23</v>
      </c>
      <c r="D285" s="172"/>
      <c r="E285" s="172"/>
      <c r="F285" s="172"/>
      <c r="G285" s="172"/>
      <c r="H285" s="172"/>
      <c r="I285" s="172"/>
      <c r="J285" s="172"/>
      <c r="K285" s="172"/>
      <c r="L285" s="172"/>
      <c r="M285" s="172"/>
      <c r="N285" s="172"/>
      <c r="O285" s="172"/>
      <c r="P285" s="172"/>
      <c r="Q285" s="172"/>
      <c r="R285" s="172">
        <f t="shared" si="26"/>
        <v>0</v>
      </c>
      <c r="S285" s="172"/>
      <c r="T285" s="172"/>
      <c r="U285" s="172"/>
      <c r="V285" s="172"/>
      <c r="W285" s="172"/>
      <c r="X285" s="173">
        <f t="shared" si="27"/>
        <v>0</v>
      </c>
      <c r="Y285" s="247">
        <f t="shared" si="28"/>
        <v>0</v>
      </c>
      <c r="Z285" s="409"/>
      <c r="AA285" s="373"/>
    </row>
    <row r="286" spans="1:27" ht="16.5" hidden="1" customHeight="1" x14ac:dyDescent="0.25">
      <c r="A286" s="26"/>
      <c r="B286" s="91" t="s">
        <v>27</v>
      </c>
      <c r="C286" s="39" t="s">
        <v>23</v>
      </c>
      <c r="D286" s="172"/>
      <c r="E286" s="172"/>
      <c r="F286" s="172"/>
      <c r="G286" s="172"/>
      <c r="H286" s="172"/>
      <c r="I286" s="172"/>
      <c r="J286" s="172"/>
      <c r="K286" s="172"/>
      <c r="L286" s="172"/>
      <c r="M286" s="172"/>
      <c r="N286" s="172"/>
      <c r="O286" s="172"/>
      <c r="P286" s="172"/>
      <c r="Q286" s="172"/>
      <c r="R286" s="172">
        <f t="shared" si="26"/>
        <v>0</v>
      </c>
      <c r="S286" s="172"/>
      <c r="T286" s="172"/>
      <c r="U286" s="172"/>
      <c r="V286" s="172"/>
      <c r="W286" s="172"/>
      <c r="X286" s="173">
        <f t="shared" si="27"/>
        <v>0</v>
      </c>
      <c r="Y286" s="247">
        <f t="shared" si="28"/>
        <v>0</v>
      </c>
      <c r="Z286" s="409"/>
      <c r="AA286" s="373"/>
    </row>
    <row r="287" spans="1:27" ht="16.5" hidden="1" customHeight="1" x14ac:dyDescent="0.25">
      <c r="A287" s="26"/>
      <c r="B287" s="91" t="s">
        <v>78</v>
      </c>
      <c r="C287" s="39" t="s">
        <v>23</v>
      </c>
      <c r="D287" s="172"/>
      <c r="E287" s="172"/>
      <c r="F287" s="172"/>
      <c r="G287" s="172"/>
      <c r="H287" s="172"/>
      <c r="I287" s="172"/>
      <c r="J287" s="172"/>
      <c r="K287" s="172"/>
      <c r="L287" s="172"/>
      <c r="M287" s="172"/>
      <c r="N287" s="172"/>
      <c r="O287" s="172"/>
      <c r="P287" s="172"/>
      <c r="Q287" s="172"/>
      <c r="R287" s="172">
        <f t="shared" si="26"/>
        <v>0</v>
      </c>
      <c r="S287" s="172"/>
      <c r="T287" s="172"/>
      <c r="U287" s="172"/>
      <c r="V287" s="172"/>
      <c r="W287" s="172"/>
      <c r="X287" s="173">
        <f t="shared" ref="X287:X357" si="29">SUM(T287:W287)</f>
        <v>0</v>
      </c>
      <c r="Y287" s="247">
        <f t="shared" ref="Y287:Y357" si="30">R287+X287</f>
        <v>0</v>
      </c>
      <c r="Z287" s="409"/>
      <c r="AA287" s="373"/>
    </row>
    <row r="288" spans="1:27" ht="16.5" hidden="1" customHeight="1" x14ac:dyDescent="0.25">
      <c r="A288" s="26"/>
      <c r="B288" s="91" t="s">
        <v>80</v>
      </c>
      <c r="C288" s="39" t="s">
        <v>23</v>
      </c>
      <c r="D288" s="172"/>
      <c r="E288" s="172"/>
      <c r="F288" s="172"/>
      <c r="G288" s="172"/>
      <c r="H288" s="172"/>
      <c r="I288" s="172"/>
      <c r="J288" s="172"/>
      <c r="K288" s="172"/>
      <c r="L288" s="172"/>
      <c r="M288" s="172"/>
      <c r="N288" s="172"/>
      <c r="O288" s="172"/>
      <c r="P288" s="172"/>
      <c r="Q288" s="172"/>
      <c r="R288" s="172">
        <f t="shared" si="26"/>
        <v>0</v>
      </c>
      <c r="S288" s="172"/>
      <c r="T288" s="172"/>
      <c r="U288" s="172"/>
      <c r="V288" s="172"/>
      <c r="W288" s="172"/>
      <c r="X288" s="173">
        <f t="shared" si="29"/>
        <v>0</v>
      </c>
      <c r="Y288" s="247">
        <f t="shared" si="30"/>
        <v>0</v>
      </c>
      <c r="Z288" s="409"/>
      <c r="AA288" s="373"/>
    </row>
    <row r="289" spans="1:28" ht="16.5" hidden="1" customHeight="1" x14ac:dyDescent="0.25">
      <c r="A289" s="26"/>
      <c r="B289" s="91" t="s">
        <v>124</v>
      </c>
      <c r="C289" s="39" t="s">
        <v>23</v>
      </c>
      <c r="D289" s="172"/>
      <c r="E289" s="172"/>
      <c r="F289" s="172"/>
      <c r="G289" s="172"/>
      <c r="H289" s="172"/>
      <c r="I289" s="172"/>
      <c r="J289" s="172"/>
      <c r="K289" s="172"/>
      <c r="L289" s="172"/>
      <c r="M289" s="172"/>
      <c r="N289" s="172"/>
      <c r="O289" s="172"/>
      <c r="P289" s="172"/>
      <c r="Q289" s="172"/>
      <c r="R289" s="172">
        <f t="shared" si="26"/>
        <v>0</v>
      </c>
      <c r="S289" s="172"/>
      <c r="T289" s="172"/>
      <c r="U289" s="172"/>
      <c r="V289" s="172"/>
      <c r="W289" s="172"/>
      <c r="X289" s="173">
        <f t="shared" si="29"/>
        <v>0</v>
      </c>
      <c r="Y289" s="247">
        <f t="shared" si="30"/>
        <v>0</v>
      </c>
      <c r="Z289" s="409"/>
      <c r="AA289" s="373"/>
    </row>
    <row r="290" spans="1:28" ht="16.5" hidden="1" customHeight="1" x14ac:dyDescent="0.25">
      <c r="A290" s="26"/>
      <c r="B290" s="91" t="s">
        <v>29</v>
      </c>
      <c r="C290" s="39" t="s">
        <v>23</v>
      </c>
      <c r="D290" s="172"/>
      <c r="E290" s="172"/>
      <c r="F290" s="172"/>
      <c r="G290" s="172"/>
      <c r="H290" s="172"/>
      <c r="I290" s="172"/>
      <c r="J290" s="172"/>
      <c r="K290" s="172"/>
      <c r="L290" s="172"/>
      <c r="M290" s="172"/>
      <c r="N290" s="172"/>
      <c r="O290" s="172"/>
      <c r="P290" s="172"/>
      <c r="Q290" s="172"/>
      <c r="R290" s="172">
        <f t="shared" si="26"/>
        <v>0</v>
      </c>
      <c r="S290" s="172"/>
      <c r="T290" s="172"/>
      <c r="U290" s="172"/>
      <c r="V290" s="172"/>
      <c r="W290" s="172"/>
      <c r="X290" s="173">
        <f t="shared" si="29"/>
        <v>0</v>
      </c>
      <c r="Y290" s="247">
        <f t="shared" si="30"/>
        <v>0</v>
      </c>
      <c r="Z290" s="409"/>
      <c r="AA290" s="373"/>
    </row>
    <row r="291" spans="1:28" ht="16.5" hidden="1" customHeight="1" x14ac:dyDescent="0.25">
      <c r="A291" s="26"/>
      <c r="B291" s="91" t="s">
        <v>30</v>
      </c>
      <c r="C291" s="39" t="s">
        <v>23</v>
      </c>
      <c r="D291" s="172"/>
      <c r="E291" s="172"/>
      <c r="F291" s="172"/>
      <c r="G291" s="172"/>
      <c r="H291" s="172"/>
      <c r="I291" s="172"/>
      <c r="J291" s="172"/>
      <c r="K291" s="172"/>
      <c r="L291" s="172"/>
      <c r="M291" s="172"/>
      <c r="N291" s="172"/>
      <c r="O291" s="172"/>
      <c r="P291" s="172"/>
      <c r="Q291" s="172"/>
      <c r="R291" s="172">
        <f t="shared" si="26"/>
        <v>0</v>
      </c>
      <c r="S291" s="172"/>
      <c r="T291" s="172"/>
      <c r="U291" s="172"/>
      <c r="V291" s="172"/>
      <c r="W291" s="172"/>
      <c r="X291" s="173">
        <f t="shared" si="29"/>
        <v>0</v>
      </c>
      <c r="Y291" s="247">
        <f t="shared" si="30"/>
        <v>0</v>
      </c>
      <c r="Z291" s="409"/>
      <c r="AA291" s="373"/>
    </row>
    <row r="292" spans="1:28" ht="16.5" hidden="1" customHeight="1" x14ac:dyDescent="0.2">
      <c r="A292" s="26"/>
      <c r="B292" s="74" t="s">
        <v>82</v>
      </c>
      <c r="C292" s="39" t="s">
        <v>23</v>
      </c>
      <c r="D292" s="172"/>
      <c r="E292" s="172"/>
      <c r="F292" s="172"/>
      <c r="G292" s="172"/>
      <c r="H292" s="172"/>
      <c r="I292" s="172"/>
      <c r="J292" s="172"/>
      <c r="K292" s="172"/>
      <c r="L292" s="172"/>
      <c r="M292" s="172"/>
      <c r="N292" s="172"/>
      <c r="O292" s="172"/>
      <c r="P292" s="172"/>
      <c r="Q292" s="172"/>
      <c r="R292" s="172">
        <f t="shared" si="26"/>
        <v>0</v>
      </c>
      <c r="S292" s="172"/>
      <c r="T292" s="172"/>
      <c r="U292" s="172"/>
      <c r="V292" s="172"/>
      <c r="W292" s="172"/>
      <c r="X292" s="173">
        <f t="shared" si="29"/>
        <v>0</v>
      </c>
      <c r="Y292" s="247">
        <f t="shared" si="30"/>
        <v>0</v>
      </c>
      <c r="Z292" s="409"/>
      <c r="AA292" s="373"/>
    </row>
    <row r="293" spans="1:28" ht="16.5" hidden="1" customHeight="1" x14ac:dyDescent="0.2">
      <c r="A293" s="26"/>
      <c r="B293" s="74" t="s">
        <v>105</v>
      </c>
      <c r="C293" s="39" t="s">
        <v>23</v>
      </c>
      <c r="D293" s="172"/>
      <c r="E293" s="172"/>
      <c r="F293" s="172"/>
      <c r="G293" s="172"/>
      <c r="H293" s="172"/>
      <c r="I293" s="172"/>
      <c r="J293" s="172"/>
      <c r="K293" s="172"/>
      <c r="L293" s="172"/>
      <c r="M293" s="172"/>
      <c r="N293" s="172"/>
      <c r="O293" s="172"/>
      <c r="P293" s="172"/>
      <c r="Q293" s="172"/>
      <c r="R293" s="172">
        <f t="shared" si="26"/>
        <v>0</v>
      </c>
      <c r="S293" s="172"/>
      <c r="T293" s="172"/>
      <c r="U293" s="172"/>
      <c r="V293" s="172"/>
      <c r="W293" s="172"/>
      <c r="X293" s="173">
        <f t="shared" si="29"/>
        <v>0</v>
      </c>
      <c r="Y293" s="247">
        <f t="shared" si="30"/>
        <v>0</v>
      </c>
      <c r="Z293" s="409"/>
      <c r="AA293" s="373"/>
    </row>
    <row r="294" spans="1:28" ht="16.5" hidden="1" customHeight="1" x14ac:dyDescent="0.2">
      <c r="A294" s="26"/>
      <c r="B294" s="74" t="s">
        <v>106</v>
      </c>
      <c r="C294" s="39" t="s">
        <v>23</v>
      </c>
      <c r="D294" s="172"/>
      <c r="E294" s="172"/>
      <c r="F294" s="172"/>
      <c r="G294" s="172"/>
      <c r="H294" s="172"/>
      <c r="I294" s="172"/>
      <c r="J294" s="172"/>
      <c r="K294" s="172"/>
      <c r="L294" s="172"/>
      <c r="M294" s="172"/>
      <c r="N294" s="172"/>
      <c r="O294" s="172"/>
      <c r="P294" s="172"/>
      <c r="Q294" s="172"/>
      <c r="R294" s="172">
        <f t="shared" ref="R294:R364" si="31">SUM(D294:Q294)</f>
        <v>0</v>
      </c>
      <c r="S294" s="172"/>
      <c r="T294" s="172"/>
      <c r="U294" s="172"/>
      <c r="V294" s="172"/>
      <c r="W294" s="172"/>
      <c r="X294" s="173">
        <f t="shared" si="29"/>
        <v>0</v>
      </c>
      <c r="Y294" s="247">
        <f t="shared" si="30"/>
        <v>0</v>
      </c>
      <c r="Z294" s="409"/>
      <c r="AA294" s="373"/>
    </row>
    <row r="295" spans="1:28" ht="16.5" hidden="1" customHeight="1" x14ac:dyDescent="0.2">
      <c r="A295" s="26"/>
      <c r="B295" s="74" t="s">
        <v>126</v>
      </c>
      <c r="C295" s="39" t="s">
        <v>23</v>
      </c>
      <c r="D295" s="172"/>
      <c r="E295" s="172"/>
      <c r="F295" s="172"/>
      <c r="G295" s="172"/>
      <c r="H295" s="172"/>
      <c r="I295" s="172"/>
      <c r="J295" s="172"/>
      <c r="K295" s="172"/>
      <c r="L295" s="172"/>
      <c r="M295" s="172"/>
      <c r="N295" s="172"/>
      <c r="O295" s="172"/>
      <c r="P295" s="172"/>
      <c r="Q295" s="172"/>
      <c r="R295" s="172">
        <f t="shared" si="31"/>
        <v>0</v>
      </c>
      <c r="S295" s="172"/>
      <c r="T295" s="172"/>
      <c r="U295" s="172"/>
      <c r="V295" s="172"/>
      <c r="W295" s="172"/>
      <c r="X295" s="173">
        <f t="shared" si="29"/>
        <v>0</v>
      </c>
      <c r="Y295" s="247">
        <f t="shared" si="30"/>
        <v>0</v>
      </c>
      <c r="Z295" s="409"/>
      <c r="AA295" s="373"/>
    </row>
    <row r="296" spans="1:28" ht="16.5" hidden="1" customHeight="1" x14ac:dyDescent="0.2">
      <c r="A296" s="26"/>
      <c r="B296" s="411" t="s">
        <v>24</v>
      </c>
      <c r="C296" s="412" t="s">
        <v>127</v>
      </c>
      <c r="D296" s="172"/>
      <c r="E296" s="172"/>
      <c r="F296" s="413"/>
      <c r="G296" s="172"/>
      <c r="H296" s="172"/>
      <c r="I296" s="172"/>
      <c r="J296" s="172"/>
      <c r="K296" s="172"/>
      <c r="L296" s="172"/>
      <c r="M296" s="172"/>
      <c r="N296" s="172"/>
      <c r="O296" s="172"/>
      <c r="P296" s="172"/>
      <c r="Q296" s="172"/>
      <c r="R296" s="172">
        <f t="shared" si="31"/>
        <v>0</v>
      </c>
      <c r="S296" s="172"/>
      <c r="T296" s="172"/>
      <c r="U296" s="172"/>
      <c r="V296" s="172"/>
      <c r="W296" s="172"/>
      <c r="X296" s="173">
        <f t="shared" si="29"/>
        <v>0</v>
      </c>
      <c r="Y296" s="416">
        <f t="shared" si="30"/>
        <v>0</v>
      </c>
      <c r="Z296" s="409"/>
      <c r="AA296" s="373"/>
    </row>
    <row r="297" spans="1:28" ht="17.25" hidden="1" customHeight="1" thickBot="1" x14ac:dyDescent="0.25">
      <c r="A297" s="82"/>
      <c r="B297" s="84"/>
      <c r="C297" s="41"/>
      <c r="D297" s="161"/>
      <c r="E297" s="161"/>
      <c r="F297" s="161"/>
      <c r="G297" s="161"/>
      <c r="H297" s="161"/>
      <c r="I297" s="161"/>
      <c r="J297" s="161"/>
      <c r="K297" s="161"/>
      <c r="L297" s="161"/>
      <c r="M297" s="161"/>
      <c r="N297" s="161"/>
      <c r="O297" s="161"/>
      <c r="P297" s="161"/>
      <c r="Q297" s="161"/>
      <c r="R297" s="161">
        <f t="shared" si="31"/>
        <v>0</v>
      </c>
      <c r="S297" s="161"/>
      <c r="T297" s="161"/>
      <c r="U297" s="161"/>
      <c r="V297" s="161"/>
      <c r="W297" s="161"/>
      <c r="X297" s="167">
        <f t="shared" si="29"/>
        <v>0</v>
      </c>
      <c r="Y297" s="247">
        <f t="shared" si="30"/>
        <v>0</v>
      </c>
      <c r="Z297" s="348"/>
      <c r="AA297" s="373"/>
    </row>
    <row r="298" spans="1:28" ht="18.75" hidden="1" customHeight="1" thickTop="1" thickBot="1" x14ac:dyDescent="0.25">
      <c r="A298" s="47"/>
      <c r="B298" s="90"/>
      <c r="C298" s="44" t="s">
        <v>32</v>
      </c>
      <c r="D298" s="168">
        <f>SUM(D277:D297)</f>
        <v>0</v>
      </c>
      <c r="E298" s="168">
        <f>SUM(E277:E297)</f>
        <v>0</v>
      </c>
      <c r="F298" s="168">
        <f>SUM(F277:F297)</f>
        <v>33030</v>
      </c>
      <c r="G298" s="168">
        <f t="shared" ref="G298:R298" si="32">SUM(G277:G297)</f>
        <v>0</v>
      </c>
      <c r="H298" s="168">
        <f t="shared" si="32"/>
        <v>0</v>
      </c>
      <c r="I298" s="168">
        <f t="shared" si="32"/>
        <v>0</v>
      </c>
      <c r="J298" s="168">
        <f t="shared" si="32"/>
        <v>0</v>
      </c>
      <c r="K298" s="168">
        <f t="shared" si="32"/>
        <v>-37757.288</v>
      </c>
      <c r="L298" s="168">
        <f t="shared" si="32"/>
        <v>700</v>
      </c>
      <c r="M298" s="168">
        <f t="shared" si="32"/>
        <v>0</v>
      </c>
      <c r="N298" s="168">
        <f t="shared" si="32"/>
        <v>0</v>
      </c>
      <c r="O298" s="168">
        <f t="shared" si="32"/>
        <v>0</v>
      </c>
      <c r="P298" s="168">
        <f t="shared" si="32"/>
        <v>0</v>
      </c>
      <c r="Q298" s="168">
        <f t="shared" si="32"/>
        <v>0</v>
      </c>
      <c r="R298" s="168">
        <f t="shared" si="32"/>
        <v>-4027.2880000000005</v>
      </c>
      <c r="S298" s="168"/>
      <c r="T298" s="168">
        <f t="shared" ref="T298:Z298" si="33">SUM(T277:T297)</f>
        <v>0</v>
      </c>
      <c r="U298" s="168">
        <f t="shared" si="33"/>
        <v>0</v>
      </c>
      <c r="V298" s="168">
        <f t="shared" si="33"/>
        <v>0</v>
      </c>
      <c r="W298" s="168">
        <f t="shared" si="33"/>
        <v>0</v>
      </c>
      <c r="X298" s="171">
        <f t="shared" si="33"/>
        <v>0</v>
      </c>
      <c r="Y298" s="171">
        <f t="shared" si="33"/>
        <v>-4027.2880000000005</v>
      </c>
      <c r="Z298" s="280">
        <f t="shared" si="33"/>
        <v>19916.288</v>
      </c>
      <c r="AA298" s="374"/>
    </row>
    <row r="299" spans="1:28" ht="9.9499999999999993" hidden="1" customHeight="1" thickTop="1" x14ac:dyDescent="0.2">
      <c r="A299" s="194"/>
      <c r="B299" s="195"/>
      <c r="C299" s="196"/>
      <c r="D299" s="197"/>
      <c r="E299" s="197"/>
      <c r="F299" s="197"/>
      <c r="G299" s="197"/>
      <c r="H299" s="197"/>
      <c r="I299" s="197"/>
      <c r="J299" s="197"/>
      <c r="K299" s="197"/>
      <c r="L299" s="197"/>
      <c r="M299" s="197"/>
      <c r="N299" s="197"/>
      <c r="O299" s="197"/>
      <c r="P299" s="197"/>
      <c r="Q299" s="197"/>
      <c r="R299" s="197">
        <f t="shared" si="31"/>
        <v>0</v>
      </c>
      <c r="S299" s="197"/>
      <c r="T299" s="197"/>
      <c r="U299" s="197"/>
      <c r="V299" s="197"/>
      <c r="W299" s="197"/>
      <c r="X299" s="197"/>
      <c r="Y299" s="197"/>
      <c r="Z299" s="281"/>
      <c r="AA299" s="374"/>
    </row>
    <row r="300" spans="1:28" ht="17.25" hidden="1" customHeight="1" x14ac:dyDescent="0.2">
      <c r="A300" s="199"/>
      <c r="B300" s="200"/>
      <c r="C300" s="208" t="s">
        <v>75</v>
      </c>
      <c r="D300" s="201"/>
      <c r="E300" s="201"/>
      <c r="F300" s="201"/>
      <c r="G300" s="201"/>
      <c r="H300" s="201"/>
      <c r="I300" s="201"/>
      <c r="J300" s="201"/>
      <c r="K300" s="201"/>
      <c r="L300" s="201"/>
      <c r="M300" s="201"/>
      <c r="N300" s="201"/>
      <c r="O300" s="201"/>
      <c r="P300" s="201"/>
      <c r="Q300" s="201"/>
      <c r="R300" s="201">
        <f t="shared" si="31"/>
        <v>0</v>
      </c>
      <c r="S300" s="201"/>
      <c r="T300" s="201"/>
      <c r="U300" s="201"/>
      <c r="V300" s="201"/>
      <c r="W300" s="201"/>
      <c r="X300" s="201">
        <f t="shared" si="29"/>
        <v>0</v>
      </c>
      <c r="Y300" s="201">
        <f t="shared" si="30"/>
        <v>0</v>
      </c>
      <c r="Z300" s="282"/>
      <c r="AA300" s="374"/>
    </row>
    <row r="301" spans="1:28" ht="9.9499999999999993" hidden="1" customHeight="1" thickBot="1" x14ac:dyDescent="0.25">
      <c r="A301" s="203"/>
      <c r="B301" s="204"/>
      <c r="C301" s="205"/>
      <c r="D301" s="206"/>
      <c r="E301" s="206"/>
      <c r="F301" s="206"/>
      <c r="G301" s="206"/>
      <c r="H301" s="206"/>
      <c r="I301" s="206"/>
      <c r="J301" s="206"/>
      <c r="K301" s="206"/>
      <c r="L301" s="206"/>
      <c r="M301" s="206"/>
      <c r="N301" s="206"/>
      <c r="O301" s="206"/>
      <c r="P301" s="206"/>
      <c r="Q301" s="206"/>
      <c r="R301" s="206">
        <f t="shared" si="31"/>
        <v>0</v>
      </c>
      <c r="S301" s="206"/>
      <c r="T301" s="206"/>
      <c r="U301" s="206"/>
      <c r="V301" s="206"/>
      <c r="W301" s="206"/>
      <c r="X301" s="206"/>
      <c r="Y301" s="206"/>
      <c r="Z301" s="283"/>
      <c r="AA301" s="374"/>
    </row>
    <row r="302" spans="1:28" ht="24.75" hidden="1" customHeight="1" thickTop="1" thickBot="1" x14ac:dyDescent="0.25">
      <c r="A302" s="92"/>
      <c r="B302" s="128" t="s">
        <v>481</v>
      </c>
      <c r="C302" s="44" t="s">
        <v>166</v>
      </c>
      <c r="D302" s="593">
        <f>D179+D276+D298+D300</f>
        <v>16848.858</v>
      </c>
      <c r="E302" s="593">
        <f t="shared" ref="E302:Z302" si="34">E179+E276+E298+E300</f>
        <v>7172.4320000000007</v>
      </c>
      <c r="F302" s="593">
        <f t="shared" si="34"/>
        <v>4407286.068</v>
      </c>
      <c r="G302" s="593">
        <f t="shared" si="34"/>
        <v>202492</v>
      </c>
      <c r="H302" s="593">
        <f t="shared" si="34"/>
        <v>5754.3070000000007</v>
      </c>
      <c r="I302" s="593">
        <f t="shared" si="34"/>
        <v>32937</v>
      </c>
      <c r="J302" s="593">
        <f t="shared" si="34"/>
        <v>530701</v>
      </c>
      <c r="K302" s="593">
        <f t="shared" si="34"/>
        <v>1119280.3640000001</v>
      </c>
      <c r="L302" s="593">
        <f t="shared" si="34"/>
        <v>3662148.6860000002</v>
      </c>
      <c r="M302" s="593">
        <f t="shared" si="34"/>
        <v>49810</v>
      </c>
      <c r="N302" s="593">
        <f t="shared" si="34"/>
        <v>64444</v>
      </c>
      <c r="O302" s="593">
        <f t="shared" si="34"/>
        <v>12000</v>
      </c>
      <c r="P302" s="593">
        <f t="shared" si="34"/>
        <v>0</v>
      </c>
      <c r="Q302" s="593">
        <f t="shared" si="34"/>
        <v>150700</v>
      </c>
      <c r="R302" s="593">
        <f t="shared" si="34"/>
        <v>10261574.715</v>
      </c>
      <c r="S302" s="174"/>
      <c r="T302" s="593">
        <f t="shared" si="34"/>
        <v>20172</v>
      </c>
      <c r="U302" s="593">
        <f t="shared" si="34"/>
        <v>1400000</v>
      </c>
      <c r="V302" s="593">
        <f t="shared" si="34"/>
        <v>0</v>
      </c>
      <c r="W302" s="593">
        <f t="shared" si="34"/>
        <v>0</v>
      </c>
      <c r="X302" s="594">
        <f t="shared" si="34"/>
        <v>1420172</v>
      </c>
      <c r="Y302" s="594">
        <f t="shared" si="34"/>
        <v>11681746.715</v>
      </c>
      <c r="Z302" s="595">
        <f t="shared" si="34"/>
        <v>6164945.7410000004</v>
      </c>
      <c r="AA302" s="376"/>
      <c r="AB302" s="134">
        <f>Y302-Z302</f>
        <v>5516800.9739999995</v>
      </c>
    </row>
    <row r="303" spans="1:28" ht="24.95" hidden="1" customHeight="1" thickTop="1" x14ac:dyDescent="0.2">
      <c r="A303" s="598"/>
      <c r="B303" s="598" t="s">
        <v>483</v>
      </c>
      <c r="C303" s="602" t="s">
        <v>18</v>
      </c>
      <c r="D303" s="603">
        <f t="shared" ref="D303:Q303" si="35">D302</f>
        <v>16848.858</v>
      </c>
      <c r="E303" s="603">
        <f t="shared" si="35"/>
        <v>7172.4320000000007</v>
      </c>
      <c r="F303" s="603">
        <f t="shared" si="35"/>
        <v>4407286.068</v>
      </c>
      <c r="G303" s="603">
        <f t="shared" si="35"/>
        <v>202492</v>
      </c>
      <c r="H303" s="603">
        <f t="shared" si="35"/>
        <v>5754.3070000000007</v>
      </c>
      <c r="I303" s="603">
        <f t="shared" si="35"/>
        <v>32937</v>
      </c>
      <c r="J303" s="603">
        <f t="shared" si="35"/>
        <v>530701</v>
      </c>
      <c r="K303" s="603">
        <f t="shared" si="35"/>
        <v>1119280.3640000001</v>
      </c>
      <c r="L303" s="603">
        <f t="shared" si="35"/>
        <v>3662148.6860000002</v>
      </c>
      <c r="M303" s="603">
        <f t="shared" si="35"/>
        <v>49810</v>
      </c>
      <c r="N303" s="603">
        <f t="shared" si="35"/>
        <v>64444</v>
      </c>
      <c r="O303" s="603">
        <f t="shared" si="35"/>
        <v>12000</v>
      </c>
      <c r="P303" s="603">
        <f t="shared" si="35"/>
        <v>0</v>
      </c>
      <c r="Q303" s="603">
        <f t="shared" si="35"/>
        <v>150700</v>
      </c>
      <c r="R303" s="603">
        <f t="shared" si="31"/>
        <v>10261574.715</v>
      </c>
      <c r="S303" s="603"/>
      <c r="T303" s="603">
        <f>T302</f>
        <v>20172</v>
      </c>
      <c r="U303" s="603">
        <f>U302</f>
        <v>1400000</v>
      </c>
      <c r="V303" s="603">
        <f>V302</f>
        <v>0</v>
      </c>
      <c r="W303" s="603">
        <f>W302</f>
        <v>0</v>
      </c>
      <c r="X303" s="604">
        <f t="shared" si="29"/>
        <v>1420172</v>
      </c>
      <c r="Y303" s="605">
        <f t="shared" si="30"/>
        <v>11681746.715</v>
      </c>
      <c r="Z303" s="606">
        <f>Z302</f>
        <v>6164945.7410000004</v>
      </c>
      <c r="AA303" s="366"/>
    </row>
    <row r="304" spans="1:28" ht="20.100000000000001" hidden="1" customHeight="1" x14ac:dyDescent="0.25">
      <c r="A304" s="26">
        <v>1</v>
      </c>
      <c r="B304" s="91" t="s">
        <v>498</v>
      </c>
      <c r="C304" s="39" t="s">
        <v>502</v>
      </c>
      <c r="D304" s="172"/>
      <c r="E304" s="172"/>
      <c r="F304" s="172"/>
      <c r="G304" s="172"/>
      <c r="H304" s="172"/>
      <c r="I304" s="172"/>
      <c r="J304" s="172"/>
      <c r="K304" s="172">
        <f>-3128</f>
        <v>-3128</v>
      </c>
      <c r="L304" s="172"/>
      <c r="M304" s="172"/>
      <c r="N304" s="172"/>
      <c r="O304" s="172"/>
      <c r="P304" s="172"/>
      <c r="Q304" s="172"/>
      <c r="R304" s="172">
        <f t="shared" si="31"/>
        <v>-3128</v>
      </c>
      <c r="S304" s="172"/>
      <c r="T304" s="172"/>
      <c r="U304" s="172"/>
      <c r="V304" s="172"/>
      <c r="W304" s="172"/>
      <c r="X304" s="173">
        <f t="shared" si="29"/>
        <v>0</v>
      </c>
      <c r="Y304" s="247">
        <f t="shared" si="30"/>
        <v>-3128</v>
      </c>
      <c r="Z304" s="409">
        <f>3128</f>
        <v>3128</v>
      </c>
      <c r="AA304" s="373"/>
    </row>
    <row r="305" spans="1:42" ht="20.100000000000001" hidden="1" customHeight="1" x14ac:dyDescent="0.25">
      <c r="A305" s="26">
        <v>2</v>
      </c>
      <c r="B305" s="91" t="s">
        <v>497</v>
      </c>
      <c r="C305" s="39" t="s">
        <v>200</v>
      </c>
      <c r="D305" s="172"/>
      <c r="E305" s="172"/>
      <c r="F305" s="172">
        <f>-236-64</f>
        <v>-300</v>
      </c>
      <c r="G305" s="172"/>
      <c r="H305" s="172"/>
      <c r="I305" s="172"/>
      <c r="J305" s="172"/>
      <c r="K305" s="172"/>
      <c r="L305" s="172"/>
      <c r="M305" s="172"/>
      <c r="N305" s="172"/>
      <c r="O305" s="172"/>
      <c r="P305" s="172"/>
      <c r="Q305" s="172"/>
      <c r="R305" s="172">
        <f t="shared" si="31"/>
        <v>-300</v>
      </c>
      <c r="S305" s="172"/>
      <c r="T305" s="172"/>
      <c r="U305" s="172"/>
      <c r="V305" s="172"/>
      <c r="W305" s="172"/>
      <c r="X305" s="173">
        <f t="shared" si="29"/>
        <v>0</v>
      </c>
      <c r="Y305" s="247">
        <f t="shared" si="30"/>
        <v>-300</v>
      </c>
      <c r="Z305" s="409">
        <f>300</f>
        <v>300</v>
      </c>
      <c r="AA305" s="373"/>
    </row>
    <row r="306" spans="1:42" ht="20.100000000000001" hidden="1" customHeight="1" x14ac:dyDescent="0.25">
      <c r="A306" s="26">
        <v>3</v>
      </c>
      <c r="B306" s="91" t="s">
        <v>499</v>
      </c>
      <c r="C306" s="39" t="s">
        <v>200</v>
      </c>
      <c r="D306" s="172">
        <f>-1180-1300</f>
        <v>-2480</v>
      </c>
      <c r="E306" s="172">
        <f>-669.6</f>
        <v>-669.6</v>
      </c>
      <c r="F306" s="172"/>
      <c r="G306" s="172"/>
      <c r="H306" s="172"/>
      <c r="I306" s="172"/>
      <c r="J306" s="172"/>
      <c r="K306" s="172"/>
      <c r="L306" s="172"/>
      <c r="M306" s="172"/>
      <c r="N306" s="172"/>
      <c r="O306" s="172"/>
      <c r="P306" s="172"/>
      <c r="Q306" s="172"/>
      <c r="R306" s="172">
        <f t="shared" si="31"/>
        <v>-3149.6</v>
      </c>
      <c r="S306" s="172"/>
      <c r="T306" s="172"/>
      <c r="U306" s="172"/>
      <c r="V306" s="172"/>
      <c r="W306" s="172"/>
      <c r="X306" s="173">
        <f t="shared" si="29"/>
        <v>0</v>
      </c>
      <c r="Y306" s="247">
        <f t="shared" si="30"/>
        <v>-3149.6</v>
      </c>
      <c r="Z306" s="409">
        <f>3149.6</f>
        <v>3149.6</v>
      </c>
      <c r="AA306" s="373"/>
    </row>
    <row r="307" spans="1:42" ht="20.100000000000001" hidden="1" customHeight="1" x14ac:dyDescent="0.25">
      <c r="A307" s="26">
        <v>4</v>
      </c>
      <c r="B307" s="91" t="s">
        <v>487</v>
      </c>
      <c r="C307" s="39" t="s">
        <v>486</v>
      </c>
      <c r="D307" s="172"/>
      <c r="E307" s="172"/>
      <c r="F307" s="172">
        <f>572+154</f>
        <v>726</v>
      </c>
      <c r="G307" s="172"/>
      <c r="H307" s="172"/>
      <c r="I307" s="172"/>
      <c r="J307" s="172"/>
      <c r="K307" s="172"/>
      <c r="L307" s="172">
        <f>-572-154</f>
        <v>-726</v>
      </c>
      <c r="M307" s="172"/>
      <c r="N307" s="172"/>
      <c r="O307" s="172"/>
      <c r="P307" s="172"/>
      <c r="Q307" s="172"/>
      <c r="R307" s="172">
        <f>SUM(D307:Q307)</f>
        <v>0</v>
      </c>
      <c r="S307" s="172"/>
      <c r="T307" s="172"/>
      <c r="U307" s="172"/>
      <c r="V307" s="172"/>
      <c r="W307" s="172"/>
      <c r="X307" s="173">
        <f>SUM(T307:W307)</f>
        <v>0</v>
      </c>
      <c r="Y307" s="247">
        <f>R307+X307</f>
        <v>0</v>
      </c>
      <c r="Z307" s="409"/>
      <c r="AA307" s="373"/>
    </row>
    <row r="308" spans="1:42" ht="20.100000000000001" hidden="1" customHeight="1" x14ac:dyDescent="0.2">
      <c r="A308" s="26">
        <v>5</v>
      </c>
      <c r="B308" s="74" t="s">
        <v>488</v>
      </c>
      <c r="C308" s="39" t="s">
        <v>320</v>
      </c>
      <c r="D308" s="172"/>
      <c r="E308" s="172"/>
      <c r="F308" s="172"/>
      <c r="G308" s="172"/>
      <c r="H308" s="172"/>
      <c r="I308" s="172"/>
      <c r="J308" s="172"/>
      <c r="K308" s="172">
        <f>-903</f>
        <v>-903</v>
      </c>
      <c r="L308" s="172">
        <f>711+192</f>
        <v>903</v>
      </c>
      <c r="M308" s="172"/>
      <c r="N308" s="172"/>
      <c r="O308" s="172"/>
      <c r="P308" s="172"/>
      <c r="Q308" s="172"/>
      <c r="R308" s="172">
        <f t="shared" si="31"/>
        <v>0</v>
      </c>
      <c r="S308" s="172"/>
      <c r="T308" s="172"/>
      <c r="U308" s="172"/>
      <c r="V308" s="172"/>
      <c r="W308" s="172"/>
      <c r="X308" s="173">
        <f t="shared" si="29"/>
        <v>0</v>
      </c>
      <c r="Y308" s="247">
        <f t="shared" si="30"/>
        <v>0</v>
      </c>
      <c r="Z308" s="409"/>
      <c r="AA308" s="373"/>
    </row>
    <row r="309" spans="1:42" ht="20.100000000000001" hidden="1" customHeight="1" x14ac:dyDescent="0.25">
      <c r="A309" s="26">
        <v>6</v>
      </c>
      <c r="B309" s="91" t="s">
        <v>489</v>
      </c>
      <c r="C309" s="39" t="s">
        <v>490</v>
      </c>
      <c r="D309" s="172"/>
      <c r="E309" s="172"/>
      <c r="F309" s="172">
        <f>450+122</f>
        <v>572</v>
      </c>
      <c r="G309" s="172"/>
      <c r="H309" s="172"/>
      <c r="I309" s="172"/>
      <c r="J309" s="172"/>
      <c r="K309" s="172"/>
      <c r="L309" s="172">
        <f>-450-122</f>
        <v>-572</v>
      </c>
      <c r="M309" s="172"/>
      <c r="N309" s="172"/>
      <c r="O309" s="172"/>
      <c r="P309" s="172"/>
      <c r="Q309" s="172"/>
      <c r="R309" s="172">
        <f t="shared" si="31"/>
        <v>0</v>
      </c>
      <c r="S309" s="172"/>
      <c r="T309" s="172"/>
      <c r="U309" s="172"/>
      <c r="V309" s="172"/>
      <c r="W309" s="172"/>
      <c r="X309" s="173">
        <f t="shared" si="29"/>
        <v>0</v>
      </c>
      <c r="Y309" s="247">
        <f t="shared" si="30"/>
        <v>0</v>
      </c>
      <c r="Z309" s="409"/>
      <c r="AA309" s="373"/>
    </row>
    <row r="310" spans="1:42" ht="20.100000000000001" hidden="1" customHeight="1" x14ac:dyDescent="0.25">
      <c r="A310" s="26">
        <v>7</v>
      </c>
      <c r="B310" s="91" t="s">
        <v>491</v>
      </c>
      <c r="C310" s="39" t="s">
        <v>492</v>
      </c>
      <c r="D310" s="172"/>
      <c r="E310" s="172"/>
      <c r="F310" s="172">
        <f>28+8</f>
        <v>36</v>
      </c>
      <c r="G310" s="172"/>
      <c r="H310" s="172"/>
      <c r="I310" s="172"/>
      <c r="J310" s="172"/>
      <c r="K310" s="172"/>
      <c r="L310" s="172">
        <f>-28-8</f>
        <v>-36</v>
      </c>
      <c r="M310" s="172"/>
      <c r="N310" s="172"/>
      <c r="O310" s="172"/>
      <c r="P310" s="172"/>
      <c r="Q310" s="172"/>
      <c r="R310" s="172">
        <f t="shared" si="31"/>
        <v>0</v>
      </c>
      <c r="S310" s="172"/>
      <c r="T310" s="172"/>
      <c r="U310" s="172"/>
      <c r="V310" s="172"/>
      <c r="W310" s="172"/>
      <c r="X310" s="173">
        <f t="shared" si="29"/>
        <v>0</v>
      </c>
      <c r="Y310" s="247">
        <f t="shared" si="30"/>
        <v>0</v>
      </c>
      <c r="Z310" s="409"/>
      <c r="AA310" s="373"/>
    </row>
    <row r="311" spans="1:42" ht="20.100000000000001" hidden="1" customHeight="1" x14ac:dyDescent="0.25">
      <c r="A311" s="26">
        <v>8</v>
      </c>
      <c r="B311" s="91" t="s">
        <v>493</v>
      </c>
      <c r="C311" s="39" t="s">
        <v>242</v>
      </c>
      <c r="D311" s="172"/>
      <c r="E311" s="172"/>
      <c r="F311" s="172"/>
      <c r="G311" s="172"/>
      <c r="H311" s="172"/>
      <c r="I311" s="172"/>
      <c r="J311" s="172">
        <f>70</f>
        <v>70</v>
      </c>
      <c r="K311" s="172">
        <f>-70</f>
        <v>-70</v>
      </c>
      <c r="L311" s="172"/>
      <c r="M311" s="172"/>
      <c r="N311" s="172"/>
      <c r="O311" s="172"/>
      <c r="P311" s="172"/>
      <c r="Q311" s="172"/>
      <c r="R311" s="172">
        <f t="shared" si="31"/>
        <v>0</v>
      </c>
      <c r="S311" s="172"/>
      <c r="T311" s="172"/>
      <c r="U311" s="172"/>
      <c r="V311" s="172"/>
      <c r="W311" s="172"/>
      <c r="X311" s="173">
        <f t="shared" si="29"/>
        <v>0</v>
      </c>
      <c r="Y311" s="247">
        <f t="shared" si="30"/>
        <v>0</v>
      </c>
      <c r="Z311" s="409"/>
      <c r="AA311" s="373"/>
    </row>
    <row r="312" spans="1:42" ht="20.100000000000001" hidden="1" customHeight="1" x14ac:dyDescent="0.25">
      <c r="A312" s="26">
        <v>9</v>
      </c>
      <c r="B312" s="91" t="s">
        <v>494</v>
      </c>
      <c r="C312" s="39" t="s">
        <v>495</v>
      </c>
      <c r="D312" s="172"/>
      <c r="E312" s="172"/>
      <c r="F312" s="172">
        <f>60+17</f>
        <v>77</v>
      </c>
      <c r="G312" s="172"/>
      <c r="H312" s="172"/>
      <c r="I312" s="172"/>
      <c r="J312" s="172"/>
      <c r="K312" s="172"/>
      <c r="L312" s="172">
        <f>-60-17</f>
        <v>-77</v>
      </c>
      <c r="M312" s="172"/>
      <c r="N312" s="172"/>
      <c r="O312" s="172"/>
      <c r="P312" s="172"/>
      <c r="Q312" s="172"/>
      <c r="R312" s="172">
        <f t="shared" si="31"/>
        <v>0</v>
      </c>
      <c r="S312" s="172"/>
      <c r="T312" s="172"/>
      <c r="U312" s="172"/>
      <c r="V312" s="172"/>
      <c r="W312" s="172"/>
      <c r="X312" s="173">
        <f t="shared" si="29"/>
        <v>0</v>
      </c>
      <c r="Y312" s="247">
        <f t="shared" si="30"/>
        <v>0</v>
      </c>
      <c r="Z312" s="409"/>
      <c r="AA312" s="373"/>
    </row>
    <row r="313" spans="1:42" ht="20.100000000000001" hidden="1" customHeight="1" x14ac:dyDescent="0.25">
      <c r="A313" s="26">
        <v>10</v>
      </c>
      <c r="B313" s="91" t="s">
        <v>496</v>
      </c>
      <c r="C313" s="39" t="s">
        <v>320</v>
      </c>
      <c r="D313" s="172"/>
      <c r="E313" s="172"/>
      <c r="F313" s="172"/>
      <c r="G313" s="172"/>
      <c r="H313" s="172"/>
      <c r="I313" s="172"/>
      <c r="J313" s="172"/>
      <c r="K313" s="172">
        <f>-31004</f>
        <v>-31004</v>
      </c>
      <c r="L313" s="172">
        <f>24413+6591</f>
        <v>31004</v>
      </c>
      <c r="M313" s="172"/>
      <c r="N313" s="172"/>
      <c r="O313" s="172"/>
      <c r="P313" s="172"/>
      <c r="Q313" s="172"/>
      <c r="R313" s="172">
        <f t="shared" si="31"/>
        <v>0</v>
      </c>
      <c r="S313" s="172"/>
      <c r="T313" s="172"/>
      <c r="U313" s="172"/>
      <c r="V313" s="172"/>
      <c r="W313" s="172"/>
      <c r="X313" s="173">
        <f t="shared" si="29"/>
        <v>0</v>
      </c>
      <c r="Y313" s="247">
        <f t="shared" si="30"/>
        <v>0</v>
      </c>
      <c r="Z313" s="409"/>
      <c r="AA313" s="373"/>
    </row>
    <row r="314" spans="1:42" ht="20.100000000000001" hidden="1" customHeight="1" x14ac:dyDescent="0.25">
      <c r="A314" s="26">
        <v>11</v>
      </c>
      <c r="B314" s="91" t="s">
        <v>500</v>
      </c>
      <c r="C314" s="39" t="s">
        <v>200</v>
      </c>
      <c r="D314" s="172"/>
      <c r="E314" s="172"/>
      <c r="F314" s="172"/>
      <c r="G314" s="172"/>
      <c r="H314" s="172"/>
      <c r="I314" s="172"/>
      <c r="J314" s="172"/>
      <c r="K314" s="172">
        <f>-660</f>
        <v>-660</v>
      </c>
      <c r="L314" s="172"/>
      <c r="M314" s="172"/>
      <c r="N314" s="172"/>
      <c r="O314" s="172"/>
      <c r="P314" s="172"/>
      <c r="Q314" s="172"/>
      <c r="R314" s="172">
        <f t="shared" si="31"/>
        <v>-660</v>
      </c>
      <c r="S314" s="172"/>
      <c r="T314" s="172"/>
      <c r="U314" s="172"/>
      <c r="V314" s="172"/>
      <c r="W314" s="172"/>
      <c r="X314" s="173">
        <f t="shared" si="29"/>
        <v>0</v>
      </c>
      <c r="Y314" s="247">
        <f t="shared" si="30"/>
        <v>-660</v>
      </c>
      <c r="Z314" s="409">
        <f>660</f>
        <v>660</v>
      </c>
      <c r="AA314" s="373"/>
    </row>
    <row r="315" spans="1:42" ht="20.100000000000001" hidden="1" customHeight="1" x14ac:dyDescent="0.25">
      <c r="A315" s="26">
        <v>12</v>
      </c>
      <c r="B315" s="91" t="s">
        <v>501</v>
      </c>
      <c r="C315" s="39" t="s">
        <v>502</v>
      </c>
      <c r="D315" s="172"/>
      <c r="E315" s="172"/>
      <c r="F315" s="172"/>
      <c r="G315" s="172"/>
      <c r="H315" s="172"/>
      <c r="I315" s="172"/>
      <c r="J315" s="172"/>
      <c r="K315" s="172">
        <f>-1654</f>
        <v>-1654</v>
      </c>
      <c r="L315" s="172"/>
      <c r="M315" s="172"/>
      <c r="N315" s="172"/>
      <c r="O315" s="172"/>
      <c r="P315" s="172"/>
      <c r="Q315" s="172"/>
      <c r="R315" s="172">
        <f t="shared" si="31"/>
        <v>-1654</v>
      </c>
      <c r="S315" s="172"/>
      <c r="T315" s="172"/>
      <c r="U315" s="172"/>
      <c r="V315" s="172"/>
      <c r="W315" s="172"/>
      <c r="X315" s="173">
        <f t="shared" si="29"/>
        <v>0</v>
      </c>
      <c r="Y315" s="247">
        <f t="shared" si="30"/>
        <v>-1654</v>
      </c>
      <c r="Z315" s="409">
        <f>1654</f>
        <v>1654</v>
      </c>
      <c r="AA315" s="373"/>
    </row>
    <row r="316" spans="1:42" ht="20.100000000000001" hidden="1" customHeight="1" x14ac:dyDescent="0.25">
      <c r="A316" s="26">
        <v>13</v>
      </c>
      <c r="B316" s="91" t="s">
        <v>503</v>
      </c>
      <c r="C316" s="39" t="s">
        <v>200</v>
      </c>
      <c r="D316" s="172"/>
      <c r="E316" s="172"/>
      <c r="F316" s="172"/>
      <c r="G316" s="172"/>
      <c r="H316" s="172"/>
      <c r="I316" s="172"/>
      <c r="J316" s="172"/>
      <c r="K316" s="172">
        <f>-20006</f>
        <v>-20006</v>
      </c>
      <c r="L316" s="172"/>
      <c r="M316" s="172"/>
      <c r="N316" s="172"/>
      <c r="O316" s="172"/>
      <c r="P316" s="172"/>
      <c r="Q316" s="172"/>
      <c r="R316" s="172">
        <f t="shared" si="31"/>
        <v>-20006</v>
      </c>
      <c r="S316" s="172"/>
      <c r="T316" s="172"/>
      <c r="U316" s="172"/>
      <c r="V316" s="172"/>
      <c r="W316" s="172"/>
      <c r="X316" s="173">
        <f t="shared" si="29"/>
        <v>0</v>
      </c>
      <c r="Y316" s="247">
        <f t="shared" si="30"/>
        <v>-20006</v>
      </c>
      <c r="Z316" s="409">
        <f>20006</f>
        <v>20006</v>
      </c>
      <c r="AA316" s="373"/>
    </row>
    <row r="317" spans="1:42" ht="20.100000000000001" hidden="1" customHeight="1" x14ac:dyDescent="0.25">
      <c r="A317" s="26">
        <v>14</v>
      </c>
      <c r="B317" s="91" t="s">
        <v>504</v>
      </c>
      <c r="C317" s="39" t="s">
        <v>200</v>
      </c>
      <c r="D317" s="172">
        <f>-60</f>
        <v>-60</v>
      </c>
      <c r="E317" s="172">
        <f>-16.2</f>
        <v>-16.2</v>
      </c>
      <c r="F317" s="172">
        <f>-110-294-79</f>
        <v>-483</v>
      </c>
      <c r="G317" s="172"/>
      <c r="H317" s="172"/>
      <c r="I317" s="172"/>
      <c r="J317" s="172"/>
      <c r="K317" s="172"/>
      <c r="L317" s="172"/>
      <c r="M317" s="172"/>
      <c r="N317" s="172"/>
      <c r="O317" s="172"/>
      <c r="P317" s="172"/>
      <c r="Q317" s="172"/>
      <c r="R317" s="172">
        <f t="shared" si="31"/>
        <v>-559.20000000000005</v>
      </c>
      <c r="S317" s="172"/>
      <c r="T317" s="172"/>
      <c r="U317" s="172"/>
      <c r="V317" s="172"/>
      <c r="W317" s="172"/>
      <c r="X317" s="173">
        <f t="shared" si="29"/>
        <v>0</v>
      </c>
      <c r="Y317" s="247">
        <f t="shared" si="30"/>
        <v>-559.20000000000005</v>
      </c>
      <c r="Z317" s="409">
        <f>559.2</f>
        <v>559.20000000000005</v>
      </c>
      <c r="AA317" s="373"/>
    </row>
    <row r="318" spans="1:42" ht="20.100000000000001" hidden="1" customHeight="1" x14ac:dyDescent="0.25">
      <c r="A318" s="26">
        <v>15</v>
      </c>
      <c r="B318" s="91" t="s">
        <v>505</v>
      </c>
      <c r="C318" s="39" t="s">
        <v>200</v>
      </c>
      <c r="D318" s="172"/>
      <c r="E318" s="172"/>
      <c r="F318" s="172"/>
      <c r="G318" s="172"/>
      <c r="H318" s="172"/>
      <c r="I318" s="172"/>
      <c r="J318" s="172"/>
      <c r="K318" s="172"/>
      <c r="L318" s="172"/>
      <c r="M318" s="172"/>
      <c r="N318" s="172"/>
      <c r="O318" s="172"/>
      <c r="P318" s="172"/>
      <c r="Q318" s="172"/>
      <c r="R318" s="172">
        <f t="shared" si="31"/>
        <v>0</v>
      </c>
      <c r="S318" s="172"/>
      <c r="T318" s="172"/>
      <c r="U318" s="172"/>
      <c r="V318" s="172"/>
      <c r="W318" s="172"/>
      <c r="X318" s="173">
        <f t="shared" si="29"/>
        <v>0</v>
      </c>
      <c r="Y318" s="247">
        <f t="shared" si="30"/>
        <v>0</v>
      </c>
      <c r="Z318" s="409"/>
      <c r="AA318" s="373"/>
    </row>
    <row r="319" spans="1:42" ht="20.100000000000001" hidden="1" customHeight="1" x14ac:dyDescent="0.25">
      <c r="A319" s="26">
        <v>16</v>
      </c>
      <c r="B319" s="607" t="s">
        <v>506</v>
      </c>
      <c r="C319" s="39" t="s">
        <v>320</v>
      </c>
      <c r="D319" s="172"/>
      <c r="E319" s="172"/>
      <c r="F319" s="172">
        <f>433+117</f>
        <v>550</v>
      </c>
      <c r="G319" s="172"/>
      <c r="H319" s="172"/>
      <c r="I319" s="172"/>
      <c r="J319" s="172"/>
      <c r="K319" s="172">
        <f>-550</f>
        <v>-550</v>
      </c>
      <c r="L319" s="172"/>
      <c r="M319" s="172"/>
      <c r="N319" s="172"/>
      <c r="O319" s="172"/>
      <c r="P319" s="172"/>
      <c r="Q319" s="172"/>
      <c r="R319" s="172">
        <f t="shared" si="31"/>
        <v>0</v>
      </c>
      <c r="S319" s="172"/>
      <c r="T319" s="172"/>
      <c r="U319" s="172"/>
      <c r="V319" s="172"/>
      <c r="W319" s="172"/>
      <c r="X319" s="173">
        <f t="shared" si="29"/>
        <v>0</v>
      </c>
      <c r="Y319" s="247">
        <f t="shared" si="30"/>
        <v>0</v>
      </c>
      <c r="Z319" s="409"/>
      <c r="AA319" s="373"/>
    </row>
    <row r="320" spans="1:42" s="581" customFormat="1" ht="20.100000000000001" hidden="1" customHeight="1" x14ac:dyDescent="0.25">
      <c r="A320" s="26">
        <v>17</v>
      </c>
      <c r="B320" s="607" t="s">
        <v>509</v>
      </c>
      <c r="C320" s="39" t="s">
        <v>200</v>
      </c>
      <c r="D320" s="575">
        <f>-2000</f>
        <v>-2000</v>
      </c>
      <c r="E320" s="575">
        <f>-540</f>
        <v>-540</v>
      </c>
      <c r="F320" s="575"/>
      <c r="G320" s="575"/>
      <c r="H320" s="575"/>
      <c r="I320" s="575"/>
      <c r="J320" s="575"/>
      <c r="K320" s="575"/>
      <c r="L320" s="575"/>
      <c r="M320" s="575"/>
      <c r="N320" s="575"/>
      <c r="O320" s="575"/>
      <c r="P320" s="575"/>
      <c r="Q320" s="575"/>
      <c r="R320" s="172">
        <f t="shared" si="31"/>
        <v>-2540</v>
      </c>
      <c r="S320" s="575"/>
      <c r="T320" s="575"/>
      <c r="U320" s="575"/>
      <c r="V320" s="575"/>
      <c r="W320" s="575"/>
      <c r="X320" s="173">
        <f t="shared" si="29"/>
        <v>0</v>
      </c>
      <c r="Y320" s="247">
        <f t="shared" si="30"/>
        <v>-2540</v>
      </c>
      <c r="Z320" s="608">
        <f>2540</f>
        <v>2540</v>
      </c>
      <c r="AA320" s="609"/>
      <c r="AB320" s="591"/>
      <c r="AC320" s="591"/>
      <c r="AD320" s="591"/>
      <c r="AE320" s="591"/>
      <c r="AF320" s="591"/>
      <c r="AG320" s="591"/>
      <c r="AH320" s="591"/>
      <c r="AI320" s="591"/>
      <c r="AJ320" s="591"/>
      <c r="AK320" s="591"/>
      <c r="AL320" s="591"/>
      <c r="AM320" s="591"/>
      <c r="AN320" s="591"/>
      <c r="AO320" s="591"/>
      <c r="AP320" s="591"/>
    </row>
    <row r="321" spans="1:42" s="581" customFormat="1" ht="20.100000000000001" hidden="1" customHeight="1" x14ac:dyDescent="0.25">
      <c r="A321" s="26">
        <v>18</v>
      </c>
      <c r="B321" s="607" t="s">
        <v>510</v>
      </c>
      <c r="C321" s="39" t="s">
        <v>200</v>
      </c>
      <c r="D321" s="575"/>
      <c r="E321" s="575"/>
      <c r="F321" s="575">
        <f>-1469-397</f>
        <v>-1866</v>
      </c>
      <c r="G321" s="575"/>
      <c r="H321" s="575"/>
      <c r="I321" s="575"/>
      <c r="J321" s="575"/>
      <c r="K321" s="575"/>
      <c r="L321" s="575"/>
      <c r="M321" s="575"/>
      <c r="N321" s="575"/>
      <c r="O321" s="575"/>
      <c r="P321" s="575"/>
      <c r="Q321" s="575"/>
      <c r="R321" s="172">
        <f t="shared" si="31"/>
        <v>-1866</v>
      </c>
      <c r="S321" s="575"/>
      <c r="T321" s="575"/>
      <c r="U321" s="575"/>
      <c r="V321" s="575"/>
      <c r="W321" s="575"/>
      <c r="X321" s="173">
        <f t="shared" si="29"/>
        <v>0</v>
      </c>
      <c r="Y321" s="247">
        <f t="shared" si="30"/>
        <v>-1866</v>
      </c>
      <c r="Z321" s="608">
        <f>1866</f>
        <v>1866</v>
      </c>
      <c r="AA321" s="609"/>
      <c r="AB321" s="591"/>
      <c r="AC321" s="591"/>
      <c r="AD321" s="591"/>
      <c r="AE321" s="591"/>
      <c r="AF321" s="591"/>
      <c r="AG321" s="591"/>
      <c r="AH321" s="591"/>
      <c r="AI321" s="591"/>
      <c r="AJ321" s="591"/>
      <c r="AK321" s="591"/>
      <c r="AL321" s="591"/>
      <c r="AM321" s="591"/>
      <c r="AN321" s="591"/>
      <c r="AO321" s="591"/>
      <c r="AP321" s="591"/>
    </row>
    <row r="322" spans="1:42" ht="20.100000000000001" hidden="1" customHeight="1" x14ac:dyDescent="0.25">
      <c r="A322" s="26">
        <v>19</v>
      </c>
      <c r="B322" s="91" t="s">
        <v>508</v>
      </c>
      <c r="C322" s="39" t="s">
        <v>507</v>
      </c>
      <c r="D322" s="172"/>
      <c r="E322" s="172"/>
      <c r="F322" s="172"/>
      <c r="G322" s="172"/>
      <c r="H322" s="172"/>
      <c r="I322" s="172"/>
      <c r="J322" s="172"/>
      <c r="K322" s="172"/>
      <c r="L322" s="172"/>
      <c r="M322" s="172"/>
      <c r="N322" s="172"/>
      <c r="O322" s="172">
        <f>1452</f>
        <v>1452</v>
      </c>
      <c r="P322" s="172"/>
      <c r="Q322" s="172">
        <f>-1452</f>
        <v>-1452</v>
      </c>
      <c r="R322" s="172">
        <f t="shared" si="31"/>
        <v>0</v>
      </c>
      <c r="S322" s="172"/>
      <c r="T322" s="172"/>
      <c r="U322" s="172"/>
      <c r="V322" s="172"/>
      <c r="W322" s="172"/>
      <c r="X322" s="173">
        <f t="shared" si="29"/>
        <v>0</v>
      </c>
      <c r="Y322" s="247">
        <f t="shared" si="30"/>
        <v>0</v>
      </c>
      <c r="Z322" s="409"/>
      <c r="AA322" s="373"/>
    </row>
    <row r="323" spans="1:42" ht="20.100000000000001" hidden="1" customHeight="1" x14ac:dyDescent="0.2">
      <c r="A323" s="26">
        <v>20</v>
      </c>
      <c r="B323" s="74" t="s">
        <v>511</v>
      </c>
      <c r="C323" s="39" t="s">
        <v>363</v>
      </c>
      <c r="D323" s="172"/>
      <c r="E323" s="172"/>
      <c r="F323" s="172"/>
      <c r="G323" s="172"/>
      <c r="H323" s="172"/>
      <c r="I323" s="172"/>
      <c r="J323" s="172"/>
      <c r="K323" s="172">
        <f>-15891</f>
        <v>-15891</v>
      </c>
      <c r="L323" s="172"/>
      <c r="M323" s="172"/>
      <c r="N323" s="172"/>
      <c r="O323" s="172"/>
      <c r="P323" s="172"/>
      <c r="Q323" s="172">
        <f>15891</f>
        <v>15891</v>
      </c>
      <c r="R323" s="172">
        <f t="shared" si="31"/>
        <v>0</v>
      </c>
      <c r="S323" s="172"/>
      <c r="T323" s="172"/>
      <c r="U323" s="172"/>
      <c r="V323" s="172"/>
      <c r="W323" s="172"/>
      <c r="X323" s="173">
        <f t="shared" si="29"/>
        <v>0</v>
      </c>
      <c r="Y323" s="247">
        <f t="shared" si="30"/>
        <v>0</v>
      </c>
      <c r="Z323" s="409"/>
      <c r="AA323" s="373"/>
    </row>
    <row r="324" spans="1:42" ht="20.100000000000001" hidden="1" customHeight="1" x14ac:dyDescent="0.2">
      <c r="A324" s="26">
        <v>21</v>
      </c>
      <c r="B324" s="74" t="s">
        <v>516</v>
      </c>
      <c r="C324" s="39" t="s">
        <v>242</v>
      </c>
      <c r="D324" s="172"/>
      <c r="E324" s="172"/>
      <c r="F324" s="172"/>
      <c r="G324" s="172"/>
      <c r="H324" s="172"/>
      <c r="I324" s="172"/>
      <c r="J324" s="172">
        <f>80</f>
        <v>80</v>
      </c>
      <c r="K324" s="172">
        <f>-80</f>
        <v>-80</v>
      </c>
      <c r="L324" s="172"/>
      <c r="M324" s="172"/>
      <c r="N324" s="172"/>
      <c r="O324" s="172"/>
      <c r="P324" s="172"/>
      <c r="Q324" s="172"/>
      <c r="R324" s="172">
        <f t="shared" si="31"/>
        <v>0</v>
      </c>
      <c r="S324" s="172"/>
      <c r="T324" s="172"/>
      <c r="U324" s="172"/>
      <c r="V324" s="172"/>
      <c r="W324" s="172"/>
      <c r="X324" s="173">
        <f t="shared" si="29"/>
        <v>0</v>
      </c>
      <c r="Y324" s="247">
        <f t="shared" si="30"/>
        <v>0</v>
      </c>
      <c r="Z324" s="409"/>
      <c r="AA324" s="373"/>
    </row>
    <row r="325" spans="1:42" ht="20.100000000000001" hidden="1" customHeight="1" x14ac:dyDescent="0.2">
      <c r="A325" s="26">
        <v>22</v>
      </c>
      <c r="B325" s="74" t="s">
        <v>362</v>
      </c>
      <c r="C325" s="39" t="s">
        <v>363</v>
      </c>
      <c r="D325" s="172"/>
      <c r="E325" s="172"/>
      <c r="F325" s="172"/>
      <c r="G325" s="172"/>
      <c r="H325" s="172"/>
      <c r="I325" s="172"/>
      <c r="J325" s="172">
        <f>-47465</f>
        <v>-47465</v>
      </c>
      <c r="K325" s="172"/>
      <c r="L325" s="172"/>
      <c r="M325" s="172"/>
      <c r="N325" s="172"/>
      <c r="O325" s="172"/>
      <c r="P325" s="172"/>
      <c r="Q325" s="172">
        <f>47465</f>
        <v>47465</v>
      </c>
      <c r="R325" s="172">
        <f t="shared" si="31"/>
        <v>0</v>
      </c>
      <c r="S325" s="172"/>
      <c r="T325" s="172"/>
      <c r="U325" s="172"/>
      <c r="V325" s="172"/>
      <c r="W325" s="172"/>
      <c r="X325" s="173">
        <f t="shared" si="29"/>
        <v>0</v>
      </c>
      <c r="Y325" s="247">
        <f t="shared" si="30"/>
        <v>0</v>
      </c>
      <c r="Z325" s="409"/>
      <c r="AA325" s="373"/>
    </row>
    <row r="326" spans="1:42" ht="20.100000000000001" hidden="1" customHeight="1" x14ac:dyDescent="0.2">
      <c r="A326" s="26">
        <v>23</v>
      </c>
      <c r="B326" s="74" t="s">
        <v>522</v>
      </c>
      <c r="C326" s="39" t="s">
        <v>518</v>
      </c>
      <c r="D326" s="172"/>
      <c r="E326" s="172"/>
      <c r="F326" s="172"/>
      <c r="G326" s="172"/>
      <c r="H326" s="172"/>
      <c r="I326" s="172"/>
      <c r="J326" s="172"/>
      <c r="K326" s="172"/>
      <c r="L326" s="172"/>
      <c r="M326" s="172"/>
      <c r="N326" s="172"/>
      <c r="O326" s="172"/>
      <c r="P326" s="172"/>
      <c r="Q326" s="172"/>
      <c r="R326" s="172">
        <f t="shared" si="31"/>
        <v>0</v>
      </c>
      <c r="S326" s="172"/>
      <c r="T326" s="172"/>
      <c r="U326" s="172"/>
      <c r="V326" s="172"/>
      <c r="W326" s="172"/>
      <c r="X326" s="173">
        <f t="shared" si="29"/>
        <v>0</v>
      </c>
      <c r="Y326" s="247">
        <f t="shared" si="30"/>
        <v>0</v>
      </c>
      <c r="Z326" s="409">
        <f>6534.277</f>
        <v>6534.277</v>
      </c>
      <c r="AA326" s="373"/>
    </row>
    <row r="327" spans="1:42" ht="20.100000000000001" hidden="1" customHeight="1" x14ac:dyDescent="0.2">
      <c r="A327" s="26">
        <v>24</v>
      </c>
      <c r="B327" s="74" t="s">
        <v>522</v>
      </c>
      <c r="C327" s="39" t="s">
        <v>523</v>
      </c>
      <c r="D327" s="172"/>
      <c r="E327" s="172"/>
      <c r="F327" s="172"/>
      <c r="G327" s="172"/>
      <c r="H327" s="172"/>
      <c r="I327" s="172"/>
      <c r="J327" s="172"/>
      <c r="K327" s="172"/>
      <c r="L327" s="172"/>
      <c r="M327" s="172"/>
      <c r="N327" s="172"/>
      <c r="O327" s="172"/>
      <c r="P327" s="172"/>
      <c r="Q327" s="172"/>
      <c r="R327" s="172">
        <f t="shared" si="31"/>
        <v>0</v>
      </c>
      <c r="S327" s="172"/>
      <c r="T327" s="172"/>
      <c r="U327" s="172"/>
      <c r="V327" s="172"/>
      <c r="W327" s="172"/>
      <c r="X327" s="173">
        <f t="shared" si="29"/>
        <v>0</v>
      </c>
      <c r="Y327" s="247">
        <f t="shared" si="30"/>
        <v>0</v>
      </c>
      <c r="Z327" s="409">
        <f>4758.436</f>
        <v>4758.4359999999997</v>
      </c>
      <c r="AA327" s="373"/>
    </row>
    <row r="328" spans="1:42" ht="20.100000000000001" hidden="1" customHeight="1" x14ac:dyDescent="0.2">
      <c r="A328" s="26">
        <v>25</v>
      </c>
      <c r="B328" s="74" t="s">
        <v>524</v>
      </c>
      <c r="C328" s="39" t="s">
        <v>200</v>
      </c>
      <c r="D328" s="172"/>
      <c r="E328" s="172"/>
      <c r="F328" s="172">
        <f>-35-9</f>
        <v>-44</v>
      </c>
      <c r="G328" s="172"/>
      <c r="H328" s="172"/>
      <c r="I328" s="172"/>
      <c r="J328" s="172"/>
      <c r="K328" s="172"/>
      <c r="L328" s="172"/>
      <c r="M328" s="172"/>
      <c r="N328" s="172"/>
      <c r="O328" s="172"/>
      <c r="P328" s="172"/>
      <c r="Q328" s="172"/>
      <c r="R328" s="172">
        <f t="shared" si="31"/>
        <v>-44</v>
      </c>
      <c r="S328" s="172"/>
      <c r="T328" s="172"/>
      <c r="U328" s="172"/>
      <c r="V328" s="172"/>
      <c r="W328" s="172"/>
      <c r="X328" s="173">
        <f t="shared" si="29"/>
        <v>0</v>
      </c>
      <c r="Y328" s="247">
        <f t="shared" si="30"/>
        <v>-44</v>
      </c>
      <c r="Z328" s="409">
        <f>44</f>
        <v>44</v>
      </c>
      <c r="AA328" s="373"/>
    </row>
    <row r="329" spans="1:42" ht="20.100000000000001" hidden="1" customHeight="1" x14ac:dyDescent="0.2">
      <c r="A329" s="26">
        <v>26</v>
      </c>
      <c r="B329" s="74" t="s">
        <v>517</v>
      </c>
      <c r="C329" s="39" t="s">
        <v>518</v>
      </c>
      <c r="D329" s="172"/>
      <c r="E329" s="172"/>
      <c r="F329" s="172"/>
      <c r="G329" s="172"/>
      <c r="H329" s="172"/>
      <c r="I329" s="172"/>
      <c r="J329" s="172"/>
      <c r="K329" s="172"/>
      <c r="L329" s="172"/>
      <c r="M329" s="172"/>
      <c r="N329" s="172"/>
      <c r="O329" s="172"/>
      <c r="P329" s="172"/>
      <c r="Q329" s="172"/>
      <c r="R329" s="172">
        <f t="shared" si="31"/>
        <v>0</v>
      </c>
      <c r="S329" s="172"/>
      <c r="T329" s="172"/>
      <c r="U329" s="172"/>
      <c r="V329" s="172"/>
      <c r="W329" s="172"/>
      <c r="X329" s="173">
        <f t="shared" si="29"/>
        <v>0</v>
      </c>
      <c r="Y329" s="247">
        <f t="shared" si="30"/>
        <v>0</v>
      </c>
      <c r="Z329" s="409">
        <f>2699.131</f>
        <v>2699.1309999999999</v>
      </c>
      <c r="AA329" s="373"/>
    </row>
    <row r="330" spans="1:42" ht="20.100000000000001" hidden="1" customHeight="1" x14ac:dyDescent="0.2">
      <c r="A330" s="26">
        <v>27</v>
      </c>
      <c r="B330" s="74" t="s">
        <v>520</v>
      </c>
      <c r="C330" s="39" t="s">
        <v>521</v>
      </c>
      <c r="D330" s="172"/>
      <c r="E330" s="172"/>
      <c r="F330" s="172"/>
      <c r="G330" s="172"/>
      <c r="H330" s="172"/>
      <c r="I330" s="172"/>
      <c r="J330" s="172">
        <f>630</f>
        <v>630</v>
      </c>
      <c r="K330" s="172">
        <f>-630</f>
        <v>-630</v>
      </c>
      <c r="L330" s="172"/>
      <c r="M330" s="172"/>
      <c r="N330" s="172"/>
      <c r="O330" s="172"/>
      <c r="P330" s="172"/>
      <c r="Q330" s="172"/>
      <c r="R330" s="172">
        <f t="shared" si="31"/>
        <v>0</v>
      </c>
      <c r="S330" s="172"/>
      <c r="T330" s="172"/>
      <c r="U330" s="172"/>
      <c r="V330" s="172"/>
      <c r="W330" s="172"/>
      <c r="X330" s="173">
        <f t="shared" si="29"/>
        <v>0</v>
      </c>
      <c r="Y330" s="247">
        <f t="shared" si="30"/>
        <v>0</v>
      </c>
      <c r="Z330" s="409"/>
      <c r="AA330" s="373"/>
    </row>
    <row r="331" spans="1:42" ht="20.100000000000001" hidden="1" customHeight="1" x14ac:dyDescent="0.2">
      <c r="A331" s="26">
        <v>28</v>
      </c>
      <c r="B331" s="74" t="s">
        <v>527</v>
      </c>
      <c r="C331" s="39" t="s">
        <v>528</v>
      </c>
      <c r="D331" s="172"/>
      <c r="E331" s="172"/>
      <c r="F331" s="172">
        <f>825+223</f>
        <v>1048</v>
      </c>
      <c r="G331" s="172"/>
      <c r="H331" s="172"/>
      <c r="I331" s="172"/>
      <c r="J331" s="172"/>
      <c r="K331" s="172"/>
      <c r="L331" s="172">
        <f>-825-223</f>
        <v>-1048</v>
      </c>
      <c r="M331" s="172"/>
      <c r="N331" s="172"/>
      <c r="O331" s="172"/>
      <c r="P331" s="172"/>
      <c r="Q331" s="172"/>
      <c r="R331" s="172">
        <f t="shared" si="31"/>
        <v>0</v>
      </c>
      <c r="S331" s="172"/>
      <c r="T331" s="172"/>
      <c r="U331" s="172"/>
      <c r="V331" s="172"/>
      <c r="W331" s="172"/>
      <c r="X331" s="173">
        <f t="shared" si="29"/>
        <v>0</v>
      </c>
      <c r="Y331" s="247">
        <f t="shared" si="30"/>
        <v>0</v>
      </c>
      <c r="Z331" s="409"/>
      <c r="AA331" s="373"/>
    </row>
    <row r="332" spans="1:42" ht="20.100000000000001" hidden="1" customHeight="1" x14ac:dyDescent="0.2">
      <c r="A332" s="612">
        <v>29</v>
      </c>
      <c r="B332" s="613" t="s">
        <v>525</v>
      </c>
      <c r="C332" s="39" t="s">
        <v>526</v>
      </c>
      <c r="D332" s="172"/>
      <c r="E332" s="172"/>
      <c r="F332" s="172">
        <f>-2760.497</f>
        <v>-2760.4969999999998</v>
      </c>
      <c r="G332" s="172"/>
      <c r="H332" s="172"/>
      <c r="I332" s="172"/>
      <c r="J332" s="172"/>
      <c r="K332" s="172"/>
      <c r="L332" s="172"/>
      <c r="M332" s="172"/>
      <c r="N332" s="172"/>
      <c r="O332" s="172"/>
      <c r="P332" s="172"/>
      <c r="Q332" s="172"/>
      <c r="R332" s="172">
        <f t="shared" si="31"/>
        <v>-2760.4969999999998</v>
      </c>
      <c r="S332" s="172"/>
      <c r="T332" s="172"/>
      <c r="U332" s="172"/>
      <c r="V332" s="172"/>
      <c r="W332" s="172"/>
      <c r="X332" s="173">
        <f t="shared" si="29"/>
        <v>0</v>
      </c>
      <c r="Y332" s="247">
        <f t="shared" si="30"/>
        <v>-2760.4969999999998</v>
      </c>
      <c r="Z332" s="409">
        <f>2760.497</f>
        <v>2760.4969999999998</v>
      </c>
      <c r="AA332" s="373"/>
    </row>
    <row r="333" spans="1:42" ht="20.100000000000001" hidden="1" customHeight="1" x14ac:dyDescent="0.2">
      <c r="A333" s="26"/>
      <c r="B333" s="74"/>
      <c r="C333" s="39"/>
      <c r="D333" s="172"/>
      <c r="E333" s="172"/>
      <c r="F333" s="172"/>
      <c r="G333" s="172"/>
      <c r="H333" s="172"/>
      <c r="I333" s="172"/>
      <c r="J333" s="172"/>
      <c r="K333" s="172"/>
      <c r="L333" s="172"/>
      <c r="M333" s="172"/>
      <c r="N333" s="172"/>
      <c r="O333" s="172"/>
      <c r="P333" s="172"/>
      <c r="Q333" s="172"/>
      <c r="R333" s="172">
        <f t="shared" si="31"/>
        <v>0</v>
      </c>
      <c r="S333" s="172"/>
      <c r="T333" s="172"/>
      <c r="U333" s="172"/>
      <c r="V333" s="172"/>
      <c r="W333" s="172"/>
      <c r="X333" s="173">
        <f t="shared" si="29"/>
        <v>0</v>
      </c>
      <c r="Y333" s="247">
        <f t="shared" si="30"/>
        <v>0</v>
      </c>
      <c r="Z333" s="409"/>
      <c r="AA333" s="373"/>
    </row>
    <row r="334" spans="1:42" ht="20.100000000000001" hidden="1" customHeight="1" x14ac:dyDescent="0.2">
      <c r="A334" s="26"/>
      <c r="B334" s="74"/>
      <c r="C334" s="39"/>
      <c r="D334" s="172"/>
      <c r="E334" s="172"/>
      <c r="F334" s="172"/>
      <c r="G334" s="172"/>
      <c r="H334" s="172"/>
      <c r="I334" s="172"/>
      <c r="J334" s="172"/>
      <c r="K334" s="172"/>
      <c r="L334" s="172"/>
      <c r="M334" s="172"/>
      <c r="N334" s="172"/>
      <c r="O334" s="172"/>
      <c r="P334" s="172"/>
      <c r="Q334" s="172"/>
      <c r="R334" s="172">
        <f t="shared" si="31"/>
        <v>0</v>
      </c>
      <c r="S334" s="172"/>
      <c r="T334" s="172"/>
      <c r="U334" s="172"/>
      <c r="V334" s="172"/>
      <c r="W334" s="172"/>
      <c r="X334" s="173">
        <f t="shared" si="29"/>
        <v>0</v>
      </c>
      <c r="Y334" s="247">
        <f t="shared" si="30"/>
        <v>0</v>
      </c>
      <c r="Z334" s="409"/>
      <c r="AA334" s="373"/>
    </row>
    <row r="335" spans="1:42" ht="20.100000000000001" hidden="1" customHeight="1" x14ac:dyDescent="0.2">
      <c r="A335" s="26"/>
      <c r="B335" s="74"/>
      <c r="C335" s="39"/>
      <c r="D335" s="172"/>
      <c r="E335" s="172"/>
      <c r="F335" s="172"/>
      <c r="G335" s="172"/>
      <c r="H335" s="172"/>
      <c r="I335" s="172"/>
      <c r="J335" s="172"/>
      <c r="K335" s="172"/>
      <c r="L335" s="172"/>
      <c r="M335" s="172"/>
      <c r="N335" s="172"/>
      <c r="O335" s="172"/>
      <c r="P335" s="172"/>
      <c r="Q335" s="172"/>
      <c r="R335" s="172">
        <f t="shared" si="31"/>
        <v>0</v>
      </c>
      <c r="S335" s="172"/>
      <c r="T335" s="172"/>
      <c r="U335" s="172"/>
      <c r="V335" s="172"/>
      <c r="W335" s="172"/>
      <c r="X335" s="173">
        <f t="shared" si="29"/>
        <v>0</v>
      </c>
      <c r="Y335" s="247">
        <f t="shared" si="30"/>
        <v>0</v>
      </c>
      <c r="Z335" s="409"/>
      <c r="AA335" s="373"/>
    </row>
    <row r="336" spans="1:42" ht="20.100000000000001" hidden="1" customHeight="1" x14ac:dyDescent="0.2">
      <c r="A336" s="26"/>
      <c r="B336" s="74"/>
      <c r="C336" s="39"/>
      <c r="D336" s="172"/>
      <c r="E336" s="172"/>
      <c r="F336" s="172"/>
      <c r="G336" s="172"/>
      <c r="H336" s="172"/>
      <c r="I336" s="172"/>
      <c r="J336" s="172"/>
      <c r="K336" s="172"/>
      <c r="L336" s="172"/>
      <c r="M336" s="172"/>
      <c r="N336" s="172"/>
      <c r="O336" s="172"/>
      <c r="P336" s="172"/>
      <c r="Q336" s="172"/>
      <c r="R336" s="172">
        <f t="shared" si="31"/>
        <v>0</v>
      </c>
      <c r="S336" s="172"/>
      <c r="T336" s="172"/>
      <c r="U336" s="172"/>
      <c r="V336" s="172"/>
      <c r="W336" s="172"/>
      <c r="X336" s="173">
        <f t="shared" si="29"/>
        <v>0</v>
      </c>
      <c r="Y336" s="247">
        <f t="shared" si="30"/>
        <v>0</v>
      </c>
      <c r="Z336" s="409"/>
      <c r="AA336" s="373"/>
    </row>
    <row r="337" spans="1:27" ht="20.100000000000001" hidden="1" customHeight="1" x14ac:dyDescent="0.2">
      <c r="A337" s="26"/>
      <c r="B337" s="74"/>
      <c r="C337" s="39"/>
      <c r="D337" s="172"/>
      <c r="E337" s="172"/>
      <c r="F337" s="172"/>
      <c r="G337" s="172"/>
      <c r="H337" s="172"/>
      <c r="I337" s="172"/>
      <c r="J337" s="172"/>
      <c r="K337" s="172"/>
      <c r="L337" s="172"/>
      <c r="M337" s="172"/>
      <c r="N337" s="172"/>
      <c r="O337" s="172"/>
      <c r="P337" s="172"/>
      <c r="Q337" s="172"/>
      <c r="R337" s="172">
        <f t="shared" si="31"/>
        <v>0</v>
      </c>
      <c r="S337" s="172"/>
      <c r="T337" s="172"/>
      <c r="U337" s="172"/>
      <c r="V337" s="172"/>
      <c r="W337" s="172"/>
      <c r="X337" s="173">
        <f t="shared" si="29"/>
        <v>0</v>
      </c>
      <c r="Y337" s="247">
        <f t="shared" si="30"/>
        <v>0</v>
      </c>
      <c r="Z337" s="409"/>
      <c r="AA337" s="373"/>
    </row>
    <row r="338" spans="1:27" ht="20.100000000000001" hidden="1" customHeight="1" x14ac:dyDescent="0.2">
      <c r="A338" s="26"/>
      <c r="B338" s="74"/>
      <c r="C338" s="39"/>
      <c r="D338" s="172"/>
      <c r="E338" s="172"/>
      <c r="F338" s="172"/>
      <c r="G338" s="172"/>
      <c r="H338" s="172"/>
      <c r="I338" s="172"/>
      <c r="J338" s="172"/>
      <c r="K338" s="172"/>
      <c r="L338" s="172"/>
      <c r="M338" s="172"/>
      <c r="N338" s="172"/>
      <c r="O338" s="172"/>
      <c r="P338" s="172"/>
      <c r="Q338" s="172"/>
      <c r="R338" s="172">
        <f t="shared" si="31"/>
        <v>0</v>
      </c>
      <c r="S338" s="172"/>
      <c r="T338" s="172"/>
      <c r="U338" s="172"/>
      <c r="V338" s="172"/>
      <c r="W338" s="172"/>
      <c r="X338" s="173">
        <f t="shared" si="29"/>
        <v>0</v>
      </c>
      <c r="Y338" s="247">
        <f t="shared" si="30"/>
        <v>0</v>
      </c>
      <c r="Z338" s="409"/>
      <c r="AA338" s="373"/>
    </row>
    <row r="339" spans="1:27" ht="20.100000000000001" hidden="1" customHeight="1" x14ac:dyDescent="0.2">
      <c r="A339" s="26"/>
      <c r="B339" s="74"/>
      <c r="C339" s="39"/>
      <c r="D339" s="172"/>
      <c r="E339" s="172"/>
      <c r="F339" s="172"/>
      <c r="G339" s="172"/>
      <c r="H339" s="172"/>
      <c r="I339" s="172"/>
      <c r="J339" s="172"/>
      <c r="K339" s="172"/>
      <c r="L339" s="172"/>
      <c r="M339" s="172"/>
      <c r="N339" s="172"/>
      <c r="O339" s="172"/>
      <c r="P339" s="172"/>
      <c r="Q339" s="172"/>
      <c r="R339" s="172">
        <f t="shared" si="31"/>
        <v>0</v>
      </c>
      <c r="S339" s="172"/>
      <c r="T339" s="172"/>
      <c r="U339" s="172"/>
      <c r="V339" s="172"/>
      <c r="W339" s="172"/>
      <c r="X339" s="173">
        <f t="shared" si="29"/>
        <v>0</v>
      </c>
      <c r="Y339" s="247">
        <f t="shared" si="30"/>
        <v>0</v>
      </c>
      <c r="Z339" s="409"/>
      <c r="AA339" s="373"/>
    </row>
    <row r="340" spans="1:27" ht="20.100000000000001" hidden="1" customHeight="1" x14ac:dyDescent="0.2">
      <c r="A340" s="26"/>
      <c r="B340" s="74"/>
      <c r="C340" s="39"/>
      <c r="D340" s="172"/>
      <c r="E340" s="172"/>
      <c r="F340" s="172"/>
      <c r="G340" s="172"/>
      <c r="H340" s="172"/>
      <c r="I340" s="172"/>
      <c r="J340" s="172"/>
      <c r="K340" s="172"/>
      <c r="L340" s="172"/>
      <c r="M340" s="172"/>
      <c r="N340" s="172"/>
      <c r="O340" s="172"/>
      <c r="P340" s="172"/>
      <c r="Q340" s="172"/>
      <c r="R340" s="172">
        <f t="shared" si="31"/>
        <v>0</v>
      </c>
      <c r="S340" s="172"/>
      <c r="T340" s="172"/>
      <c r="U340" s="172"/>
      <c r="V340" s="172"/>
      <c r="W340" s="172"/>
      <c r="X340" s="173">
        <f t="shared" si="29"/>
        <v>0</v>
      </c>
      <c r="Y340" s="247">
        <f t="shared" si="30"/>
        <v>0</v>
      </c>
      <c r="Z340" s="409"/>
      <c r="AA340" s="373"/>
    </row>
    <row r="341" spans="1:27" ht="20.100000000000001" hidden="1" customHeight="1" x14ac:dyDescent="0.2">
      <c r="A341" s="26"/>
      <c r="B341" s="74"/>
      <c r="C341" s="39"/>
      <c r="D341" s="172"/>
      <c r="E341" s="172"/>
      <c r="F341" s="172"/>
      <c r="G341" s="172"/>
      <c r="H341" s="172"/>
      <c r="I341" s="172"/>
      <c r="J341" s="172"/>
      <c r="K341" s="172"/>
      <c r="L341" s="172"/>
      <c r="M341" s="172"/>
      <c r="N341" s="172"/>
      <c r="O341" s="172"/>
      <c r="P341" s="172"/>
      <c r="Q341" s="172"/>
      <c r="R341" s="172">
        <f t="shared" si="31"/>
        <v>0</v>
      </c>
      <c r="S341" s="172"/>
      <c r="T341" s="172"/>
      <c r="U341" s="172"/>
      <c r="V341" s="172"/>
      <c r="W341" s="172"/>
      <c r="X341" s="173">
        <f t="shared" si="29"/>
        <v>0</v>
      </c>
      <c r="Y341" s="247">
        <f t="shared" si="30"/>
        <v>0</v>
      </c>
      <c r="Z341" s="409"/>
      <c r="AA341" s="373"/>
    </row>
    <row r="342" spans="1:27" ht="20.100000000000001" hidden="1" customHeight="1" x14ac:dyDescent="0.2">
      <c r="A342" s="26"/>
      <c r="B342" s="74"/>
      <c r="C342" s="39"/>
      <c r="D342" s="172"/>
      <c r="E342" s="172"/>
      <c r="F342" s="172"/>
      <c r="G342" s="172"/>
      <c r="H342" s="172"/>
      <c r="I342" s="172"/>
      <c r="J342" s="172"/>
      <c r="K342" s="172"/>
      <c r="L342" s="172"/>
      <c r="M342" s="172"/>
      <c r="N342" s="172"/>
      <c r="O342" s="172"/>
      <c r="P342" s="172"/>
      <c r="Q342" s="172"/>
      <c r="R342" s="172">
        <f t="shared" si="31"/>
        <v>0</v>
      </c>
      <c r="S342" s="172"/>
      <c r="T342" s="172"/>
      <c r="U342" s="172"/>
      <c r="V342" s="172"/>
      <c r="W342" s="172"/>
      <c r="X342" s="173">
        <f t="shared" si="29"/>
        <v>0</v>
      </c>
      <c r="Y342" s="247">
        <f t="shared" si="30"/>
        <v>0</v>
      </c>
      <c r="Z342" s="409"/>
      <c r="AA342" s="373"/>
    </row>
    <row r="343" spans="1:27" ht="20.100000000000001" hidden="1" customHeight="1" x14ac:dyDescent="0.2">
      <c r="A343" s="26"/>
      <c r="B343" s="74"/>
      <c r="C343" s="39"/>
      <c r="D343" s="172"/>
      <c r="E343" s="172"/>
      <c r="F343" s="172"/>
      <c r="G343" s="172"/>
      <c r="H343" s="172"/>
      <c r="I343" s="172"/>
      <c r="J343" s="172"/>
      <c r="K343" s="172"/>
      <c r="L343" s="172"/>
      <c r="M343" s="172"/>
      <c r="N343" s="172"/>
      <c r="O343" s="172"/>
      <c r="P343" s="172"/>
      <c r="Q343" s="172"/>
      <c r="R343" s="172">
        <f t="shared" si="31"/>
        <v>0</v>
      </c>
      <c r="S343" s="172"/>
      <c r="T343" s="172"/>
      <c r="U343" s="172"/>
      <c r="V343" s="172"/>
      <c r="W343" s="172"/>
      <c r="X343" s="173">
        <f t="shared" si="29"/>
        <v>0</v>
      </c>
      <c r="Y343" s="247">
        <f t="shared" si="30"/>
        <v>0</v>
      </c>
      <c r="Z343" s="409"/>
      <c r="AA343" s="373"/>
    </row>
    <row r="344" spans="1:27" ht="20.100000000000001" hidden="1" customHeight="1" x14ac:dyDescent="0.2">
      <c r="A344" s="26"/>
      <c r="B344" s="423"/>
      <c r="C344" s="39"/>
      <c r="D344" s="172"/>
      <c r="E344" s="172"/>
      <c r="F344" s="172"/>
      <c r="G344" s="172"/>
      <c r="H344" s="172"/>
      <c r="I344" s="172"/>
      <c r="J344" s="172"/>
      <c r="K344" s="172"/>
      <c r="L344" s="172"/>
      <c r="M344" s="172"/>
      <c r="N344" s="172"/>
      <c r="O344" s="172"/>
      <c r="P344" s="172"/>
      <c r="Q344" s="172"/>
      <c r="R344" s="172">
        <f t="shared" si="31"/>
        <v>0</v>
      </c>
      <c r="S344" s="172"/>
      <c r="T344" s="172"/>
      <c r="U344" s="172"/>
      <c r="V344" s="172"/>
      <c r="W344" s="172"/>
      <c r="X344" s="173">
        <f t="shared" si="29"/>
        <v>0</v>
      </c>
      <c r="Y344" s="247">
        <f t="shared" si="30"/>
        <v>0</v>
      </c>
      <c r="Z344" s="409"/>
      <c r="AA344" s="373"/>
    </row>
    <row r="345" spans="1:27" ht="20.100000000000001" hidden="1" customHeight="1" x14ac:dyDescent="0.2">
      <c r="A345" s="26"/>
      <c r="B345" s="74"/>
      <c r="C345" s="39"/>
      <c r="D345" s="172"/>
      <c r="E345" s="172"/>
      <c r="F345" s="172"/>
      <c r="G345" s="172"/>
      <c r="H345" s="172"/>
      <c r="I345" s="172"/>
      <c r="J345" s="172"/>
      <c r="K345" s="172"/>
      <c r="L345" s="172"/>
      <c r="M345" s="172"/>
      <c r="N345" s="172"/>
      <c r="O345" s="172"/>
      <c r="P345" s="172"/>
      <c r="Q345" s="172"/>
      <c r="R345" s="172">
        <f t="shared" si="31"/>
        <v>0</v>
      </c>
      <c r="S345" s="172"/>
      <c r="T345" s="172"/>
      <c r="U345" s="172"/>
      <c r="V345" s="172"/>
      <c r="W345" s="172"/>
      <c r="X345" s="173">
        <f t="shared" si="29"/>
        <v>0</v>
      </c>
      <c r="Y345" s="247">
        <f t="shared" si="30"/>
        <v>0</v>
      </c>
      <c r="Z345" s="409"/>
      <c r="AA345" s="373"/>
    </row>
    <row r="346" spans="1:27" ht="20.100000000000001" hidden="1" customHeight="1" x14ac:dyDescent="0.2">
      <c r="A346" s="26"/>
      <c r="B346" s="74"/>
      <c r="C346" s="39"/>
      <c r="D346" s="172"/>
      <c r="E346" s="172"/>
      <c r="F346" s="172"/>
      <c r="G346" s="172"/>
      <c r="H346" s="172"/>
      <c r="I346" s="172"/>
      <c r="J346" s="172"/>
      <c r="K346" s="172"/>
      <c r="L346" s="172"/>
      <c r="M346" s="172"/>
      <c r="N346" s="172"/>
      <c r="O346" s="172"/>
      <c r="P346" s="172"/>
      <c r="Q346" s="172"/>
      <c r="R346" s="172">
        <f t="shared" si="31"/>
        <v>0</v>
      </c>
      <c r="S346" s="172"/>
      <c r="T346" s="172"/>
      <c r="U346" s="172"/>
      <c r="V346" s="172"/>
      <c r="W346" s="172"/>
      <c r="X346" s="173">
        <f t="shared" si="29"/>
        <v>0</v>
      </c>
      <c r="Y346" s="247">
        <f t="shared" si="30"/>
        <v>0</v>
      </c>
      <c r="Z346" s="409"/>
      <c r="AA346" s="373"/>
    </row>
    <row r="347" spans="1:27" ht="20.100000000000001" hidden="1" customHeight="1" x14ac:dyDescent="0.2">
      <c r="A347" s="26"/>
      <c r="B347" s="74"/>
      <c r="C347" s="39"/>
      <c r="D347" s="172"/>
      <c r="E347" s="172"/>
      <c r="F347" s="172"/>
      <c r="G347" s="172"/>
      <c r="H347" s="172"/>
      <c r="I347" s="172"/>
      <c r="J347" s="172"/>
      <c r="K347" s="172"/>
      <c r="L347" s="172"/>
      <c r="M347" s="172"/>
      <c r="N347" s="172"/>
      <c r="O347" s="172"/>
      <c r="P347" s="172"/>
      <c r="Q347" s="172"/>
      <c r="R347" s="172">
        <f t="shared" si="31"/>
        <v>0</v>
      </c>
      <c r="S347" s="172"/>
      <c r="T347" s="172"/>
      <c r="U347" s="172"/>
      <c r="V347" s="172"/>
      <c r="W347" s="172"/>
      <c r="X347" s="173">
        <f t="shared" si="29"/>
        <v>0</v>
      </c>
      <c r="Y347" s="247">
        <f t="shared" si="30"/>
        <v>0</v>
      </c>
      <c r="Z347" s="409"/>
      <c r="AA347" s="373"/>
    </row>
    <row r="348" spans="1:27" ht="20.100000000000001" hidden="1" customHeight="1" x14ac:dyDescent="0.2">
      <c r="A348" s="26"/>
      <c r="B348" s="74"/>
      <c r="C348" s="39"/>
      <c r="D348" s="172"/>
      <c r="E348" s="172"/>
      <c r="F348" s="172"/>
      <c r="G348" s="172"/>
      <c r="H348" s="172"/>
      <c r="I348" s="172"/>
      <c r="J348" s="172"/>
      <c r="K348" s="172"/>
      <c r="L348" s="172"/>
      <c r="M348" s="172"/>
      <c r="N348" s="172"/>
      <c r="O348" s="172"/>
      <c r="P348" s="172"/>
      <c r="Q348" s="172"/>
      <c r="R348" s="172">
        <f t="shared" si="31"/>
        <v>0</v>
      </c>
      <c r="S348" s="172"/>
      <c r="T348" s="172"/>
      <c r="U348" s="172"/>
      <c r="V348" s="172"/>
      <c r="W348" s="172"/>
      <c r="X348" s="173">
        <f t="shared" si="29"/>
        <v>0</v>
      </c>
      <c r="Y348" s="247">
        <f t="shared" si="30"/>
        <v>0</v>
      </c>
      <c r="Z348" s="409"/>
      <c r="AA348" s="373"/>
    </row>
    <row r="349" spans="1:27" ht="20.100000000000001" hidden="1" customHeight="1" x14ac:dyDescent="0.2">
      <c r="A349" s="26"/>
      <c r="B349" s="74"/>
      <c r="C349" s="39"/>
      <c r="D349" s="172"/>
      <c r="E349" s="172"/>
      <c r="F349" s="172"/>
      <c r="G349" s="172"/>
      <c r="H349" s="172"/>
      <c r="I349" s="172"/>
      <c r="J349" s="172"/>
      <c r="K349" s="172"/>
      <c r="L349" s="172"/>
      <c r="M349" s="172"/>
      <c r="N349" s="172"/>
      <c r="O349" s="172"/>
      <c r="P349" s="172"/>
      <c r="Q349" s="172"/>
      <c r="R349" s="172">
        <f t="shared" si="31"/>
        <v>0</v>
      </c>
      <c r="S349" s="172"/>
      <c r="T349" s="172"/>
      <c r="U349" s="172"/>
      <c r="V349" s="172"/>
      <c r="W349" s="172"/>
      <c r="X349" s="173">
        <f t="shared" si="29"/>
        <v>0</v>
      </c>
      <c r="Y349" s="247">
        <f t="shared" si="30"/>
        <v>0</v>
      </c>
      <c r="Z349" s="409"/>
      <c r="AA349" s="373"/>
    </row>
    <row r="350" spans="1:27" ht="20.100000000000001" hidden="1" customHeight="1" x14ac:dyDescent="0.2">
      <c r="A350" s="26"/>
      <c r="B350" s="74"/>
      <c r="C350" s="39"/>
      <c r="D350" s="172"/>
      <c r="E350" s="172"/>
      <c r="F350" s="172"/>
      <c r="G350" s="172"/>
      <c r="H350" s="172"/>
      <c r="I350" s="172"/>
      <c r="J350" s="172"/>
      <c r="K350" s="172"/>
      <c r="L350" s="172"/>
      <c r="M350" s="172"/>
      <c r="N350" s="172"/>
      <c r="O350" s="172"/>
      <c r="P350" s="172"/>
      <c r="Q350" s="172"/>
      <c r="R350" s="172">
        <f t="shared" si="31"/>
        <v>0</v>
      </c>
      <c r="S350" s="172"/>
      <c r="T350" s="172"/>
      <c r="U350" s="172"/>
      <c r="V350" s="172"/>
      <c r="W350" s="172"/>
      <c r="X350" s="173">
        <f t="shared" si="29"/>
        <v>0</v>
      </c>
      <c r="Y350" s="247">
        <f t="shared" si="30"/>
        <v>0</v>
      </c>
      <c r="Z350" s="409"/>
      <c r="AA350" s="373"/>
    </row>
    <row r="351" spans="1:27" ht="20.100000000000001" hidden="1" customHeight="1" x14ac:dyDescent="0.2">
      <c r="A351" s="26"/>
      <c r="B351" s="74"/>
      <c r="C351" s="39"/>
      <c r="D351" s="172"/>
      <c r="E351" s="172"/>
      <c r="F351" s="172"/>
      <c r="G351" s="172"/>
      <c r="H351" s="172"/>
      <c r="I351" s="172"/>
      <c r="J351" s="172"/>
      <c r="K351" s="172"/>
      <c r="L351" s="172"/>
      <c r="M351" s="172"/>
      <c r="N351" s="172"/>
      <c r="O351" s="172"/>
      <c r="P351" s="172"/>
      <c r="Q351" s="172"/>
      <c r="R351" s="172">
        <f t="shared" si="31"/>
        <v>0</v>
      </c>
      <c r="S351" s="172"/>
      <c r="T351" s="172"/>
      <c r="U351" s="172"/>
      <c r="V351" s="172"/>
      <c r="W351" s="172"/>
      <c r="X351" s="173">
        <f t="shared" si="29"/>
        <v>0</v>
      </c>
      <c r="Y351" s="247">
        <f t="shared" si="30"/>
        <v>0</v>
      </c>
      <c r="Z351" s="409"/>
      <c r="AA351" s="373"/>
    </row>
    <row r="352" spans="1:27" ht="20.100000000000001" hidden="1" customHeight="1" x14ac:dyDescent="0.2">
      <c r="A352" s="26"/>
      <c r="B352" s="74"/>
      <c r="C352" s="39"/>
      <c r="D352" s="172"/>
      <c r="E352" s="172"/>
      <c r="F352" s="172"/>
      <c r="G352" s="172"/>
      <c r="H352" s="172"/>
      <c r="I352" s="172"/>
      <c r="J352" s="172"/>
      <c r="K352" s="172"/>
      <c r="L352" s="172"/>
      <c r="M352" s="172"/>
      <c r="N352" s="172"/>
      <c r="O352" s="172"/>
      <c r="P352" s="172"/>
      <c r="Q352" s="172"/>
      <c r="R352" s="172">
        <f t="shared" si="31"/>
        <v>0</v>
      </c>
      <c r="S352" s="172"/>
      <c r="T352" s="172"/>
      <c r="U352" s="172"/>
      <c r="V352" s="172"/>
      <c r="W352" s="172"/>
      <c r="X352" s="173">
        <f t="shared" si="29"/>
        <v>0</v>
      </c>
      <c r="Y352" s="247">
        <f t="shared" si="30"/>
        <v>0</v>
      </c>
      <c r="Z352" s="409"/>
      <c r="AA352" s="373"/>
    </row>
    <row r="353" spans="1:27" ht="20.100000000000001" hidden="1" customHeight="1" x14ac:dyDescent="0.2">
      <c r="A353" s="26"/>
      <c r="B353" s="74"/>
      <c r="C353" s="39"/>
      <c r="D353" s="172"/>
      <c r="E353" s="172"/>
      <c r="F353" s="172"/>
      <c r="G353" s="172"/>
      <c r="H353" s="172"/>
      <c r="I353" s="172"/>
      <c r="J353" s="172"/>
      <c r="L353" s="172"/>
      <c r="M353" s="172"/>
      <c r="N353" s="172"/>
      <c r="O353" s="172"/>
      <c r="P353" s="172"/>
      <c r="Q353" s="172"/>
      <c r="R353" s="172">
        <f t="shared" si="31"/>
        <v>0</v>
      </c>
      <c r="S353" s="172"/>
      <c r="T353" s="172"/>
      <c r="U353" s="172"/>
      <c r="V353" s="172"/>
      <c r="W353" s="172"/>
      <c r="X353" s="173">
        <f t="shared" si="29"/>
        <v>0</v>
      </c>
      <c r="Y353" s="247">
        <f t="shared" si="30"/>
        <v>0</v>
      </c>
      <c r="Z353" s="422"/>
      <c r="AA353" s="373"/>
    </row>
    <row r="354" spans="1:27" ht="20.100000000000001" hidden="1" customHeight="1" x14ac:dyDescent="0.2">
      <c r="A354" s="26"/>
      <c r="B354" s="302"/>
      <c r="C354" s="39"/>
      <c r="D354" s="172"/>
      <c r="E354" s="172"/>
      <c r="F354" s="172"/>
      <c r="G354" s="172"/>
      <c r="H354" s="172"/>
      <c r="I354" s="172"/>
      <c r="J354" s="172"/>
      <c r="L354" s="172"/>
      <c r="M354" s="172"/>
      <c r="N354" s="172"/>
      <c r="O354" s="172"/>
      <c r="P354" s="172"/>
      <c r="Q354" s="172"/>
      <c r="R354" s="172">
        <f t="shared" si="31"/>
        <v>0</v>
      </c>
      <c r="S354" s="172"/>
      <c r="T354" s="172"/>
      <c r="U354" s="172"/>
      <c r="V354" s="172"/>
      <c r="W354" s="172"/>
      <c r="X354" s="173">
        <f t="shared" si="29"/>
        <v>0</v>
      </c>
      <c r="Y354" s="247">
        <f t="shared" si="30"/>
        <v>0</v>
      </c>
      <c r="Z354" s="422"/>
      <c r="AA354" s="373"/>
    </row>
    <row r="355" spans="1:27" ht="20.100000000000001" hidden="1" customHeight="1" x14ac:dyDescent="0.2">
      <c r="A355" s="26"/>
      <c r="B355" s="74"/>
      <c r="C355" s="39"/>
      <c r="D355" s="172"/>
      <c r="E355" s="172"/>
      <c r="F355" s="172"/>
      <c r="G355" s="172"/>
      <c r="H355" s="172"/>
      <c r="I355" s="172"/>
      <c r="J355" s="172"/>
      <c r="L355" s="172"/>
      <c r="M355" s="172"/>
      <c r="N355" s="172"/>
      <c r="O355" s="172"/>
      <c r="P355" s="172"/>
      <c r="Q355" s="172"/>
      <c r="R355" s="172">
        <f t="shared" si="31"/>
        <v>0</v>
      </c>
      <c r="S355" s="172"/>
      <c r="T355" s="172"/>
      <c r="U355" s="172"/>
      <c r="V355" s="172"/>
      <c r="W355" s="172"/>
      <c r="X355" s="173">
        <f t="shared" si="29"/>
        <v>0</v>
      </c>
      <c r="Y355" s="247">
        <f t="shared" si="30"/>
        <v>0</v>
      </c>
      <c r="Z355" s="422"/>
      <c r="AA355" s="373"/>
    </row>
    <row r="356" spans="1:27" ht="20.100000000000001" hidden="1" customHeight="1" x14ac:dyDescent="0.2">
      <c r="A356" s="26"/>
      <c r="B356" s="74"/>
      <c r="C356" s="39"/>
      <c r="D356" s="172"/>
      <c r="E356" s="172"/>
      <c r="F356" s="172"/>
      <c r="G356" s="172"/>
      <c r="H356" s="172"/>
      <c r="I356" s="172"/>
      <c r="J356" s="172"/>
      <c r="K356" s="172"/>
      <c r="L356" s="172"/>
      <c r="M356" s="172"/>
      <c r="N356" s="172"/>
      <c r="O356" s="172"/>
      <c r="P356" s="172"/>
      <c r="Q356" s="172"/>
      <c r="R356" s="172">
        <f t="shared" si="31"/>
        <v>0</v>
      </c>
      <c r="S356" s="172"/>
      <c r="T356" s="172"/>
      <c r="U356" s="172"/>
      <c r="V356" s="172"/>
      <c r="W356" s="172"/>
      <c r="X356" s="173">
        <f t="shared" si="29"/>
        <v>0</v>
      </c>
      <c r="Y356" s="247">
        <f t="shared" si="30"/>
        <v>0</v>
      </c>
      <c r="Z356" s="422"/>
      <c r="AA356" s="373"/>
    </row>
    <row r="357" spans="1:27" ht="20.100000000000001" hidden="1" customHeight="1" x14ac:dyDescent="0.2">
      <c r="A357" s="26"/>
      <c r="B357" s="74"/>
      <c r="C357" s="39"/>
      <c r="D357" s="172"/>
      <c r="E357" s="172"/>
      <c r="F357" s="172"/>
      <c r="G357" s="172"/>
      <c r="H357" s="172"/>
      <c r="I357" s="172"/>
      <c r="J357" s="172"/>
      <c r="K357" s="172"/>
      <c r="L357" s="172"/>
      <c r="M357" s="172"/>
      <c r="N357" s="172"/>
      <c r="O357" s="172"/>
      <c r="P357" s="172"/>
      <c r="Q357" s="172"/>
      <c r="R357" s="172">
        <f t="shared" si="31"/>
        <v>0</v>
      </c>
      <c r="S357" s="172"/>
      <c r="T357" s="172"/>
      <c r="U357" s="172"/>
      <c r="V357" s="172"/>
      <c r="W357" s="172"/>
      <c r="X357" s="173">
        <f t="shared" si="29"/>
        <v>0</v>
      </c>
      <c r="Y357" s="247">
        <f t="shared" si="30"/>
        <v>0</v>
      </c>
      <c r="Z357" s="422"/>
      <c r="AA357" s="373"/>
    </row>
    <row r="358" spans="1:27" ht="20.100000000000001" hidden="1" customHeight="1" x14ac:dyDescent="0.2">
      <c r="A358" s="26"/>
      <c r="B358" s="74"/>
      <c r="C358" s="39"/>
      <c r="D358" s="172"/>
      <c r="E358" s="172"/>
      <c r="F358" s="172"/>
      <c r="G358" s="172"/>
      <c r="H358" s="172"/>
      <c r="I358" s="172"/>
      <c r="J358" s="172"/>
      <c r="K358" s="172"/>
      <c r="L358" s="172"/>
      <c r="M358" s="172"/>
      <c r="N358" s="172"/>
      <c r="O358" s="172"/>
      <c r="P358" s="172"/>
      <c r="Q358" s="172"/>
      <c r="R358" s="172">
        <f t="shared" si="31"/>
        <v>0</v>
      </c>
      <c r="S358" s="172"/>
      <c r="T358" s="172"/>
      <c r="U358" s="172"/>
      <c r="V358" s="172"/>
      <c r="W358" s="172"/>
      <c r="X358" s="173">
        <f t="shared" ref="X358:X382" si="36">SUM(T358:W358)</f>
        <v>0</v>
      </c>
      <c r="Y358" s="247">
        <f t="shared" ref="Y358:Y382" si="37">R358+X358</f>
        <v>0</v>
      </c>
      <c r="Z358" s="422"/>
      <c r="AA358" s="373"/>
    </row>
    <row r="359" spans="1:27" ht="20.100000000000001" hidden="1" customHeight="1" x14ac:dyDescent="0.2">
      <c r="A359" s="26"/>
      <c r="B359" s="74"/>
      <c r="C359" s="39"/>
      <c r="D359" s="172"/>
      <c r="E359" s="172"/>
      <c r="F359" s="172"/>
      <c r="G359" s="172"/>
      <c r="H359" s="172"/>
      <c r="I359" s="172"/>
      <c r="J359" s="172"/>
      <c r="K359" s="172"/>
      <c r="L359" s="172"/>
      <c r="M359" s="172"/>
      <c r="N359" s="172"/>
      <c r="O359" s="172"/>
      <c r="P359" s="172"/>
      <c r="Q359" s="172"/>
      <c r="R359" s="172">
        <f t="shared" si="31"/>
        <v>0</v>
      </c>
      <c r="S359" s="172"/>
      <c r="T359" s="172"/>
      <c r="U359" s="172"/>
      <c r="V359" s="172"/>
      <c r="W359" s="172"/>
      <c r="X359" s="173">
        <f t="shared" si="36"/>
        <v>0</v>
      </c>
      <c r="Y359" s="247">
        <f t="shared" si="37"/>
        <v>0</v>
      </c>
      <c r="Z359" s="422"/>
      <c r="AA359" s="373"/>
    </row>
    <row r="360" spans="1:27" ht="20.100000000000001" hidden="1" customHeight="1" x14ac:dyDescent="0.2">
      <c r="A360" s="26"/>
      <c r="B360" s="74"/>
      <c r="C360" s="39"/>
      <c r="D360" s="172"/>
      <c r="E360" s="172"/>
      <c r="F360" s="172"/>
      <c r="G360" s="172"/>
      <c r="H360" s="172"/>
      <c r="I360" s="172"/>
      <c r="J360" s="172"/>
      <c r="K360" s="172"/>
      <c r="L360" s="172"/>
      <c r="M360" s="172"/>
      <c r="N360" s="172"/>
      <c r="O360" s="172"/>
      <c r="P360" s="172"/>
      <c r="Q360" s="172"/>
      <c r="R360" s="172">
        <f t="shared" si="31"/>
        <v>0</v>
      </c>
      <c r="S360" s="172"/>
      <c r="T360" s="172"/>
      <c r="U360" s="172"/>
      <c r="V360" s="172"/>
      <c r="W360" s="172"/>
      <c r="X360" s="173">
        <f t="shared" si="36"/>
        <v>0</v>
      </c>
      <c r="Y360" s="247">
        <f t="shared" si="37"/>
        <v>0</v>
      </c>
      <c r="Z360" s="422"/>
      <c r="AA360" s="373"/>
    </row>
    <row r="361" spans="1:27" ht="20.100000000000001" hidden="1" customHeight="1" x14ac:dyDescent="0.2">
      <c r="A361" s="26"/>
      <c r="B361" s="74"/>
      <c r="C361" s="39"/>
      <c r="D361" s="172"/>
      <c r="E361" s="172"/>
      <c r="F361" s="172"/>
      <c r="G361" s="172"/>
      <c r="H361" s="172"/>
      <c r="I361" s="172"/>
      <c r="J361" s="172"/>
      <c r="K361" s="172"/>
      <c r="L361" s="172"/>
      <c r="M361" s="172"/>
      <c r="N361" s="172"/>
      <c r="O361" s="172"/>
      <c r="P361" s="172"/>
      <c r="Q361" s="172"/>
      <c r="R361" s="172">
        <f t="shared" si="31"/>
        <v>0</v>
      </c>
      <c r="S361" s="172"/>
      <c r="T361" s="172"/>
      <c r="U361" s="172"/>
      <c r="V361" s="172"/>
      <c r="W361" s="172"/>
      <c r="X361" s="173">
        <f t="shared" si="36"/>
        <v>0</v>
      </c>
      <c r="Y361" s="247">
        <f t="shared" si="37"/>
        <v>0</v>
      </c>
      <c r="Z361" s="422"/>
      <c r="AA361" s="373"/>
    </row>
    <row r="362" spans="1:27" ht="20.100000000000001" hidden="1" customHeight="1" x14ac:dyDescent="0.2">
      <c r="A362" s="26"/>
      <c r="B362" s="74"/>
      <c r="C362" s="39"/>
      <c r="D362" s="172"/>
      <c r="E362" s="172"/>
      <c r="F362" s="172"/>
      <c r="G362" s="172"/>
      <c r="H362" s="172"/>
      <c r="I362" s="172"/>
      <c r="J362" s="172"/>
      <c r="K362" s="172"/>
      <c r="L362" s="172"/>
      <c r="M362" s="172"/>
      <c r="N362" s="172"/>
      <c r="O362" s="172"/>
      <c r="P362" s="172"/>
      <c r="Q362" s="172"/>
      <c r="R362" s="172">
        <f t="shared" si="31"/>
        <v>0</v>
      </c>
      <c r="S362" s="172"/>
      <c r="T362" s="172"/>
      <c r="U362" s="172"/>
      <c r="V362" s="172"/>
      <c r="W362" s="172"/>
      <c r="X362" s="173">
        <f t="shared" si="36"/>
        <v>0</v>
      </c>
      <c r="Y362" s="247">
        <f t="shared" si="37"/>
        <v>0</v>
      </c>
      <c r="Z362" s="422"/>
      <c r="AA362" s="373"/>
    </row>
    <row r="363" spans="1:27" ht="20.100000000000001" hidden="1" customHeight="1" x14ac:dyDescent="0.2">
      <c r="A363" s="26"/>
      <c r="B363" s="74"/>
      <c r="C363" s="39"/>
      <c r="D363" s="172"/>
      <c r="E363" s="172"/>
      <c r="F363" s="172"/>
      <c r="G363" s="172"/>
      <c r="H363" s="172"/>
      <c r="I363" s="172"/>
      <c r="J363" s="172"/>
      <c r="K363" s="172"/>
      <c r="L363" s="172"/>
      <c r="M363" s="172"/>
      <c r="N363" s="172"/>
      <c r="O363" s="172"/>
      <c r="P363" s="172"/>
      <c r="Q363" s="172"/>
      <c r="R363" s="172">
        <f t="shared" si="31"/>
        <v>0</v>
      </c>
      <c r="S363" s="172"/>
      <c r="T363" s="172"/>
      <c r="U363" s="172"/>
      <c r="V363" s="172"/>
      <c r="W363" s="172"/>
      <c r="X363" s="173">
        <f t="shared" si="36"/>
        <v>0</v>
      </c>
      <c r="Y363" s="247">
        <f t="shared" si="37"/>
        <v>0</v>
      </c>
      <c r="Z363" s="422"/>
      <c r="AA363" s="373"/>
    </row>
    <row r="364" spans="1:27" ht="20.100000000000001" hidden="1" customHeight="1" x14ac:dyDescent="0.2">
      <c r="A364" s="26"/>
      <c r="B364" s="423"/>
      <c r="C364" s="39"/>
      <c r="D364" s="172"/>
      <c r="E364" s="172"/>
      <c r="F364" s="172"/>
      <c r="G364" s="172"/>
      <c r="H364" s="172"/>
      <c r="I364" s="172"/>
      <c r="J364" s="172"/>
      <c r="K364" s="172"/>
      <c r="L364" s="172"/>
      <c r="M364" s="172"/>
      <c r="N364" s="172"/>
      <c r="O364" s="172"/>
      <c r="P364" s="172"/>
      <c r="Q364" s="172"/>
      <c r="R364" s="172">
        <f t="shared" si="31"/>
        <v>0</v>
      </c>
      <c r="S364" s="172"/>
      <c r="T364" s="172"/>
      <c r="U364" s="172"/>
      <c r="V364" s="172"/>
      <c r="W364" s="172"/>
      <c r="X364" s="173">
        <f t="shared" si="36"/>
        <v>0</v>
      </c>
      <c r="Y364" s="247">
        <f t="shared" si="37"/>
        <v>0</v>
      </c>
      <c r="Z364" s="422"/>
      <c r="AA364" s="373"/>
    </row>
    <row r="365" spans="1:27" ht="20.100000000000001" hidden="1" customHeight="1" x14ac:dyDescent="0.2">
      <c r="A365" s="26"/>
      <c r="B365" s="423"/>
      <c r="C365" s="39"/>
      <c r="D365" s="172"/>
      <c r="E365" s="172"/>
      <c r="F365" s="172"/>
      <c r="G365" s="172"/>
      <c r="H365" s="172"/>
      <c r="I365" s="172"/>
      <c r="J365" s="172"/>
      <c r="K365" s="172"/>
      <c r="L365" s="172"/>
      <c r="M365" s="172"/>
      <c r="N365" s="172"/>
      <c r="O365" s="172"/>
      <c r="P365" s="172"/>
      <c r="Q365" s="172"/>
      <c r="R365" s="172">
        <f t="shared" ref="R365:R386" si="38">SUM(D365:Q365)</f>
        <v>0</v>
      </c>
      <c r="S365" s="172"/>
      <c r="T365" s="172"/>
      <c r="U365" s="172"/>
      <c r="V365" s="172"/>
      <c r="W365" s="172"/>
      <c r="X365" s="173">
        <f t="shared" si="36"/>
        <v>0</v>
      </c>
      <c r="Y365" s="247">
        <f t="shared" si="37"/>
        <v>0</v>
      </c>
      <c r="Z365" s="422"/>
      <c r="AA365" s="373"/>
    </row>
    <row r="366" spans="1:27" ht="20.100000000000001" hidden="1" customHeight="1" x14ac:dyDescent="0.2">
      <c r="A366" s="26"/>
      <c r="B366" s="74"/>
      <c r="C366" s="39"/>
      <c r="D366" s="172"/>
      <c r="E366" s="172"/>
      <c r="F366" s="172"/>
      <c r="G366" s="172"/>
      <c r="H366" s="172"/>
      <c r="I366" s="172"/>
      <c r="J366" s="172"/>
      <c r="K366" s="172"/>
      <c r="L366" s="172"/>
      <c r="M366" s="172"/>
      <c r="N366" s="172"/>
      <c r="O366" s="172"/>
      <c r="P366" s="172"/>
      <c r="Q366" s="172"/>
      <c r="R366" s="172">
        <f t="shared" si="38"/>
        <v>0</v>
      </c>
      <c r="S366" s="172"/>
      <c r="T366" s="172"/>
      <c r="U366" s="172"/>
      <c r="V366" s="172"/>
      <c r="W366" s="172"/>
      <c r="X366" s="173">
        <f t="shared" si="36"/>
        <v>0</v>
      </c>
      <c r="Y366" s="247">
        <f t="shared" si="37"/>
        <v>0</v>
      </c>
      <c r="Z366" s="409"/>
      <c r="AA366" s="373"/>
    </row>
    <row r="367" spans="1:27" ht="20.100000000000001" hidden="1" customHeight="1" x14ac:dyDescent="0.2">
      <c r="A367" s="26"/>
      <c r="B367" s="74"/>
      <c r="C367" s="39"/>
      <c r="D367" s="172"/>
      <c r="E367" s="172"/>
      <c r="F367" s="172"/>
      <c r="G367" s="172"/>
      <c r="H367" s="172"/>
      <c r="I367" s="172"/>
      <c r="K367" s="172"/>
      <c r="L367" s="172"/>
      <c r="M367" s="172"/>
      <c r="N367" s="172"/>
      <c r="O367" s="172"/>
      <c r="P367" s="172"/>
      <c r="Q367" s="172"/>
      <c r="R367" s="172">
        <f t="shared" si="38"/>
        <v>0</v>
      </c>
      <c r="S367" s="172"/>
      <c r="T367" s="172"/>
      <c r="U367" s="172"/>
      <c r="V367" s="172"/>
      <c r="W367" s="172"/>
      <c r="X367" s="173">
        <f t="shared" si="36"/>
        <v>0</v>
      </c>
      <c r="Y367" s="247">
        <f t="shared" si="37"/>
        <v>0</v>
      </c>
      <c r="Z367" s="409"/>
      <c r="AA367" s="373"/>
    </row>
    <row r="368" spans="1:27" ht="20.100000000000001" hidden="1" customHeight="1" x14ac:dyDescent="0.2">
      <c r="A368" s="26"/>
      <c r="B368" s="74"/>
      <c r="C368" s="39"/>
      <c r="D368" s="172"/>
      <c r="E368" s="172"/>
      <c r="F368" s="172"/>
      <c r="G368" s="172"/>
      <c r="H368" s="172"/>
      <c r="I368" s="172"/>
      <c r="J368" s="172"/>
      <c r="K368" s="172"/>
      <c r="L368" s="172"/>
      <c r="M368" s="172"/>
      <c r="N368" s="172"/>
      <c r="O368" s="172"/>
      <c r="P368" s="172"/>
      <c r="Q368" s="172"/>
      <c r="R368" s="172">
        <f t="shared" si="38"/>
        <v>0</v>
      </c>
      <c r="S368" s="172"/>
      <c r="T368" s="172"/>
      <c r="U368" s="172"/>
      <c r="V368" s="172"/>
      <c r="W368" s="172"/>
      <c r="X368" s="173">
        <f t="shared" si="36"/>
        <v>0</v>
      </c>
      <c r="Y368" s="247">
        <f t="shared" si="37"/>
        <v>0</v>
      </c>
      <c r="Z368" s="409"/>
      <c r="AA368" s="373"/>
    </row>
    <row r="369" spans="1:27" ht="20.100000000000001" hidden="1" customHeight="1" x14ac:dyDescent="0.2">
      <c r="A369" s="26"/>
      <c r="B369" s="423"/>
      <c r="C369" s="39"/>
      <c r="D369" s="172"/>
      <c r="E369" s="172"/>
      <c r="F369" s="172"/>
      <c r="G369" s="172"/>
      <c r="H369" s="172"/>
      <c r="I369" s="172"/>
      <c r="J369" s="172"/>
      <c r="K369" s="172"/>
      <c r="L369" s="172"/>
      <c r="M369" s="172"/>
      <c r="N369" s="172"/>
      <c r="O369" s="172"/>
      <c r="P369" s="172"/>
      <c r="Q369" s="172"/>
      <c r="R369" s="172">
        <f t="shared" si="38"/>
        <v>0</v>
      </c>
      <c r="S369" s="172"/>
      <c r="T369" s="172"/>
      <c r="U369" s="172"/>
      <c r="V369" s="172"/>
      <c r="W369" s="172"/>
      <c r="X369" s="173">
        <f t="shared" si="36"/>
        <v>0</v>
      </c>
      <c r="Y369" s="247">
        <f t="shared" si="37"/>
        <v>0</v>
      </c>
      <c r="Z369" s="409"/>
      <c r="AA369" s="373"/>
    </row>
    <row r="370" spans="1:27" ht="20.100000000000001" hidden="1" customHeight="1" x14ac:dyDescent="0.2">
      <c r="A370" s="26"/>
      <c r="B370" s="74"/>
      <c r="C370" s="39"/>
      <c r="D370" s="172"/>
      <c r="E370" s="172"/>
      <c r="F370" s="172"/>
      <c r="G370" s="172"/>
      <c r="H370" s="172"/>
      <c r="I370" s="172"/>
      <c r="J370" s="172"/>
      <c r="K370" s="172"/>
      <c r="L370" s="172"/>
      <c r="M370" s="172"/>
      <c r="N370" s="172"/>
      <c r="O370" s="172"/>
      <c r="P370" s="172"/>
      <c r="Q370" s="172"/>
      <c r="R370" s="172">
        <f t="shared" si="38"/>
        <v>0</v>
      </c>
      <c r="S370" s="172"/>
      <c r="T370" s="172"/>
      <c r="U370" s="172"/>
      <c r="V370" s="172"/>
      <c r="W370" s="172"/>
      <c r="X370" s="173">
        <f t="shared" si="36"/>
        <v>0</v>
      </c>
      <c r="Y370" s="247">
        <f t="shared" si="37"/>
        <v>0</v>
      </c>
      <c r="Z370" s="409"/>
      <c r="AA370" s="373"/>
    </row>
    <row r="371" spans="1:27" ht="20.100000000000001" hidden="1" customHeight="1" x14ac:dyDescent="0.2">
      <c r="A371" s="26"/>
      <c r="B371" s="74"/>
      <c r="C371" s="39"/>
      <c r="D371" s="172"/>
      <c r="E371" s="172"/>
      <c r="F371" s="172"/>
      <c r="G371" s="172"/>
      <c r="H371" s="172"/>
      <c r="I371" s="172"/>
      <c r="J371" s="172"/>
      <c r="K371" s="172"/>
      <c r="L371" s="172"/>
      <c r="M371" s="172"/>
      <c r="N371" s="172"/>
      <c r="O371" s="172"/>
      <c r="P371" s="172"/>
      <c r="Q371" s="172"/>
      <c r="R371" s="172">
        <f t="shared" si="38"/>
        <v>0</v>
      </c>
      <c r="S371" s="172"/>
      <c r="T371" s="172"/>
      <c r="U371" s="172"/>
      <c r="V371" s="172"/>
      <c r="W371" s="172"/>
      <c r="X371" s="173">
        <f t="shared" si="36"/>
        <v>0</v>
      </c>
      <c r="Y371" s="247">
        <f t="shared" si="37"/>
        <v>0</v>
      </c>
      <c r="Z371" s="409"/>
      <c r="AA371" s="373"/>
    </row>
    <row r="372" spans="1:27" ht="20.100000000000001" hidden="1" customHeight="1" x14ac:dyDescent="0.2">
      <c r="A372" s="26"/>
      <c r="B372" s="74"/>
      <c r="C372" s="39"/>
      <c r="D372" s="172"/>
      <c r="E372" s="172"/>
      <c r="F372" s="172"/>
      <c r="G372" s="172"/>
      <c r="H372" s="172"/>
      <c r="I372" s="172"/>
      <c r="J372" s="172"/>
      <c r="K372" s="172"/>
      <c r="L372" s="172"/>
      <c r="M372" s="172"/>
      <c r="N372" s="172"/>
      <c r="O372" s="172"/>
      <c r="P372" s="172"/>
      <c r="Q372" s="172"/>
      <c r="R372" s="172">
        <f t="shared" si="38"/>
        <v>0</v>
      </c>
      <c r="S372" s="172"/>
      <c r="T372" s="172"/>
      <c r="U372" s="172"/>
      <c r="V372" s="172"/>
      <c r="W372" s="172"/>
      <c r="X372" s="173">
        <f t="shared" si="36"/>
        <v>0</v>
      </c>
      <c r="Y372" s="247">
        <f t="shared" si="37"/>
        <v>0</v>
      </c>
      <c r="Z372" s="409"/>
      <c r="AA372" s="373"/>
    </row>
    <row r="373" spans="1:27" ht="20.100000000000001" hidden="1" customHeight="1" x14ac:dyDescent="0.2">
      <c r="A373" s="26"/>
      <c r="B373" s="423"/>
      <c r="C373" s="39"/>
      <c r="D373" s="172"/>
      <c r="E373" s="172"/>
      <c r="F373" s="172"/>
      <c r="G373" s="172"/>
      <c r="H373" s="172"/>
      <c r="I373" s="172"/>
      <c r="J373" s="172"/>
      <c r="K373" s="172"/>
      <c r="L373" s="172"/>
      <c r="M373" s="172"/>
      <c r="N373" s="172"/>
      <c r="O373" s="172"/>
      <c r="P373" s="172"/>
      <c r="Q373" s="172"/>
      <c r="R373" s="172">
        <f t="shared" si="38"/>
        <v>0</v>
      </c>
      <c r="S373" s="172"/>
      <c r="T373" s="172"/>
      <c r="U373" s="172"/>
      <c r="V373" s="172"/>
      <c r="W373" s="172"/>
      <c r="X373" s="173">
        <f t="shared" si="36"/>
        <v>0</v>
      </c>
      <c r="Y373" s="247">
        <f t="shared" si="37"/>
        <v>0</v>
      </c>
      <c r="Z373" s="409"/>
      <c r="AA373" s="373"/>
    </row>
    <row r="374" spans="1:27" ht="20.100000000000001" hidden="1" customHeight="1" x14ac:dyDescent="0.2">
      <c r="A374" s="26"/>
      <c r="B374" s="74"/>
      <c r="C374" s="39"/>
      <c r="D374" s="172"/>
      <c r="E374" s="172"/>
      <c r="F374" s="172"/>
      <c r="G374" s="172"/>
      <c r="H374" s="172"/>
      <c r="I374" s="172"/>
      <c r="J374" s="172"/>
      <c r="K374" s="172"/>
      <c r="L374" s="172"/>
      <c r="M374" s="172"/>
      <c r="N374" s="172"/>
      <c r="O374" s="172"/>
      <c r="P374" s="172"/>
      <c r="Q374" s="172"/>
      <c r="R374" s="172">
        <f t="shared" si="38"/>
        <v>0</v>
      </c>
      <c r="S374" s="172"/>
      <c r="T374" s="172"/>
      <c r="U374" s="172"/>
      <c r="V374" s="172"/>
      <c r="W374" s="172"/>
      <c r="X374" s="173">
        <f t="shared" si="36"/>
        <v>0</v>
      </c>
      <c r="Y374" s="247">
        <f t="shared" si="37"/>
        <v>0</v>
      </c>
      <c r="Z374" s="409"/>
      <c r="AA374" s="373"/>
    </row>
    <row r="375" spans="1:27" ht="20.100000000000001" hidden="1" customHeight="1" x14ac:dyDescent="0.2">
      <c r="A375" s="26"/>
      <c r="B375" s="74"/>
      <c r="C375" s="39"/>
      <c r="D375" s="172"/>
      <c r="E375" s="172"/>
      <c r="F375" s="172"/>
      <c r="G375" s="172"/>
      <c r="H375" s="172"/>
      <c r="I375" s="172"/>
      <c r="J375" s="172"/>
      <c r="K375" s="172"/>
      <c r="L375" s="172"/>
      <c r="M375" s="172"/>
      <c r="N375" s="172"/>
      <c r="O375" s="172"/>
      <c r="P375" s="172"/>
      <c r="Q375" s="172"/>
      <c r="R375" s="172">
        <f t="shared" si="38"/>
        <v>0</v>
      </c>
      <c r="S375" s="172"/>
      <c r="T375" s="172"/>
      <c r="U375" s="172"/>
      <c r="V375" s="172"/>
      <c r="W375" s="172"/>
      <c r="X375" s="173">
        <f t="shared" si="36"/>
        <v>0</v>
      </c>
      <c r="Y375" s="247">
        <f t="shared" si="37"/>
        <v>0</v>
      </c>
      <c r="Z375" s="409"/>
      <c r="AA375" s="373"/>
    </row>
    <row r="376" spans="1:27" ht="20.100000000000001" hidden="1" customHeight="1" x14ac:dyDescent="0.2">
      <c r="A376" s="26"/>
      <c r="B376" s="74"/>
      <c r="C376" s="39"/>
      <c r="D376" s="172"/>
      <c r="E376" s="172"/>
      <c r="F376" s="172"/>
      <c r="G376" s="172"/>
      <c r="H376" s="172"/>
      <c r="I376" s="172"/>
      <c r="J376" s="172"/>
      <c r="K376" s="172"/>
      <c r="L376" s="172"/>
      <c r="M376" s="172"/>
      <c r="N376" s="172"/>
      <c r="O376" s="172"/>
      <c r="P376" s="172"/>
      <c r="Q376" s="172"/>
      <c r="R376" s="172">
        <f t="shared" si="38"/>
        <v>0</v>
      </c>
      <c r="S376" s="172"/>
      <c r="T376" s="172"/>
      <c r="U376" s="172"/>
      <c r="V376" s="172"/>
      <c r="W376" s="172"/>
      <c r="X376" s="173">
        <f t="shared" si="36"/>
        <v>0</v>
      </c>
      <c r="Y376" s="247">
        <f t="shared" si="37"/>
        <v>0</v>
      </c>
      <c r="Z376" s="409"/>
      <c r="AA376" s="373"/>
    </row>
    <row r="377" spans="1:27" ht="20.100000000000001" hidden="1" customHeight="1" x14ac:dyDescent="0.2">
      <c r="A377" s="26"/>
      <c r="B377" s="74"/>
      <c r="C377" s="39"/>
      <c r="D377" s="172"/>
      <c r="E377" s="172"/>
      <c r="F377" s="172"/>
      <c r="G377" s="172"/>
      <c r="H377" s="172"/>
      <c r="I377" s="172"/>
      <c r="J377" s="172"/>
      <c r="K377" s="172"/>
      <c r="L377" s="172"/>
      <c r="M377" s="172"/>
      <c r="N377" s="172"/>
      <c r="O377" s="172"/>
      <c r="P377" s="172"/>
      <c r="Q377" s="172"/>
      <c r="R377" s="172">
        <f t="shared" si="38"/>
        <v>0</v>
      </c>
      <c r="S377" s="172"/>
      <c r="T377" s="172"/>
      <c r="U377" s="172"/>
      <c r="V377" s="172"/>
      <c r="W377" s="172"/>
      <c r="X377" s="173">
        <f t="shared" si="36"/>
        <v>0</v>
      </c>
      <c r="Y377" s="247">
        <f t="shared" si="37"/>
        <v>0</v>
      </c>
      <c r="Z377" s="409"/>
      <c r="AA377" s="373"/>
    </row>
    <row r="378" spans="1:27" ht="20.100000000000001" hidden="1" customHeight="1" x14ac:dyDescent="0.2">
      <c r="A378" s="26"/>
      <c r="B378" s="74"/>
      <c r="C378" s="39"/>
      <c r="D378" s="172"/>
      <c r="E378" s="172"/>
      <c r="F378" s="172"/>
      <c r="G378" s="172"/>
      <c r="H378" s="172"/>
      <c r="I378" s="172"/>
      <c r="J378" s="172"/>
      <c r="K378" s="172"/>
      <c r="L378" s="172"/>
      <c r="M378" s="172"/>
      <c r="N378" s="172"/>
      <c r="O378" s="172"/>
      <c r="P378" s="172"/>
      <c r="Q378" s="172"/>
      <c r="R378" s="172">
        <f t="shared" si="38"/>
        <v>0</v>
      </c>
      <c r="S378" s="172"/>
      <c r="T378" s="172"/>
      <c r="U378" s="172"/>
      <c r="V378" s="172"/>
      <c r="W378" s="172"/>
      <c r="X378" s="173">
        <f t="shared" si="36"/>
        <v>0</v>
      </c>
      <c r="Y378" s="247">
        <f t="shared" si="37"/>
        <v>0</v>
      </c>
      <c r="Z378" s="409"/>
      <c r="AA378" s="373"/>
    </row>
    <row r="379" spans="1:27" ht="20.100000000000001" hidden="1" customHeight="1" x14ac:dyDescent="0.2">
      <c r="A379" s="26"/>
      <c r="B379" s="74"/>
      <c r="C379" s="39"/>
      <c r="D379" s="172"/>
      <c r="E379" s="172"/>
      <c r="F379" s="172"/>
      <c r="G379" s="172"/>
      <c r="H379" s="172"/>
      <c r="I379" s="172"/>
      <c r="J379" s="172"/>
      <c r="K379" s="172"/>
      <c r="L379" s="172"/>
      <c r="M379" s="172"/>
      <c r="N379" s="172"/>
      <c r="O379" s="172"/>
      <c r="P379" s="172"/>
      <c r="Q379" s="172"/>
      <c r="R379" s="172">
        <f t="shared" si="38"/>
        <v>0</v>
      </c>
      <c r="S379" s="172"/>
      <c r="T379" s="172"/>
      <c r="U379" s="172"/>
      <c r="V379" s="172"/>
      <c r="W379" s="172"/>
      <c r="X379" s="173">
        <f t="shared" si="36"/>
        <v>0</v>
      </c>
      <c r="Y379" s="247">
        <f t="shared" si="37"/>
        <v>0</v>
      </c>
      <c r="Z379" s="409"/>
      <c r="AA379" s="373"/>
    </row>
    <row r="380" spans="1:27" ht="20.100000000000001" hidden="1" customHeight="1" x14ac:dyDescent="0.2">
      <c r="A380" s="26"/>
      <c r="B380" s="74"/>
      <c r="C380" s="39"/>
      <c r="D380" s="172"/>
      <c r="E380" s="172"/>
      <c r="F380" s="172"/>
      <c r="G380" s="172"/>
      <c r="H380" s="172"/>
      <c r="I380" s="172"/>
      <c r="J380" s="172"/>
      <c r="K380" s="172"/>
      <c r="L380" s="172"/>
      <c r="M380" s="172"/>
      <c r="N380" s="172"/>
      <c r="O380" s="172"/>
      <c r="P380" s="172"/>
      <c r="Q380" s="172"/>
      <c r="R380" s="172">
        <f t="shared" si="38"/>
        <v>0</v>
      </c>
      <c r="S380" s="172"/>
      <c r="T380" s="172"/>
      <c r="U380" s="172"/>
      <c r="V380" s="172"/>
      <c r="W380" s="172"/>
      <c r="X380" s="173">
        <f t="shared" si="36"/>
        <v>0</v>
      </c>
      <c r="Y380" s="247">
        <f t="shared" si="37"/>
        <v>0</v>
      </c>
      <c r="Z380" s="409"/>
      <c r="AA380" s="373"/>
    </row>
    <row r="381" spans="1:27" ht="20.100000000000001" hidden="1" customHeight="1" x14ac:dyDescent="0.2">
      <c r="A381" s="26"/>
      <c r="B381" s="302"/>
      <c r="C381" s="39"/>
      <c r="D381" s="172"/>
      <c r="E381" s="172"/>
      <c r="F381" s="172"/>
      <c r="G381" s="172"/>
      <c r="H381" s="172"/>
      <c r="I381" s="172"/>
      <c r="J381" s="172"/>
      <c r="K381" s="172"/>
      <c r="L381" s="172"/>
      <c r="M381" s="172"/>
      <c r="N381" s="172"/>
      <c r="O381" s="172"/>
      <c r="P381" s="172"/>
      <c r="Q381" s="172"/>
      <c r="R381" s="172">
        <f t="shared" si="38"/>
        <v>0</v>
      </c>
      <c r="S381" s="172"/>
      <c r="T381" s="172"/>
      <c r="U381" s="172"/>
      <c r="V381" s="172"/>
      <c r="W381" s="172"/>
      <c r="X381" s="173">
        <f t="shared" si="36"/>
        <v>0</v>
      </c>
      <c r="Y381" s="247">
        <f t="shared" si="37"/>
        <v>0</v>
      </c>
      <c r="Z381" s="409"/>
      <c r="AA381" s="373"/>
    </row>
    <row r="382" spans="1:27" ht="20.100000000000001" hidden="1" customHeight="1" x14ac:dyDescent="0.2">
      <c r="A382" s="26"/>
      <c r="B382" s="74"/>
      <c r="C382" s="209" t="s">
        <v>75</v>
      </c>
      <c r="D382" s="172"/>
      <c r="E382" s="172"/>
      <c r="F382" s="172"/>
      <c r="G382" s="172"/>
      <c r="H382" s="172"/>
      <c r="I382" s="172"/>
      <c r="J382" s="172"/>
      <c r="K382" s="172"/>
      <c r="L382" s="172"/>
      <c r="M382" s="172"/>
      <c r="N382" s="172"/>
      <c r="O382" s="172"/>
      <c r="P382" s="172"/>
      <c r="Q382" s="172"/>
      <c r="R382" s="172">
        <f t="shared" si="38"/>
        <v>0</v>
      </c>
      <c r="S382" s="172"/>
      <c r="T382" s="172"/>
      <c r="U382" s="172"/>
      <c r="V382" s="172"/>
      <c r="W382" s="172"/>
      <c r="X382" s="173">
        <f t="shared" si="36"/>
        <v>0</v>
      </c>
      <c r="Y382" s="247">
        <f t="shared" si="37"/>
        <v>0</v>
      </c>
      <c r="Z382" s="409"/>
      <c r="AA382" s="373"/>
    </row>
    <row r="383" spans="1:27" ht="15" hidden="1" customHeight="1" thickBot="1" x14ac:dyDescent="0.25">
      <c r="A383" s="26"/>
      <c r="B383" s="74"/>
      <c r="C383" s="39"/>
      <c r="D383" s="172"/>
      <c r="E383" s="172"/>
      <c r="F383" s="172"/>
      <c r="G383" s="172"/>
      <c r="H383" s="172"/>
      <c r="I383" s="172"/>
      <c r="J383" s="172"/>
      <c r="K383" s="172"/>
      <c r="L383" s="172"/>
      <c r="M383" s="172"/>
      <c r="N383" s="172"/>
      <c r="O383" s="172"/>
      <c r="P383" s="172"/>
      <c r="Q383" s="172"/>
      <c r="R383" s="172"/>
      <c r="S383" s="172"/>
      <c r="T383" s="172"/>
      <c r="U383" s="172"/>
      <c r="V383" s="172"/>
      <c r="W383" s="172"/>
      <c r="X383" s="173"/>
      <c r="Y383" s="247"/>
      <c r="Z383" s="409"/>
      <c r="AA383" s="373"/>
    </row>
    <row r="384" spans="1:27" ht="24.75" hidden="1" customHeight="1" thickTop="1" thickBot="1" x14ac:dyDescent="0.25">
      <c r="A384" s="47"/>
      <c r="B384" s="272" t="s">
        <v>484</v>
      </c>
      <c r="C384" s="44" t="s">
        <v>33</v>
      </c>
      <c r="D384" s="185">
        <f t="shared" ref="D384:Q384" si="39">SUM(D304:D383)</f>
        <v>-4540</v>
      </c>
      <c r="E384" s="185">
        <f t="shared" si="39"/>
        <v>-1225.8000000000002</v>
      </c>
      <c r="F384" s="185">
        <f t="shared" si="39"/>
        <v>-2444.4969999999998</v>
      </c>
      <c r="G384" s="185">
        <f t="shared" si="39"/>
        <v>0</v>
      </c>
      <c r="H384" s="185">
        <f t="shared" si="39"/>
        <v>0</v>
      </c>
      <c r="I384" s="185">
        <f t="shared" si="39"/>
        <v>0</v>
      </c>
      <c r="J384" s="185">
        <f t="shared" si="39"/>
        <v>-46685</v>
      </c>
      <c r="K384" s="185">
        <f t="shared" si="39"/>
        <v>-74576</v>
      </c>
      <c r="L384" s="185">
        <f t="shared" si="39"/>
        <v>29448</v>
      </c>
      <c r="M384" s="185">
        <f t="shared" si="39"/>
        <v>0</v>
      </c>
      <c r="N384" s="185">
        <f t="shared" si="39"/>
        <v>0</v>
      </c>
      <c r="O384" s="185">
        <f t="shared" si="39"/>
        <v>1452</v>
      </c>
      <c r="P384" s="185">
        <f t="shared" si="39"/>
        <v>0</v>
      </c>
      <c r="Q384" s="185">
        <f t="shared" si="39"/>
        <v>61904</v>
      </c>
      <c r="R384" s="185">
        <f t="shared" si="38"/>
        <v>-36667.296999999991</v>
      </c>
      <c r="S384" s="185"/>
      <c r="T384" s="185">
        <f>SUM(T304:T383)</f>
        <v>0</v>
      </c>
      <c r="U384" s="185">
        <f>SUM(U304:U383)</f>
        <v>0</v>
      </c>
      <c r="V384" s="185">
        <f>SUM(V304:V383)</f>
        <v>0</v>
      </c>
      <c r="W384" s="185">
        <f>SUM(W304:W383)</f>
        <v>0</v>
      </c>
      <c r="X384" s="502">
        <f>SUM(T384:W384)</f>
        <v>0</v>
      </c>
      <c r="Y384" s="394">
        <f>R384+X384</f>
        <v>-36667.296999999991</v>
      </c>
      <c r="Z384" s="186">
        <f>SUM(Z304:Z383)</f>
        <v>50659.141000000011</v>
      </c>
      <c r="AA384" s="376"/>
    </row>
    <row r="385" spans="1:27" ht="27.75" hidden="1" customHeight="1" thickTop="1" thickBot="1" x14ac:dyDescent="0.25">
      <c r="A385" s="47"/>
      <c r="B385" s="629" t="s">
        <v>483</v>
      </c>
      <c r="C385" s="44" t="s">
        <v>167</v>
      </c>
      <c r="D385" s="593">
        <f t="shared" ref="D385:Q385" si="40">D303+D384</f>
        <v>12308.858</v>
      </c>
      <c r="E385" s="593">
        <f t="shared" si="40"/>
        <v>5946.6320000000005</v>
      </c>
      <c r="F385" s="593">
        <f t="shared" si="40"/>
        <v>4404841.5709999995</v>
      </c>
      <c r="G385" s="593">
        <f t="shared" si="40"/>
        <v>202492</v>
      </c>
      <c r="H385" s="593">
        <f t="shared" si="40"/>
        <v>5754.3070000000007</v>
      </c>
      <c r="I385" s="593">
        <f t="shared" si="40"/>
        <v>32937</v>
      </c>
      <c r="J385" s="593">
        <f t="shared" si="40"/>
        <v>484016</v>
      </c>
      <c r="K385" s="593">
        <f t="shared" si="40"/>
        <v>1044704.3640000001</v>
      </c>
      <c r="L385" s="593">
        <f t="shared" si="40"/>
        <v>3691596.6860000002</v>
      </c>
      <c r="M385" s="593">
        <f t="shared" si="40"/>
        <v>49810</v>
      </c>
      <c r="N385" s="593">
        <f t="shared" si="40"/>
        <v>64444</v>
      </c>
      <c r="O385" s="593">
        <f t="shared" si="40"/>
        <v>13452</v>
      </c>
      <c r="P385" s="593">
        <f t="shared" si="40"/>
        <v>0</v>
      </c>
      <c r="Q385" s="593">
        <f t="shared" si="40"/>
        <v>212604</v>
      </c>
      <c r="R385" s="593">
        <f t="shared" si="38"/>
        <v>10224907.418</v>
      </c>
      <c r="S385" s="174"/>
      <c r="T385" s="593">
        <f>T303+T384</f>
        <v>20172</v>
      </c>
      <c r="U385" s="593">
        <f>U303+U384</f>
        <v>1400000</v>
      </c>
      <c r="V385" s="593">
        <f>V303+V384</f>
        <v>0</v>
      </c>
      <c r="W385" s="593">
        <f>W303+W384</f>
        <v>0</v>
      </c>
      <c r="X385" s="594">
        <f>SUM(T385:W385)</f>
        <v>1420172</v>
      </c>
      <c r="Y385" s="594">
        <f>R385+X385</f>
        <v>11645079.418</v>
      </c>
      <c r="Z385" s="595">
        <f>Z303+Z384</f>
        <v>6215604.8820000002</v>
      </c>
      <c r="AA385" s="376"/>
    </row>
    <row r="386" spans="1:27" ht="24.95" customHeight="1" thickTop="1" x14ac:dyDescent="0.2">
      <c r="A386" s="630"/>
      <c r="B386" s="552" t="s">
        <v>534</v>
      </c>
      <c r="C386" s="602" t="s">
        <v>18</v>
      </c>
      <c r="D386" s="603">
        <f t="shared" ref="D386:Q386" si="41">D385</f>
        <v>12308.858</v>
      </c>
      <c r="E386" s="603">
        <f t="shared" si="41"/>
        <v>5946.6320000000005</v>
      </c>
      <c r="F386" s="603">
        <f t="shared" si="41"/>
        <v>4404841.5709999995</v>
      </c>
      <c r="G386" s="603">
        <f t="shared" si="41"/>
        <v>202492</v>
      </c>
      <c r="H386" s="603">
        <f t="shared" si="41"/>
        <v>5754.3070000000007</v>
      </c>
      <c r="I386" s="603">
        <f t="shared" si="41"/>
        <v>32937</v>
      </c>
      <c r="J386" s="603">
        <f t="shared" si="41"/>
        <v>484016</v>
      </c>
      <c r="K386" s="603">
        <f t="shared" si="41"/>
        <v>1044704.3640000001</v>
      </c>
      <c r="L386" s="603">
        <f t="shared" si="41"/>
        <v>3691596.6860000002</v>
      </c>
      <c r="M386" s="603">
        <f t="shared" si="41"/>
        <v>49810</v>
      </c>
      <c r="N386" s="603">
        <f t="shared" si="41"/>
        <v>64444</v>
      </c>
      <c r="O386" s="603">
        <f t="shared" si="41"/>
        <v>13452</v>
      </c>
      <c r="P386" s="603">
        <f t="shared" si="41"/>
        <v>0</v>
      </c>
      <c r="Q386" s="603">
        <f t="shared" si="41"/>
        <v>212604</v>
      </c>
      <c r="R386" s="603">
        <f t="shared" si="38"/>
        <v>10224907.418</v>
      </c>
      <c r="S386" s="603"/>
      <c r="T386" s="603">
        <f>T385</f>
        <v>20172</v>
      </c>
      <c r="U386" s="603">
        <f>U385</f>
        <v>1400000</v>
      </c>
      <c r="V386" s="603">
        <f>V385</f>
        <v>0</v>
      </c>
      <c r="W386" s="603">
        <f>W385</f>
        <v>0</v>
      </c>
      <c r="X386" s="604">
        <f>SUM(T386:W386)</f>
        <v>1420172</v>
      </c>
      <c r="Y386" s="605">
        <f>R386+X386</f>
        <v>11645079.418</v>
      </c>
      <c r="Z386" s="606">
        <f>Z385</f>
        <v>6215604.8820000002</v>
      </c>
    </row>
    <row r="387" spans="1:27" ht="20.100000000000001" customHeight="1" x14ac:dyDescent="0.2">
      <c r="A387" s="26">
        <v>1</v>
      </c>
      <c r="B387" s="74" t="s">
        <v>537</v>
      </c>
      <c r="C387" s="39" t="s">
        <v>538</v>
      </c>
      <c r="D387" s="172"/>
      <c r="E387" s="172"/>
      <c r="F387" s="172">
        <f>107+29</f>
        <v>136</v>
      </c>
      <c r="G387" s="172"/>
      <c r="H387" s="172"/>
      <c r="I387" s="172"/>
      <c r="J387" s="172"/>
      <c r="K387" s="172"/>
      <c r="L387" s="172">
        <f>-107-29</f>
        <v>-136</v>
      </c>
      <c r="M387" s="172"/>
      <c r="N387" s="172"/>
      <c r="O387" s="172"/>
      <c r="P387" s="172"/>
      <c r="Q387" s="172"/>
      <c r="R387" s="172">
        <f t="shared" ref="R387:R393" si="42">SUM(D387:Q387)</f>
        <v>0</v>
      </c>
      <c r="S387" s="172"/>
      <c r="T387" s="172"/>
      <c r="U387" s="172"/>
      <c r="V387" s="172"/>
      <c r="W387" s="172"/>
      <c r="X387" s="173">
        <f t="shared" ref="X387:X393" si="43">SUM(T387:W387)</f>
        <v>0</v>
      </c>
      <c r="Y387" s="247">
        <f t="shared" ref="Y387:Y393" si="44">R387+X387</f>
        <v>0</v>
      </c>
      <c r="Z387" s="409"/>
    </row>
    <row r="388" spans="1:27" ht="20.100000000000001" customHeight="1" x14ac:dyDescent="0.2">
      <c r="A388" s="26">
        <v>2</v>
      </c>
      <c r="B388" s="74" t="s">
        <v>539</v>
      </c>
      <c r="C388" s="39" t="s">
        <v>540</v>
      </c>
      <c r="D388" s="172"/>
      <c r="E388" s="172"/>
      <c r="F388" s="172">
        <f>-310</f>
        <v>-310</v>
      </c>
      <c r="G388" s="172"/>
      <c r="H388" s="172"/>
      <c r="I388" s="172"/>
      <c r="J388" s="172"/>
      <c r="K388" s="172"/>
      <c r="L388" s="172">
        <f>244+66</f>
        <v>310</v>
      </c>
      <c r="M388" s="172"/>
      <c r="N388" s="172"/>
      <c r="O388" s="172"/>
      <c r="P388" s="172"/>
      <c r="Q388" s="172"/>
      <c r="R388" s="172">
        <f t="shared" si="42"/>
        <v>0</v>
      </c>
      <c r="S388" s="172"/>
      <c r="T388" s="172"/>
      <c r="U388" s="172"/>
      <c r="V388" s="172"/>
      <c r="W388" s="172"/>
      <c r="X388" s="173">
        <f t="shared" si="43"/>
        <v>0</v>
      </c>
      <c r="Y388" s="247">
        <f t="shared" si="44"/>
        <v>0</v>
      </c>
      <c r="Z388" s="409"/>
    </row>
    <row r="389" spans="1:27" ht="20.100000000000001" customHeight="1" x14ac:dyDescent="0.2">
      <c r="A389" s="26">
        <v>3</v>
      </c>
      <c r="B389" s="74" t="s">
        <v>541</v>
      </c>
      <c r="C389" s="39" t="s">
        <v>242</v>
      </c>
      <c r="D389" s="172"/>
      <c r="E389" s="172"/>
      <c r="F389" s="172"/>
      <c r="G389" s="172"/>
      <c r="H389" s="172"/>
      <c r="I389" s="172"/>
      <c r="J389" s="172">
        <f>40</f>
        <v>40</v>
      </c>
      <c r="K389" s="172">
        <f>-40</f>
        <v>-40</v>
      </c>
      <c r="L389" s="172"/>
      <c r="M389" s="172"/>
      <c r="N389" s="172"/>
      <c r="O389" s="172"/>
      <c r="P389" s="172"/>
      <c r="Q389" s="172"/>
      <c r="R389" s="172">
        <f t="shared" si="42"/>
        <v>0</v>
      </c>
      <c r="S389" s="172"/>
      <c r="T389" s="172"/>
      <c r="U389" s="172"/>
      <c r="V389" s="172"/>
      <c r="W389" s="172"/>
      <c r="X389" s="173">
        <f t="shared" si="43"/>
        <v>0</v>
      </c>
      <c r="Y389" s="247">
        <f t="shared" si="44"/>
        <v>0</v>
      </c>
      <c r="Z389" s="409"/>
    </row>
    <row r="390" spans="1:27" ht="20.100000000000001" customHeight="1" x14ac:dyDescent="0.2">
      <c r="A390" s="26">
        <v>4</v>
      </c>
      <c r="B390" s="74" t="s">
        <v>542</v>
      </c>
      <c r="C390" s="39" t="s">
        <v>543</v>
      </c>
      <c r="D390" s="172"/>
      <c r="E390" s="172"/>
      <c r="F390" s="172">
        <f>400+108+1200+324+400+108</f>
        <v>2540</v>
      </c>
      <c r="G390" s="172"/>
      <c r="H390" s="172"/>
      <c r="I390" s="172"/>
      <c r="J390" s="172"/>
      <c r="K390" s="172"/>
      <c r="L390" s="172">
        <f>-400-108-1200-324-400-108</f>
        <v>-2540</v>
      </c>
      <c r="M390" s="172"/>
      <c r="N390" s="172"/>
      <c r="O390" s="172"/>
      <c r="P390" s="172"/>
      <c r="Q390" s="172"/>
      <c r="R390" s="172">
        <f t="shared" si="42"/>
        <v>0</v>
      </c>
      <c r="S390" s="172"/>
      <c r="T390" s="172"/>
      <c r="U390" s="172"/>
      <c r="V390" s="172"/>
      <c r="W390" s="172"/>
      <c r="X390" s="173">
        <f t="shared" si="43"/>
        <v>0</v>
      </c>
      <c r="Y390" s="247">
        <f t="shared" si="44"/>
        <v>0</v>
      </c>
      <c r="Z390" s="409"/>
    </row>
    <row r="391" spans="1:27" ht="20.100000000000001" customHeight="1" x14ac:dyDescent="0.2">
      <c r="A391" s="26">
        <v>5</v>
      </c>
      <c r="B391" s="74" t="s">
        <v>545</v>
      </c>
      <c r="C391" s="39" t="s">
        <v>544</v>
      </c>
      <c r="D391" s="172"/>
      <c r="E391" s="172"/>
      <c r="F391" s="172"/>
      <c r="G391" s="172"/>
      <c r="H391" s="172"/>
      <c r="I391" s="172"/>
      <c r="J391" s="172"/>
      <c r="K391" s="172">
        <f>-1143</f>
        <v>-1143</v>
      </c>
      <c r="L391" s="172">
        <f>900+243</f>
        <v>1143</v>
      </c>
      <c r="M391" s="172"/>
      <c r="N391" s="172"/>
      <c r="O391" s="172"/>
      <c r="P391" s="172"/>
      <c r="Q391" s="172"/>
      <c r="R391" s="172">
        <f t="shared" si="42"/>
        <v>0</v>
      </c>
      <c r="S391" s="172"/>
      <c r="T391" s="172"/>
      <c r="U391" s="172"/>
      <c r="V391" s="172"/>
      <c r="W391" s="172"/>
      <c r="X391" s="173">
        <f t="shared" si="43"/>
        <v>0</v>
      </c>
      <c r="Y391" s="247">
        <f t="shared" si="44"/>
        <v>0</v>
      </c>
      <c r="Z391" s="409"/>
    </row>
    <row r="392" spans="1:27" ht="20.100000000000001" customHeight="1" x14ac:dyDescent="0.2">
      <c r="A392" s="26">
        <v>6</v>
      </c>
      <c r="B392" s="74" t="s">
        <v>535</v>
      </c>
      <c r="C392" s="39" t="s">
        <v>502</v>
      </c>
      <c r="D392" s="172"/>
      <c r="E392" s="172"/>
      <c r="F392" s="172"/>
      <c r="G392" s="172"/>
      <c r="H392" s="172"/>
      <c r="I392" s="172"/>
      <c r="J392" s="172"/>
      <c r="K392" s="172">
        <f>-563</f>
        <v>-563</v>
      </c>
      <c r="L392" s="172"/>
      <c r="M392" s="172"/>
      <c r="N392" s="172"/>
      <c r="O392" s="172"/>
      <c r="P392" s="172"/>
      <c r="Q392" s="172"/>
      <c r="R392" s="172">
        <f t="shared" si="42"/>
        <v>-563</v>
      </c>
      <c r="S392" s="172"/>
      <c r="T392" s="172"/>
      <c r="U392" s="172"/>
      <c r="V392" s="172"/>
      <c r="W392" s="172"/>
      <c r="X392" s="173">
        <f t="shared" si="43"/>
        <v>0</v>
      </c>
      <c r="Y392" s="247">
        <f t="shared" si="44"/>
        <v>-563</v>
      </c>
      <c r="Z392" s="409">
        <f>563</f>
        <v>563</v>
      </c>
    </row>
    <row r="393" spans="1:27" ht="20.100000000000001" customHeight="1" x14ac:dyDescent="0.2">
      <c r="A393" s="26">
        <v>7</v>
      </c>
      <c r="B393" s="74" t="s">
        <v>536</v>
      </c>
      <c r="C393" s="39" t="s">
        <v>200</v>
      </c>
      <c r="D393" s="172">
        <f>-1300</f>
        <v>-1300</v>
      </c>
      <c r="E393" s="172">
        <f>-351</f>
        <v>-351</v>
      </c>
      <c r="F393" s="172">
        <f>-157-43</f>
        <v>-200</v>
      </c>
      <c r="G393" s="172"/>
      <c r="H393" s="172"/>
      <c r="I393" s="172"/>
      <c r="J393" s="172"/>
      <c r="K393" s="172"/>
      <c r="L393" s="172"/>
      <c r="M393" s="172"/>
      <c r="N393" s="172"/>
      <c r="O393" s="172"/>
      <c r="P393" s="172"/>
      <c r="Q393" s="172"/>
      <c r="R393" s="172">
        <f t="shared" si="42"/>
        <v>-1851</v>
      </c>
      <c r="S393" s="172"/>
      <c r="T393" s="172"/>
      <c r="U393" s="172"/>
      <c r="V393" s="172"/>
      <c r="W393" s="172"/>
      <c r="X393" s="173">
        <f t="shared" si="43"/>
        <v>0</v>
      </c>
      <c r="Y393" s="247">
        <f t="shared" si="44"/>
        <v>-1851</v>
      </c>
      <c r="Z393" s="409">
        <f>1851</f>
        <v>1851</v>
      </c>
    </row>
    <row r="394" spans="1:27" ht="20.100000000000001" customHeight="1" x14ac:dyDescent="0.2">
      <c r="A394" s="26">
        <v>8</v>
      </c>
      <c r="B394" s="74" t="s">
        <v>546</v>
      </c>
      <c r="C394" s="39" t="s">
        <v>547</v>
      </c>
      <c r="D394" s="172"/>
      <c r="E394" s="172"/>
      <c r="F394" s="172"/>
      <c r="G394" s="172"/>
      <c r="H394" s="172"/>
      <c r="I394" s="172"/>
      <c r="J394" s="172"/>
      <c r="K394" s="172">
        <f>-8127</f>
        <v>-8127</v>
      </c>
      <c r="L394" s="172"/>
      <c r="M394" s="172"/>
      <c r="N394" s="172"/>
      <c r="O394" s="172"/>
      <c r="P394" s="172"/>
      <c r="Q394" s="172">
        <f>8127</f>
        <v>8127</v>
      </c>
      <c r="R394" s="172">
        <f t="shared" ref="R394:R441" si="45">SUM(D394:Q394)</f>
        <v>0</v>
      </c>
      <c r="S394" s="172"/>
      <c r="T394" s="172"/>
      <c r="U394" s="172"/>
      <c r="V394" s="172"/>
      <c r="W394" s="172"/>
      <c r="X394" s="173">
        <f t="shared" ref="X394:X441" si="46">SUM(T394:W394)</f>
        <v>0</v>
      </c>
      <c r="Y394" s="247">
        <f t="shared" ref="Y394:Y441" si="47">R394+X394</f>
        <v>0</v>
      </c>
      <c r="Z394" s="409"/>
    </row>
    <row r="395" spans="1:27" ht="20.100000000000001" customHeight="1" x14ac:dyDescent="0.2">
      <c r="A395" s="26">
        <v>9</v>
      </c>
      <c r="B395" s="74" t="s">
        <v>548</v>
      </c>
      <c r="C395" s="39" t="s">
        <v>549</v>
      </c>
      <c r="D395" s="172"/>
      <c r="E395" s="172"/>
      <c r="F395" s="172"/>
      <c r="G395" s="172"/>
      <c r="H395" s="172"/>
      <c r="I395" s="172"/>
      <c r="J395" s="172"/>
      <c r="K395" s="172">
        <f>-31500</f>
        <v>-31500</v>
      </c>
      <c r="L395" s="172"/>
      <c r="M395" s="172"/>
      <c r="N395" s="172"/>
      <c r="O395" s="172"/>
      <c r="P395" s="172"/>
      <c r="Q395" s="172">
        <f>30000+1500</f>
        <v>31500</v>
      </c>
      <c r="R395" s="172">
        <f t="shared" si="45"/>
        <v>0</v>
      </c>
      <c r="S395" s="172"/>
      <c r="T395" s="172"/>
      <c r="U395" s="172"/>
      <c r="V395" s="172"/>
      <c r="W395" s="172"/>
      <c r="X395" s="173">
        <f t="shared" si="46"/>
        <v>0</v>
      </c>
      <c r="Y395" s="247">
        <f t="shared" si="47"/>
        <v>0</v>
      </c>
      <c r="Z395" s="409"/>
    </row>
    <row r="396" spans="1:27" ht="20.100000000000001" customHeight="1" x14ac:dyDescent="0.2">
      <c r="A396" s="26">
        <v>10</v>
      </c>
      <c r="B396" s="74" t="s">
        <v>550</v>
      </c>
      <c r="C396" s="39" t="s">
        <v>551</v>
      </c>
      <c r="D396" s="172"/>
      <c r="E396" s="172"/>
      <c r="F396" s="172"/>
      <c r="G396" s="172"/>
      <c r="H396" s="172"/>
      <c r="I396" s="172"/>
      <c r="J396" s="172"/>
      <c r="K396" s="172">
        <f>-14000</f>
        <v>-14000</v>
      </c>
      <c r="L396" s="172"/>
      <c r="M396" s="172"/>
      <c r="N396" s="172"/>
      <c r="O396" s="172"/>
      <c r="P396" s="172"/>
      <c r="Q396" s="172">
        <f>14000</f>
        <v>14000</v>
      </c>
      <c r="R396" s="172">
        <f t="shared" si="45"/>
        <v>0</v>
      </c>
      <c r="S396" s="172"/>
      <c r="T396" s="172"/>
      <c r="U396" s="172"/>
      <c r="V396" s="172"/>
      <c r="W396" s="172"/>
      <c r="X396" s="173">
        <f t="shared" si="46"/>
        <v>0</v>
      </c>
      <c r="Y396" s="247">
        <f t="shared" si="47"/>
        <v>0</v>
      </c>
      <c r="Z396" s="409"/>
    </row>
    <row r="397" spans="1:27" ht="20.100000000000001" customHeight="1" x14ac:dyDescent="0.2">
      <c r="A397" s="26">
        <v>11</v>
      </c>
      <c r="B397" s="74" t="s">
        <v>552</v>
      </c>
      <c r="C397" s="39" t="s">
        <v>553</v>
      </c>
      <c r="D397" s="172"/>
      <c r="E397" s="172"/>
      <c r="F397" s="172">
        <f>77+21</f>
        <v>98</v>
      </c>
      <c r="G397" s="172"/>
      <c r="H397" s="172"/>
      <c r="I397" s="172"/>
      <c r="J397" s="172"/>
      <c r="K397" s="172"/>
      <c r="L397" s="172">
        <f>-77-21</f>
        <v>-98</v>
      </c>
      <c r="M397" s="172"/>
      <c r="N397" s="172"/>
      <c r="O397" s="172"/>
      <c r="P397" s="172"/>
      <c r="Q397" s="172"/>
      <c r="R397" s="172">
        <f t="shared" si="45"/>
        <v>0</v>
      </c>
      <c r="S397" s="172"/>
      <c r="T397" s="172"/>
      <c r="U397" s="172"/>
      <c r="V397" s="172"/>
      <c r="W397" s="172"/>
      <c r="X397" s="173">
        <f t="shared" si="46"/>
        <v>0</v>
      </c>
      <c r="Y397" s="247">
        <f t="shared" si="47"/>
        <v>0</v>
      </c>
      <c r="Z397" s="409"/>
    </row>
    <row r="398" spans="1:27" ht="20.100000000000001" customHeight="1" x14ac:dyDescent="0.2">
      <c r="A398" s="26">
        <v>12</v>
      </c>
      <c r="B398" s="302" t="s">
        <v>554</v>
      </c>
      <c r="C398" s="39" t="s">
        <v>555</v>
      </c>
      <c r="D398" s="172"/>
      <c r="E398" s="172"/>
      <c r="F398" s="172">
        <f>554+150</f>
        <v>704</v>
      </c>
      <c r="G398" s="172"/>
      <c r="H398" s="172"/>
      <c r="I398" s="172"/>
      <c r="J398" s="172"/>
      <c r="K398" s="172"/>
      <c r="L398" s="172">
        <f>-554-150</f>
        <v>-704</v>
      </c>
      <c r="M398" s="172"/>
      <c r="N398" s="172"/>
      <c r="O398" s="172"/>
      <c r="P398" s="172"/>
      <c r="Q398" s="172"/>
      <c r="R398" s="172">
        <f t="shared" si="45"/>
        <v>0</v>
      </c>
      <c r="S398" s="172"/>
      <c r="T398" s="172"/>
      <c r="U398" s="172"/>
      <c r="V398" s="172"/>
      <c r="W398" s="172"/>
      <c r="X398" s="173">
        <f t="shared" si="46"/>
        <v>0</v>
      </c>
      <c r="Y398" s="247">
        <f t="shared" si="47"/>
        <v>0</v>
      </c>
      <c r="Z398" s="409"/>
    </row>
    <row r="399" spans="1:27" ht="20.100000000000001" customHeight="1" x14ac:dyDescent="0.2">
      <c r="A399" s="26">
        <v>13</v>
      </c>
      <c r="B399" s="74" t="s">
        <v>557</v>
      </c>
      <c r="C399" s="39" t="s">
        <v>558</v>
      </c>
      <c r="D399" s="172"/>
      <c r="E399" s="172"/>
      <c r="F399" s="172">
        <f>1164+314</f>
        <v>1478</v>
      </c>
      <c r="G399" s="172"/>
      <c r="H399" s="172"/>
      <c r="I399" s="172"/>
      <c r="J399" s="172"/>
      <c r="K399" s="172"/>
      <c r="L399" s="172">
        <f>-1164-314</f>
        <v>-1478</v>
      </c>
      <c r="M399" s="172"/>
      <c r="N399" s="172"/>
      <c r="O399" s="172"/>
      <c r="P399" s="172"/>
      <c r="Q399" s="172"/>
      <c r="R399" s="172">
        <f t="shared" si="45"/>
        <v>0</v>
      </c>
      <c r="S399" s="172"/>
      <c r="T399" s="172"/>
      <c r="U399" s="172"/>
      <c r="V399" s="172"/>
      <c r="W399" s="172"/>
      <c r="X399" s="173">
        <f t="shared" si="46"/>
        <v>0</v>
      </c>
      <c r="Y399" s="247">
        <f t="shared" si="47"/>
        <v>0</v>
      </c>
      <c r="Z399" s="409"/>
    </row>
    <row r="400" spans="1:27" ht="20.100000000000001" customHeight="1" x14ac:dyDescent="0.2">
      <c r="A400" s="26">
        <v>14</v>
      </c>
      <c r="B400" s="74" t="s">
        <v>559</v>
      </c>
      <c r="C400" s="39" t="s">
        <v>241</v>
      </c>
      <c r="D400" s="172"/>
      <c r="E400" s="172"/>
      <c r="F400" s="172"/>
      <c r="G400" s="172"/>
      <c r="H400" s="172"/>
      <c r="I400" s="172"/>
      <c r="J400" s="172">
        <f>300</f>
        <v>300</v>
      </c>
      <c r="K400" s="172">
        <f>-300</f>
        <v>-300</v>
      </c>
      <c r="L400" s="172"/>
      <c r="M400" s="172"/>
      <c r="N400" s="172"/>
      <c r="O400" s="172"/>
      <c r="P400" s="172"/>
      <c r="Q400" s="172"/>
      <c r="R400" s="172">
        <f t="shared" si="45"/>
        <v>0</v>
      </c>
      <c r="S400" s="172"/>
      <c r="T400" s="172"/>
      <c r="U400" s="172"/>
      <c r="V400" s="172"/>
      <c r="W400" s="172"/>
      <c r="X400" s="173">
        <f t="shared" si="46"/>
        <v>0</v>
      </c>
      <c r="Y400" s="247">
        <f t="shared" si="47"/>
        <v>0</v>
      </c>
      <c r="Z400" s="409"/>
    </row>
    <row r="401" spans="1:26" ht="20.100000000000001" customHeight="1" x14ac:dyDescent="0.2">
      <c r="A401" s="26">
        <v>15</v>
      </c>
      <c r="B401" s="74" t="s">
        <v>560</v>
      </c>
      <c r="C401" s="39" t="s">
        <v>561</v>
      </c>
      <c r="D401" s="172"/>
      <c r="E401" s="172"/>
      <c r="F401" s="172">
        <f>1811+489</f>
        <v>2300</v>
      </c>
      <c r="G401" s="172"/>
      <c r="H401" s="172"/>
      <c r="I401" s="172"/>
      <c r="J401" s="172"/>
      <c r="K401" s="172"/>
      <c r="L401" s="172"/>
      <c r="M401" s="172"/>
      <c r="N401" s="172"/>
      <c r="O401" s="172"/>
      <c r="P401" s="172"/>
      <c r="Q401" s="172"/>
      <c r="R401" s="172">
        <f t="shared" si="45"/>
        <v>2300</v>
      </c>
      <c r="S401" s="172"/>
      <c r="T401" s="172"/>
      <c r="U401" s="172"/>
      <c r="V401" s="172"/>
      <c r="W401" s="172"/>
      <c r="X401" s="173">
        <f t="shared" si="46"/>
        <v>0</v>
      </c>
      <c r="Y401" s="247">
        <f t="shared" si="47"/>
        <v>2300</v>
      </c>
      <c r="Z401" s="409"/>
    </row>
    <row r="402" spans="1:26" ht="20.100000000000001" hidden="1" customHeight="1" x14ac:dyDescent="0.2">
      <c r="A402" s="26"/>
      <c r="B402" s="74" t="s">
        <v>563</v>
      </c>
      <c r="C402" s="39" t="s">
        <v>562</v>
      </c>
      <c r="D402" s="172"/>
      <c r="E402" s="172"/>
      <c r="F402" s="172"/>
      <c r="G402" s="172"/>
      <c r="H402" s="172"/>
      <c r="I402" s="172"/>
      <c r="J402" s="172"/>
      <c r="K402" s="172">
        <f>-74.661+74.661</f>
        <v>0</v>
      </c>
      <c r="L402" s="172"/>
      <c r="M402" s="172"/>
      <c r="N402" s="172"/>
      <c r="O402" s="172"/>
      <c r="P402" s="172"/>
      <c r="Q402" s="172"/>
      <c r="R402" s="172">
        <f t="shared" si="45"/>
        <v>0</v>
      </c>
      <c r="S402" s="172"/>
      <c r="T402" s="172"/>
      <c r="U402" s="172"/>
      <c r="V402" s="172"/>
      <c r="W402" s="172"/>
      <c r="X402" s="173">
        <f t="shared" si="46"/>
        <v>0</v>
      </c>
      <c r="Y402" s="247">
        <f t="shared" si="47"/>
        <v>0</v>
      </c>
      <c r="Z402" s="409"/>
    </row>
    <row r="403" spans="1:26" ht="20.100000000000001" customHeight="1" x14ac:dyDescent="0.2">
      <c r="A403" s="26">
        <v>16</v>
      </c>
      <c r="B403" s="302" t="s">
        <v>564</v>
      </c>
      <c r="C403" s="39" t="s">
        <v>565</v>
      </c>
      <c r="D403" s="172"/>
      <c r="E403" s="172"/>
      <c r="F403" s="172">
        <f>177+48</f>
        <v>225</v>
      </c>
      <c r="G403" s="172"/>
      <c r="H403" s="172"/>
      <c r="I403" s="172"/>
      <c r="J403" s="172"/>
      <c r="K403" s="172"/>
      <c r="L403" s="172"/>
      <c r="M403" s="172">
        <f>-177-48</f>
        <v>-225</v>
      </c>
      <c r="N403" s="172"/>
      <c r="O403" s="172"/>
      <c r="P403" s="172"/>
      <c r="Q403" s="172"/>
      <c r="R403" s="172">
        <f t="shared" si="45"/>
        <v>0</v>
      </c>
      <c r="S403" s="172"/>
      <c r="T403" s="172"/>
      <c r="U403" s="172"/>
      <c r="V403" s="172"/>
      <c r="W403" s="172"/>
      <c r="X403" s="173">
        <f t="shared" si="46"/>
        <v>0</v>
      </c>
      <c r="Y403" s="247">
        <f t="shared" si="47"/>
        <v>0</v>
      </c>
      <c r="Z403" s="409"/>
    </row>
    <row r="404" spans="1:26" ht="20.100000000000001" customHeight="1" x14ac:dyDescent="0.2">
      <c r="A404" s="26">
        <v>17</v>
      </c>
      <c r="B404" s="74" t="s">
        <v>566</v>
      </c>
      <c r="C404" s="39" t="s">
        <v>241</v>
      </c>
      <c r="D404" s="172"/>
      <c r="E404" s="172"/>
      <c r="F404" s="172"/>
      <c r="G404" s="172"/>
      <c r="H404" s="172"/>
      <c r="I404" s="172"/>
      <c r="J404" s="172">
        <f>50</f>
        <v>50</v>
      </c>
      <c r="K404" s="172">
        <f>-50</f>
        <v>-50</v>
      </c>
      <c r="L404" s="172"/>
      <c r="M404" s="172"/>
      <c r="N404" s="172"/>
      <c r="O404" s="172"/>
      <c r="P404" s="172"/>
      <c r="Q404" s="172"/>
      <c r="R404" s="172">
        <f t="shared" si="45"/>
        <v>0</v>
      </c>
      <c r="S404" s="172"/>
      <c r="T404" s="172"/>
      <c r="U404" s="172"/>
      <c r="V404" s="172"/>
      <c r="W404" s="172"/>
      <c r="X404" s="173">
        <f t="shared" si="46"/>
        <v>0</v>
      </c>
      <c r="Y404" s="247">
        <f t="shared" si="47"/>
        <v>0</v>
      </c>
      <c r="Z404" s="409"/>
    </row>
    <row r="405" spans="1:26" ht="20.100000000000001" customHeight="1" x14ac:dyDescent="0.2">
      <c r="A405" s="26">
        <v>18</v>
      </c>
      <c r="B405" s="74" t="s">
        <v>567</v>
      </c>
      <c r="C405" s="39" t="s">
        <v>568</v>
      </c>
      <c r="D405" s="172"/>
      <c r="E405" s="172"/>
      <c r="F405" s="172"/>
      <c r="G405" s="172">
        <f>-143</f>
        <v>-143</v>
      </c>
      <c r="H405" s="172"/>
      <c r="I405" s="172"/>
      <c r="J405" s="172">
        <f>143</f>
        <v>143</v>
      </c>
      <c r="K405" s="172"/>
      <c r="L405" s="172"/>
      <c r="M405" s="172"/>
      <c r="N405" s="172"/>
      <c r="O405" s="172"/>
      <c r="P405" s="172"/>
      <c r="Q405" s="172"/>
      <c r="R405" s="172">
        <f t="shared" si="45"/>
        <v>0</v>
      </c>
      <c r="S405" s="172"/>
      <c r="T405" s="172"/>
      <c r="U405" s="172"/>
      <c r="V405" s="172"/>
      <c r="W405" s="172"/>
      <c r="X405" s="173">
        <f t="shared" si="46"/>
        <v>0</v>
      </c>
      <c r="Y405" s="247">
        <f t="shared" si="47"/>
        <v>0</v>
      </c>
      <c r="Z405" s="409"/>
    </row>
    <row r="406" spans="1:26" ht="20.100000000000001" customHeight="1" x14ac:dyDescent="0.2">
      <c r="A406" s="26">
        <v>19</v>
      </c>
      <c r="B406" s="74" t="s">
        <v>569</v>
      </c>
      <c r="C406" s="39" t="s">
        <v>241</v>
      </c>
      <c r="D406" s="172"/>
      <c r="E406" s="172"/>
      <c r="F406" s="172"/>
      <c r="G406" s="172"/>
      <c r="H406" s="172"/>
      <c r="I406" s="172"/>
      <c r="J406" s="172">
        <f>814.25</f>
        <v>814.25</v>
      </c>
      <c r="K406" s="172">
        <f>-814.25</f>
        <v>-814.25</v>
      </c>
      <c r="L406" s="172"/>
      <c r="M406" s="172"/>
      <c r="N406" s="172"/>
      <c r="O406" s="172"/>
      <c r="P406" s="172"/>
      <c r="Q406" s="172"/>
      <c r="R406" s="172">
        <f t="shared" si="45"/>
        <v>0</v>
      </c>
      <c r="S406" s="172"/>
      <c r="T406" s="172"/>
      <c r="U406" s="172"/>
      <c r="V406" s="172"/>
      <c r="W406" s="172"/>
      <c r="X406" s="173">
        <f t="shared" si="46"/>
        <v>0</v>
      </c>
      <c r="Y406" s="247">
        <f t="shared" si="47"/>
        <v>0</v>
      </c>
      <c r="Z406" s="409"/>
    </row>
    <row r="407" spans="1:26" ht="20.100000000000001" customHeight="1" x14ac:dyDescent="0.2">
      <c r="A407" s="26">
        <v>20</v>
      </c>
      <c r="B407" s="74" t="s">
        <v>570</v>
      </c>
      <c r="C407" s="39" t="s">
        <v>241</v>
      </c>
      <c r="D407" s="172"/>
      <c r="E407" s="172"/>
      <c r="F407" s="172">
        <f>1181+318.75</f>
        <v>1499.75</v>
      </c>
      <c r="G407" s="172"/>
      <c r="H407" s="172"/>
      <c r="I407" s="172"/>
      <c r="J407" s="172"/>
      <c r="K407" s="172">
        <f>-1499.75</f>
        <v>-1499.75</v>
      </c>
      <c r="L407" s="172"/>
      <c r="M407" s="172"/>
      <c r="N407" s="172"/>
      <c r="O407" s="172"/>
      <c r="P407" s="172"/>
      <c r="Q407" s="172"/>
      <c r="R407" s="172">
        <f t="shared" si="45"/>
        <v>0</v>
      </c>
      <c r="S407" s="172"/>
      <c r="T407" s="172"/>
      <c r="U407" s="172"/>
      <c r="V407" s="172"/>
      <c r="W407" s="172"/>
      <c r="X407" s="173">
        <f t="shared" si="46"/>
        <v>0</v>
      </c>
      <c r="Y407" s="247">
        <f t="shared" si="47"/>
        <v>0</v>
      </c>
      <c r="Z407" s="409"/>
    </row>
    <row r="408" spans="1:26" ht="20.100000000000001" customHeight="1" x14ac:dyDescent="0.2">
      <c r="A408" s="26">
        <v>21</v>
      </c>
      <c r="B408" s="74" t="s">
        <v>571</v>
      </c>
      <c r="C408" s="39" t="s">
        <v>256</v>
      </c>
      <c r="D408" s="172"/>
      <c r="E408" s="172"/>
      <c r="F408" s="172"/>
      <c r="G408" s="172"/>
      <c r="H408" s="172"/>
      <c r="I408" s="172"/>
      <c r="J408" s="172"/>
      <c r="K408" s="172">
        <f>-491</f>
        <v>-491</v>
      </c>
      <c r="L408" s="172"/>
      <c r="M408" s="172"/>
      <c r="N408" s="172"/>
      <c r="P408" s="172"/>
      <c r="Q408" s="172">
        <f>491</f>
        <v>491</v>
      </c>
      <c r="R408" s="172">
        <f>SUM(D408:Q408)</f>
        <v>0</v>
      </c>
      <c r="S408" s="172"/>
      <c r="T408" s="172"/>
      <c r="U408" s="172"/>
      <c r="V408" s="172"/>
      <c r="W408" s="172"/>
      <c r="X408" s="173">
        <f t="shared" si="46"/>
        <v>0</v>
      </c>
      <c r="Y408" s="247">
        <f t="shared" si="47"/>
        <v>0</v>
      </c>
      <c r="Z408" s="409"/>
    </row>
    <row r="409" spans="1:26" ht="20.100000000000001" customHeight="1" x14ac:dyDescent="0.2">
      <c r="A409" s="26">
        <v>22</v>
      </c>
      <c r="B409" s="302" t="s">
        <v>572</v>
      </c>
      <c r="C409" s="39" t="s">
        <v>573</v>
      </c>
      <c r="D409" s="172"/>
      <c r="E409" s="172"/>
      <c r="F409" s="172"/>
      <c r="G409" s="172"/>
      <c r="H409" s="172"/>
      <c r="I409" s="172"/>
      <c r="J409" s="172"/>
      <c r="K409" s="172">
        <f>3868.34</f>
        <v>3868.34</v>
      </c>
      <c r="L409" s="172"/>
      <c r="M409" s="172"/>
      <c r="N409" s="172"/>
      <c r="O409" s="172"/>
      <c r="P409" s="172"/>
      <c r="Q409" s="172"/>
      <c r="R409" s="172">
        <f t="shared" si="45"/>
        <v>3868.34</v>
      </c>
      <c r="S409" s="172"/>
      <c r="T409" s="172"/>
      <c r="U409" s="172"/>
      <c r="V409" s="172"/>
      <c r="W409" s="172"/>
      <c r="X409" s="173">
        <f t="shared" si="46"/>
        <v>0</v>
      </c>
      <c r="Y409" s="247">
        <f t="shared" si="47"/>
        <v>3868.34</v>
      </c>
      <c r="Z409" s="409"/>
    </row>
    <row r="410" spans="1:26" ht="20.100000000000001" customHeight="1" x14ac:dyDescent="0.2">
      <c r="A410" s="26">
        <v>23</v>
      </c>
      <c r="B410" s="302" t="s">
        <v>583</v>
      </c>
      <c r="C410" s="39" t="s">
        <v>582</v>
      </c>
      <c r="D410" s="172"/>
      <c r="E410" s="172"/>
      <c r="F410" s="172"/>
      <c r="G410" s="172"/>
      <c r="H410" s="172"/>
      <c r="I410" s="172"/>
      <c r="J410" s="172"/>
      <c r="K410" s="172"/>
      <c r="L410" s="172">
        <f>11811+3189</f>
        <v>15000</v>
      </c>
      <c r="M410" s="172"/>
      <c r="N410" s="172"/>
      <c r="O410" s="172"/>
      <c r="P410" s="172"/>
      <c r="Q410" s="172"/>
      <c r="R410" s="172">
        <f t="shared" si="45"/>
        <v>15000</v>
      </c>
      <c r="S410" s="172"/>
      <c r="T410" s="172"/>
      <c r="U410" s="172"/>
      <c r="V410" s="172"/>
      <c r="W410" s="172"/>
      <c r="X410" s="173">
        <f t="shared" si="46"/>
        <v>0</v>
      </c>
      <c r="Y410" s="247">
        <f t="shared" si="47"/>
        <v>15000</v>
      </c>
      <c r="Z410" s="409"/>
    </row>
    <row r="411" spans="1:26" ht="20.100000000000001" customHeight="1" x14ac:dyDescent="0.2">
      <c r="A411" s="26">
        <v>24</v>
      </c>
      <c r="B411" s="74" t="s">
        <v>574</v>
      </c>
      <c r="C411" s="39" t="s">
        <v>575</v>
      </c>
      <c r="D411" s="172"/>
      <c r="E411" s="172"/>
      <c r="F411" s="172"/>
      <c r="G411" s="172"/>
      <c r="H411" s="172"/>
      <c r="I411" s="172"/>
      <c r="J411" s="172"/>
      <c r="K411" s="172"/>
      <c r="L411" s="172"/>
      <c r="M411" s="172"/>
      <c r="N411" s="172"/>
      <c r="O411" s="172"/>
      <c r="P411" s="172"/>
      <c r="Q411" s="172"/>
      <c r="R411" s="172">
        <f t="shared" si="45"/>
        <v>0</v>
      </c>
      <c r="S411" s="172"/>
      <c r="T411" s="172"/>
      <c r="U411" s="172"/>
      <c r="V411" s="172"/>
      <c r="W411" s="172"/>
      <c r="X411" s="173">
        <f t="shared" si="46"/>
        <v>0</v>
      </c>
      <c r="Y411" s="247">
        <f t="shared" si="47"/>
        <v>0</v>
      </c>
      <c r="Z411" s="409">
        <f>1747.429+972.679</f>
        <v>2720.1080000000002</v>
      </c>
    </row>
    <row r="412" spans="1:26" ht="20.100000000000001" customHeight="1" x14ac:dyDescent="0.2">
      <c r="A412" s="26">
        <v>25</v>
      </c>
      <c r="B412" s="74" t="s">
        <v>577</v>
      </c>
      <c r="C412" s="39" t="s">
        <v>578</v>
      </c>
      <c r="D412" s="172"/>
      <c r="E412" s="172"/>
      <c r="F412" s="172">
        <f>-454.812</f>
        <v>-454.81200000000001</v>
      </c>
      <c r="G412" s="172"/>
      <c r="H412" s="172"/>
      <c r="I412" s="172"/>
      <c r="J412" s="172"/>
      <c r="K412" s="172"/>
      <c r="L412" s="172"/>
      <c r="M412" s="172"/>
      <c r="N412" s="172"/>
      <c r="O412" s="172"/>
      <c r="P412" s="172"/>
      <c r="Q412" s="172"/>
      <c r="R412" s="172">
        <f t="shared" si="45"/>
        <v>-454.81200000000001</v>
      </c>
      <c r="S412" s="172"/>
      <c r="T412" s="172"/>
      <c r="U412" s="172"/>
      <c r="V412" s="172"/>
      <c r="W412" s="172"/>
      <c r="X412" s="173">
        <f t="shared" si="46"/>
        <v>0</v>
      </c>
      <c r="Y412" s="247">
        <f t="shared" si="47"/>
        <v>-454.81200000000001</v>
      </c>
      <c r="Z412" s="409">
        <f>454.812</f>
        <v>454.81200000000001</v>
      </c>
    </row>
    <row r="413" spans="1:26" ht="20.100000000000001" customHeight="1" x14ac:dyDescent="0.2">
      <c r="A413" s="26">
        <v>26</v>
      </c>
      <c r="B413" s="74" t="s">
        <v>579</v>
      </c>
      <c r="C413" s="39" t="s">
        <v>578</v>
      </c>
      <c r="D413" s="172"/>
      <c r="E413" s="172"/>
      <c r="F413" s="172"/>
      <c r="G413" s="172"/>
      <c r="H413" s="172"/>
      <c r="I413" s="172"/>
      <c r="J413" s="172"/>
      <c r="K413" s="172">
        <f>-14000</f>
        <v>-14000</v>
      </c>
      <c r="L413" s="172"/>
      <c r="M413" s="172"/>
      <c r="N413" s="172"/>
      <c r="O413" s="172"/>
      <c r="P413" s="172"/>
      <c r="Q413" s="172"/>
      <c r="R413" s="172">
        <f t="shared" si="45"/>
        <v>-14000</v>
      </c>
      <c r="S413" s="172"/>
      <c r="T413" s="172"/>
      <c r="U413" s="172"/>
      <c r="V413" s="172"/>
      <c r="W413" s="172"/>
      <c r="X413" s="173">
        <f t="shared" si="46"/>
        <v>0</v>
      </c>
      <c r="Y413" s="247">
        <f t="shared" si="47"/>
        <v>-14000</v>
      </c>
      <c r="Z413" s="409">
        <f>14000</f>
        <v>14000</v>
      </c>
    </row>
    <row r="414" spans="1:26" ht="20.100000000000001" customHeight="1" x14ac:dyDescent="0.2">
      <c r="A414" s="26">
        <v>27</v>
      </c>
      <c r="B414" s="74" t="s">
        <v>580</v>
      </c>
      <c r="C414" s="39" t="s">
        <v>200</v>
      </c>
      <c r="D414" s="172"/>
      <c r="E414" s="172"/>
      <c r="F414" s="172"/>
      <c r="G414" s="172"/>
      <c r="H414" s="172">
        <f>28.933</f>
        <v>28.933</v>
      </c>
      <c r="I414" s="172"/>
      <c r="J414" s="172"/>
      <c r="K414" s="172"/>
      <c r="L414" s="172"/>
      <c r="M414" s="172"/>
      <c r="N414" s="172"/>
      <c r="O414" s="172"/>
      <c r="P414" s="172"/>
      <c r="Q414" s="172"/>
      <c r="R414" s="172">
        <f t="shared" si="45"/>
        <v>28.933</v>
      </c>
      <c r="S414" s="172"/>
      <c r="T414" s="172"/>
      <c r="U414" s="172"/>
      <c r="V414" s="172"/>
      <c r="W414" s="172"/>
      <c r="X414" s="173">
        <f t="shared" si="46"/>
        <v>0</v>
      </c>
      <c r="Y414" s="247">
        <f t="shared" si="47"/>
        <v>28.933</v>
      </c>
      <c r="Z414" s="409">
        <f>8415.517</f>
        <v>8415.5169999999998</v>
      </c>
    </row>
    <row r="415" spans="1:26" ht="20.100000000000001" customHeight="1" x14ac:dyDescent="0.2">
      <c r="A415" s="26">
        <v>28</v>
      </c>
      <c r="B415" s="302" t="s">
        <v>584</v>
      </c>
      <c r="C415" s="39" t="s">
        <v>411</v>
      </c>
      <c r="D415" s="172"/>
      <c r="E415" s="172"/>
      <c r="F415" s="172"/>
      <c r="G415" s="172"/>
      <c r="H415" s="172"/>
      <c r="I415" s="172"/>
      <c r="J415" s="172"/>
      <c r="K415" s="172"/>
      <c r="L415" s="172"/>
      <c r="M415" s="172"/>
      <c r="N415" s="172"/>
      <c r="O415" s="172"/>
      <c r="P415" s="172"/>
      <c r="Q415" s="172"/>
      <c r="R415" s="172">
        <f t="shared" si="45"/>
        <v>0</v>
      </c>
      <c r="S415" s="172"/>
      <c r="T415" s="172"/>
      <c r="U415" s="172"/>
      <c r="V415" s="172"/>
      <c r="W415" s="172"/>
      <c r="X415" s="173">
        <f t="shared" si="46"/>
        <v>0</v>
      </c>
      <c r="Y415" s="247">
        <f t="shared" si="47"/>
        <v>0</v>
      </c>
      <c r="Z415" s="409">
        <f>674.717</f>
        <v>674.71699999999998</v>
      </c>
    </row>
    <row r="416" spans="1:26" ht="20.100000000000001" customHeight="1" x14ac:dyDescent="0.2">
      <c r="A416" s="26">
        <v>29</v>
      </c>
      <c r="B416" s="74" t="s">
        <v>586</v>
      </c>
      <c r="C416" s="39" t="s">
        <v>587</v>
      </c>
      <c r="D416" s="172"/>
      <c r="E416" s="172"/>
      <c r="F416" s="172"/>
      <c r="G416" s="172"/>
      <c r="H416" s="172"/>
      <c r="I416" s="172"/>
      <c r="J416" s="172"/>
      <c r="K416" s="172">
        <f>-40000</f>
        <v>-40000</v>
      </c>
      <c r="L416" s="172"/>
      <c r="M416" s="172"/>
      <c r="N416" s="172"/>
      <c r="O416" s="172"/>
      <c r="P416" s="172"/>
      <c r="Q416" s="172">
        <f>40000</f>
        <v>40000</v>
      </c>
      <c r="R416" s="172">
        <f t="shared" si="45"/>
        <v>0</v>
      </c>
      <c r="S416" s="172"/>
      <c r="T416" s="172"/>
      <c r="U416" s="172"/>
      <c r="V416" s="172"/>
      <c r="W416" s="172"/>
      <c r="X416" s="173">
        <f t="shared" si="46"/>
        <v>0</v>
      </c>
      <c r="Y416" s="247">
        <f t="shared" si="47"/>
        <v>0</v>
      </c>
      <c r="Z416" s="409"/>
    </row>
    <row r="417" spans="1:26" ht="20.100000000000001" customHeight="1" x14ac:dyDescent="0.2">
      <c r="A417" s="26">
        <v>30</v>
      </c>
      <c r="B417" s="302" t="s">
        <v>588</v>
      </c>
      <c r="C417" s="39" t="s">
        <v>242</v>
      </c>
      <c r="D417" s="172"/>
      <c r="E417" s="172"/>
      <c r="F417" s="172"/>
      <c r="G417" s="172"/>
      <c r="H417" s="172"/>
      <c r="I417" s="172"/>
      <c r="J417" s="172">
        <f>181</f>
        <v>181</v>
      </c>
      <c r="K417" s="172">
        <f>-181</f>
        <v>-181</v>
      </c>
      <c r="L417" s="172"/>
      <c r="M417" s="172"/>
      <c r="N417" s="172"/>
      <c r="O417" s="172"/>
      <c r="P417" s="172"/>
      <c r="Q417" s="172"/>
      <c r="R417" s="172">
        <f t="shared" si="45"/>
        <v>0</v>
      </c>
      <c r="S417" s="172"/>
      <c r="T417" s="172"/>
      <c r="U417" s="172"/>
      <c r="V417" s="172"/>
      <c r="W417" s="172"/>
      <c r="X417" s="173">
        <f t="shared" si="46"/>
        <v>0</v>
      </c>
      <c r="Y417" s="247">
        <f t="shared" si="47"/>
        <v>0</v>
      </c>
      <c r="Z417" s="409"/>
    </row>
    <row r="418" spans="1:26" ht="20.100000000000001" customHeight="1" x14ac:dyDescent="0.2">
      <c r="A418" s="26">
        <v>31</v>
      </c>
      <c r="B418" s="74" t="s">
        <v>593</v>
      </c>
      <c r="C418" s="39" t="s">
        <v>592</v>
      </c>
      <c r="D418" s="172"/>
      <c r="E418" s="172"/>
      <c r="F418" s="172">
        <f>-1427.04</f>
        <v>-1427.04</v>
      </c>
      <c r="G418" s="172"/>
      <c r="H418" s="172">
        <f>-4500</f>
        <v>-4500</v>
      </c>
      <c r="I418" s="172"/>
      <c r="J418" s="172"/>
      <c r="K418" s="172"/>
      <c r="L418" s="172"/>
      <c r="M418" s="172"/>
      <c r="N418" s="172"/>
      <c r="O418" s="172"/>
      <c r="P418" s="172"/>
      <c r="Q418" s="172"/>
      <c r="R418" s="172">
        <f t="shared" si="45"/>
        <v>-5927.04</v>
      </c>
      <c r="S418" s="172"/>
      <c r="T418" s="172"/>
      <c r="U418" s="172"/>
      <c r="V418" s="172"/>
      <c r="W418" s="172"/>
      <c r="X418" s="173">
        <f t="shared" si="46"/>
        <v>0</v>
      </c>
      <c r="Y418" s="247">
        <f t="shared" si="47"/>
        <v>-5927.04</v>
      </c>
      <c r="Z418" s="409"/>
    </row>
    <row r="419" spans="1:26" ht="20.100000000000001" customHeight="1" x14ac:dyDescent="0.2">
      <c r="A419" s="26">
        <v>32</v>
      </c>
      <c r="B419" s="74" t="s">
        <v>594</v>
      </c>
      <c r="C419" s="39" t="s">
        <v>595</v>
      </c>
      <c r="D419" s="172"/>
      <c r="E419" s="172"/>
      <c r="F419" s="172">
        <f>1664+408</f>
        <v>2072</v>
      </c>
      <c r="G419" s="172"/>
      <c r="H419" s="172"/>
      <c r="I419" s="172"/>
      <c r="J419" s="172"/>
      <c r="K419" s="172"/>
      <c r="L419" s="172"/>
      <c r="M419" s="172"/>
      <c r="N419" s="172"/>
      <c r="O419" s="172"/>
      <c r="P419" s="172"/>
      <c r="Q419" s="172"/>
      <c r="R419" s="172">
        <f t="shared" si="45"/>
        <v>2072</v>
      </c>
      <c r="S419" s="172"/>
      <c r="T419" s="172"/>
      <c r="U419" s="172"/>
      <c r="V419" s="172"/>
      <c r="W419" s="172"/>
      <c r="X419" s="173">
        <f t="shared" si="46"/>
        <v>0</v>
      </c>
      <c r="Y419" s="247">
        <f t="shared" si="47"/>
        <v>2072</v>
      </c>
      <c r="Z419" s="409"/>
    </row>
    <row r="420" spans="1:26" ht="20.100000000000001" customHeight="1" x14ac:dyDescent="0.2">
      <c r="A420" s="26">
        <v>33</v>
      </c>
      <c r="B420" s="302" t="s">
        <v>599</v>
      </c>
      <c r="C420" s="39" t="s">
        <v>598</v>
      </c>
      <c r="D420" s="172">
        <f>200</f>
        <v>200</v>
      </c>
      <c r="E420" s="172">
        <f>54</f>
        <v>54</v>
      </c>
      <c r="F420" s="172"/>
      <c r="G420" s="172">
        <f>-254</f>
        <v>-254</v>
      </c>
      <c r="H420" s="172"/>
      <c r="I420" s="172"/>
      <c r="J420" s="172"/>
      <c r="K420" s="172"/>
      <c r="L420" s="172"/>
      <c r="M420" s="172"/>
      <c r="N420" s="172"/>
      <c r="O420" s="172"/>
      <c r="P420" s="172"/>
      <c r="Q420" s="172"/>
      <c r="R420" s="172">
        <f t="shared" si="45"/>
        <v>0</v>
      </c>
      <c r="S420" s="172"/>
      <c r="T420" s="172"/>
      <c r="U420" s="172"/>
      <c r="V420" s="172"/>
      <c r="W420" s="172"/>
      <c r="X420" s="173">
        <f t="shared" si="46"/>
        <v>0</v>
      </c>
      <c r="Y420" s="247">
        <f t="shared" si="47"/>
        <v>0</v>
      </c>
      <c r="Z420" s="409"/>
    </row>
    <row r="421" spans="1:26" ht="20.100000000000001" customHeight="1" x14ac:dyDescent="0.2">
      <c r="A421" s="26">
        <v>34</v>
      </c>
      <c r="B421" s="74" t="s">
        <v>602</v>
      </c>
      <c r="C421" s="39" t="s">
        <v>603</v>
      </c>
      <c r="D421" s="172">
        <f>-51</f>
        <v>-51</v>
      </c>
      <c r="E421" s="172"/>
      <c r="F421" s="172">
        <f>40+11</f>
        <v>51</v>
      </c>
      <c r="G421" s="172"/>
      <c r="H421" s="172"/>
      <c r="I421" s="172"/>
      <c r="J421" s="172"/>
      <c r="K421" s="172"/>
      <c r="L421" s="172"/>
      <c r="M421" s="172"/>
      <c r="N421" s="172"/>
      <c r="O421" s="172"/>
      <c r="P421" s="172"/>
      <c r="Q421" s="172"/>
      <c r="R421" s="172">
        <f t="shared" si="45"/>
        <v>0</v>
      </c>
      <c r="S421" s="172"/>
      <c r="T421" s="172"/>
      <c r="U421" s="172"/>
      <c r="V421" s="172"/>
      <c r="W421" s="172"/>
      <c r="X421" s="173">
        <f t="shared" si="46"/>
        <v>0</v>
      </c>
      <c r="Y421" s="247">
        <f t="shared" si="47"/>
        <v>0</v>
      </c>
      <c r="Z421" s="409"/>
    </row>
    <row r="422" spans="1:26" ht="20.100000000000001" customHeight="1" x14ac:dyDescent="0.2">
      <c r="A422" s="26">
        <v>35</v>
      </c>
      <c r="B422" s="74" t="s">
        <v>604</v>
      </c>
      <c r="C422" s="39" t="s">
        <v>605</v>
      </c>
      <c r="D422" s="172">
        <f>1157-1413+409+1097</f>
        <v>1250</v>
      </c>
      <c r="E422" s="172">
        <f>208+1+1</f>
        <v>210</v>
      </c>
      <c r="F422" s="172">
        <f>-857-2-1-89+47-5+40+99+39-31</f>
        <v>-760</v>
      </c>
      <c r="G422" s="172"/>
      <c r="H422" s="172"/>
      <c r="I422" s="172"/>
      <c r="J422" s="172">
        <f>-400</f>
        <v>-400</v>
      </c>
      <c r="K422" s="172"/>
      <c r="L422" s="172">
        <f>-189-47-64</f>
        <v>-300</v>
      </c>
      <c r="M422" s="172"/>
      <c r="N422" s="172"/>
      <c r="O422" s="172"/>
      <c r="P422" s="172"/>
      <c r="Q422" s="172"/>
      <c r="R422" s="172">
        <f t="shared" si="45"/>
        <v>0</v>
      </c>
      <c r="S422" s="172"/>
      <c r="T422" s="172"/>
      <c r="U422" s="172"/>
      <c r="V422" s="172"/>
      <c r="W422" s="172"/>
      <c r="X422" s="173">
        <f t="shared" si="46"/>
        <v>0</v>
      </c>
      <c r="Y422" s="247">
        <f t="shared" si="47"/>
        <v>0</v>
      </c>
      <c r="Z422" s="409"/>
    </row>
    <row r="423" spans="1:26" ht="20.100000000000001" customHeight="1" x14ac:dyDescent="0.2">
      <c r="A423" s="26">
        <v>36</v>
      </c>
      <c r="B423" s="74" t="s">
        <v>606</v>
      </c>
      <c r="C423" s="39" t="s">
        <v>607</v>
      </c>
      <c r="D423" s="172"/>
      <c r="E423" s="172"/>
      <c r="F423" s="172">
        <f>-147-37+9</f>
        <v>-175</v>
      </c>
      <c r="G423" s="172"/>
      <c r="H423" s="172"/>
      <c r="I423" s="172"/>
      <c r="J423" s="172"/>
      <c r="K423" s="172"/>
      <c r="L423" s="172">
        <f>27+111+37</f>
        <v>175</v>
      </c>
      <c r="M423" s="172"/>
      <c r="N423" s="172"/>
      <c r="O423" s="172"/>
      <c r="P423" s="172"/>
      <c r="Q423" s="172"/>
      <c r="R423" s="172">
        <f t="shared" si="45"/>
        <v>0</v>
      </c>
      <c r="S423" s="172"/>
      <c r="T423" s="172"/>
      <c r="U423" s="172"/>
      <c r="V423" s="172"/>
      <c r="W423" s="172"/>
      <c r="X423" s="173">
        <f t="shared" si="46"/>
        <v>0</v>
      </c>
      <c r="Y423" s="247">
        <f t="shared" si="47"/>
        <v>0</v>
      </c>
      <c r="Z423" s="409"/>
    </row>
    <row r="424" spans="1:26" ht="20.100000000000001" customHeight="1" x14ac:dyDescent="0.2">
      <c r="A424" s="26">
        <v>37</v>
      </c>
      <c r="B424" s="302" t="s">
        <v>608</v>
      </c>
      <c r="C424" s="39" t="s">
        <v>609</v>
      </c>
      <c r="D424" s="172"/>
      <c r="E424" s="172"/>
      <c r="F424" s="172"/>
      <c r="G424" s="172"/>
      <c r="H424" s="172"/>
      <c r="I424" s="172"/>
      <c r="J424" s="172"/>
      <c r="K424" s="172">
        <f>8350.069</f>
        <v>8350.0689999999995</v>
      </c>
      <c r="L424" s="172"/>
      <c r="M424" s="172"/>
      <c r="N424" s="172"/>
      <c r="O424" s="172"/>
      <c r="P424" s="172"/>
      <c r="Q424" s="172"/>
      <c r="R424" s="172">
        <f t="shared" si="45"/>
        <v>8350.0689999999995</v>
      </c>
      <c r="S424" s="172"/>
      <c r="T424" s="172"/>
      <c r="U424" s="172"/>
      <c r="V424" s="172"/>
      <c r="W424" s="172"/>
      <c r="X424" s="173">
        <f t="shared" si="46"/>
        <v>0</v>
      </c>
      <c r="Y424" s="247">
        <f t="shared" si="47"/>
        <v>8350.0689999999995</v>
      </c>
      <c r="Z424" s="409">
        <f>-44324.975-8350.069</f>
        <v>-52675.043999999994</v>
      </c>
    </row>
    <row r="425" spans="1:26" ht="20.100000000000001" customHeight="1" x14ac:dyDescent="0.2">
      <c r="A425" s="26">
        <v>38</v>
      </c>
      <c r="B425" s="74" t="s">
        <v>613</v>
      </c>
      <c r="C425" s="39" t="s">
        <v>614</v>
      </c>
      <c r="D425" s="172">
        <f>438</f>
        <v>438</v>
      </c>
      <c r="E425" s="172">
        <f>62</f>
        <v>62</v>
      </c>
      <c r="F425" s="172">
        <f>-394-106</f>
        <v>-500</v>
      </c>
      <c r="G425" s="172"/>
      <c r="H425" s="172"/>
      <c r="I425" s="172"/>
      <c r="J425" s="172"/>
      <c r="K425" s="172"/>
      <c r="L425" s="172"/>
      <c r="M425" s="172"/>
      <c r="N425" s="172"/>
      <c r="O425" s="172"/>
      <c r="P425" s="172"/>
      <c r="Q425" s="172"/>
      <c r="R425" s="172">
        <f t="shared" si="45"/>
        <v>0</v>
      </c>
      <c r="S425" s="172"/>
      <c r="T425" s="172"/>
      <c r="U425" s="172"/>
      <c r="V425" s="172"/>
      <c r="W425" s="172"/>
      <c r="X425" s="173">
        <f t="shared" si="46"/>
        <v>0</v>
      </c>
      <c r="Y425" s="247">
        <f t="shared" si="47"/>
        <v>0</v>
      </c>
      <c r="Z425" s="409"/>
    </row>
    <row r="426" spans="1:26" ht="20.100000000000001" customHeight="1" x14ac:dyDescent="0.2">
      <c r="A426" s="26">
        <v>39</v>
      </c>
      <c r="B426" s="74" t="s">
        <v>615</v>
      </c>
      <c r="C426" s="39" t="s">
        <v>616</v>
      </c>
      <c r="D426" s="172"/>
      <c r="E426" s="172"/>
      <c r="F426" s="172">
        <f>-1200-400+23+1000+293</f>
        <v>-284</v>
      </c>
      <c r="G426" s="172"/>
      <c r="H426" s="172"/>
      <c r="I426" s="172"/>
      <c r="J426" s="172"/>
      <c r="K426" s="172"/>
      <c r="L426" s="172"/>
      <c r="M426" s="172"/>
      <c r="N426" s="172">
        <f>284</f>
        <v>284</v>
      </c>
      <c r="O426" s="172"/>
      <c r="P426" s="172"/>
      <c r="Q426" s="172"/>
      <c r="R426" s="172">
        <f t="shared" si="45"/>
        <v>0</v>
      </c>
      <c r="S426" s="172"/>
      <c r="T426" s="172"/>
      <c r="U426" s="172"/>
      <c r="V426" s="172"/>
      <c r="W426" s="172"/>
      <c r="X426" s="173">
        <f t="shared" si="46"/>
        <v>0</v>
      </c>
      <c r="Y426" s="247">
        <f t="shared" si="47"/>
        <v>0</v>
      </c>
      <c r="Z426" s="409"/>
    </row>
    <row r="427" spans="1:26" ht="20.100000000000001" customHeight="1" x14ac:dyDescent="0.2">
      <c r="A427" s="26">
        <v>40</v>
      </c>
      <c r="B427" s="74" t="s">
        <v>617</v>
      </c>
      <c r="C427" s="39" t="s">
        <v>618</v>
      </c>
      <c r="D427" s="172"/>
      <c r="E427" s="172"/>
      <c r="F427" s="172">
        <f>-16</f>
        <v>-16</v>
      </c>
      <c r="G427" s="172">
        <f>16</f>
        <v>16</v>
      </c>
      <c r="H427" s="172"/>
      <c r="I427" s="172"/>
      <c r="J427" s="172"/>
      <c r="K427" s="172"/>
      <c r="L427" s="172"/>
      <c r="M427" s="172"/>
      <c r="N427" s="172"/>
      <c r="O427" s="172"/>
      <c r="P427" s="172"/>
      <c r="Q427" s="172"/>
      <c r="R427" s="172">
        <f t="shared" si="45"/>
        <v>0</v>
      </c>
      <c r="S427" s="172"/>
      <c r="T427" s="172"/>
      <c r="U427" s="172"/>
      <c r="V427" s="172"/>
      <c r="W427" s="172"/>
      <c r="X427" s="173">
        <f t="shared" si="46"/>
        <v>0</v>
      </c>
      <c r="Y427" s="247">
        <f t="shared" si="47"/>
        <v>0</v>
      </c>
      <c r="Z427" s="409"/>
    </row>
    <row r="428" spans="1:26" ht="20.100000000000001" customHeight="1" x14ac:dyDescent="0.2">
      <c r="A428" s="26">
        <v>41</v>
      </c>
      <c r="B428" s="302" t="s">
        <v>619</v>
      </c>
      <c r="C428" s="39" t="s">
        <v>440</v>
      </c>
      <c r="D428" s="172"/>
      <c r="E428" s="172"/>
      <c r="F428" s="172">
        <f>3024</f>
        <v>3024</v>
      </c>
      <c r="G428" s="172"/>
      <c r="H428" s="172"/>
      <c r="I428" s="172"/>
      <c r="J428" s="172"/>
      <c r="K428" s="172">
        <f>11200</f>
        <v>11200</v>
      </c>
      <c r="L428" s="172"/>
      <c r="M428" s="172"/>
      <c r="N428" s="172"/>
      <c r="O428" s="172"/>
      <c r="P428" s="172"/>
      <c r="Q428" s="172"/>
      <c r="R428" s="172">
        <f t="shared" si="45"/>
        <v>14224</v>
      </c>
      <c r="S428" s="172"/>
      <c r="T428" s="172"/>
      <c r="U428" s="172"/>
      <c r="V428" s="172"/>
      <c r="W428" s="172"/>
      <c r="X428" s="173">
        <f t="shared" si="46"/>
        <v>0</v>
      </c>
      <c r="Y428" s="247">
        <f t="shared" si="47"/>
        <v>14224</v>
      </c>
      <c r="Z428" s="409"/>
    </row>
    <row r="429" spans="1:26" ht="20.100000000000001" customHeight="1" x14ac:dyDescent="0.2">
      <c r="A429" s="26">
        <v>42</v>
      </c>
      <c r="B429" s="74" t="s">
        <v>621</v>
      </c>
      <c r="C429" s="39" t="s">
        <v>620</v>
      </c>
      <c r="D429" s="172"/>
      <c r="E429" s="172"/>
      <c r="F429" s="172">
        <f>681</f>
        <v>681</v>
      </c>
      <c r="G429" s="172"/>
      <c r="H429" s="172"/>
      <c r="I429" s="172"/>
      <c r="J429" s="172"/>
      <c r="K429" s="172"/>
      <c r="L429" s="172"/>
      <c r="M429" s="172"/>
      <c r="N429" s="172"/>
      <c r="O429" s="172"/>
      <c r="P429" s="172"/>
      <c r="Q429" s="172"/>
      <c r="R429" s="172">
        <f t="shared" si="45"/>
        <v>681</v>
      </c>
      <c r="S429" s="172"/>
      <c r="T429" s="172"/>
      <c r="U429" s="172"/>
      <c r="V429" s="172"/>
      <c r="W429" s="172"/>
      <c r="X429" s="173">
        <f t="shared" si="46"/>
        <v>0</v>
      </c>
      <c r="Y429" s="247">
        <f t="shared" si="47"/>
        <v>681</v>
      </c>
      <c r="Z429" s="409"/>
    </row>
    <row r="430" spans="1:26" ht="20.100000000000001" customHeight="1" x14ac:dyDescent="0.2">
      <c r="A430" s="26">
        <v>43</v>
      </c>
      <c r="B430" s="302" t="s">
        <v>622</v>
      </c>
      <c r="C430" s="39" t="s">
        <v>623</v>
      </c>
      <c r="D430" s="172"/>
      <c r="E430" s="172"/>
      <c r="F430" s="172"/>
      <c r="G430" s="172"/>
      <c r="H430" s="172"/>
      <c r="I430" s="172"/>
      <c r="J430" s="172"/>
      <c r="K430" s="172"/>
      <c r="L430" s="172"/>
      <c r="M430" s="172"/>
      <c r="N430" s="172"/>
      <c r="O430" s="172"/>
      <c r="P430" s="172"/>
      <c r="Q430" s="172"/>
      <c r="R430" s="172">
        <f t="shared" si="45"/>
        <v>0</v>
      </c>
      <c r="S430" s="172"/>
      <c r="T430" s="172"/>
      <c r="U430" s="172"/>
      <c r="V430" s="172">
        <f>39177</f>
        <v>39177</v>
      </c>
      <c r="W430" s="172"/>
      <c r="X430" s="173">
        <f t="shared" si="46"/>
        <v>39177</v>
      </c>
      <c r="Y430" s="247">
        <f t="shared" si="47"/>
        <v>39177</v>
      </c>
      <c r="Z430" s="409"/>
    </row>
    <row r="431" spans="1:26" ht="20.100000000000001" customHeight="1" x14ac:dyDescent="0.2">
      <c r="A431" s="26">
        <v>44</v>
      </c>
      <c r="B431" s="74" t="s">
        <v>624</v>
      </c>
      <c r="C431" s="39" t="s">
        <v>477</v>
      </c>
      <c r="D431" s="172"/>
      <c r="E431" s="172"/>
      <c r="F431" s="172"/>
      <c r="G431" s="172"/>
      <c r="H431" s="172"/>
      <c r="I431" s="172"/>
      <c r="J431" s="172"/>
      <c r="K431" s="172">
        <f>-638</f>
        <v>-638</v>
      </c>
      <c r="L431" s="172"/>
      <c r="M431" s="172"/>
      <c r="N431" s="172"/>
      <c r="O431" s="172"/>
      <c r="P431" s="172"/>
      <c r="Q431" s="172"/>
      <c r="R431" s="172">
        <f t="shared" si="45"/>
        <v>-638</v>
      </c>
      <c r="S431" s="172"/>
      <c r="T431" s="172"/>
      <c r="U431" s="172"/>
      <c r="V431" s="172"/>
      <c r="W431" s="172"/>
      <c r="X431" s="173">
        <f t="shared" si="46"/>
        <v>0</v>
      </c>
      <c r="Y431" s="247">
        <f t="shared" si="47"/>
        <v>-638</v>
      </c>
      <c r="Z431" s="409">
        <f>638</f>
        <v>638</v>
      </c>
    </row>
    <row r="432" spans="1:26" ht="20.100000000000001" customHeight="1" x14ac:dyDescent="0.2">
      <c r="A432" s="26">
        <v>45</v>
      </c>
      <c r="B432" s="302" t="s">
        <v>627</v>
      </c>
      <c r="C432" s="39" t="s">
        <v>626</v>
      </c>
      <c r="D432" s="172"/>
      <c r="E432" s="172"/>
      <c r="F432" s="172"/>
      <c r="G432" s="172"/>
      <c r="H432" s="172"/>
      <c r="I432" s="172"/>
      <c r="J432" s="172"/>
      <c r="K432" s="172">
        <f>1520</f>
        <v>1520</v>
      </c>
      <c r="L432" s="172"/>
      <c r="M432" s="172"/>
      <c r="N432" s="172"/>
      <c r="O432" s="172"/>
      <c r="P432" s="172"/>
      <c r="Q432" s="172"/>
      <c r="R432" s="172">
        <f t="shared" si="45"/>
        <v>1520</v>
      </c>
      <c r="S432" s="172"/>
      <c r="T432" s="172"/>
      <c r="U432" s="172"/>
      <c r="V432" s="172"/>
      <c r="W432" s="172"/>
      <c r="X432" s="173">
        <f t="shared" si="46"/>
        <v>0</v>
      </c>
      <c r="Y432" s="247">
        <f t="shared" si="47"/>
        <v>1520</v>
      </c>
      <c r="Z432" s="409">
        <f>-1520</f>
        <v>-1520</v>
      </c>
    </row>
    <row r="433" spans="1:26" ht="20.100000000000001" customHeight="1" x14ac:dyDescent="0.2">
      <c r="A433" s="26">
        <v>46</v>
      </c>
      <c r="B433" s="74" t="s">
        <v>633</v>
      </c>
      <c r="C433" s="39" t="s">
        <v>632</v>
      </c>
      <c r="D433" s="172"/>
      <c r="E433" s="172"/>
      <c r="F433" s="172">
        <f>41600+10910</f>
        <v>52510</v>
      </c>
      <c r="G433" s="172"/>
      <c r="H433" s="172"/>
      <c r="I433" s="172"/>
      <c r="J433" s="172"/>
      <c r="K433" s="172">
        <f>-41600</f>
        <v>-41600</v>
      </c>
      <c r="L433" s="172"/>
      <c r="M433" s="172"/>
      <c r="N433" s="172"/>
      <c r="O433" s="172"/>
      <c r="P433" s="172"/>
      <c r="Q433" s="172"/>
      <c r="R433" s="172">
        <f t="shared" si="45"/>
        <v>10910</v>
      </c>
      <c r="S433" s="172"/>
      <c r="T433" s="172"/>
      <c r="U433" s="172"/>
      <c r="V433" s="172"/>
      <c r="W433" s="172"/>
      <c r="X433" s="173">
        <f t="shared" si="46"/>
        <v>0</v>
      </c>
      <c r="Y433" s="247">
        <f t="shared" si="47"/>
        <v>10910</v>
      </c>
      <c r="Z433" s="409"/>
    </row>
    <row r="434" spans="1:26" ht="20.100000000000001" customHeight="1" x14ac:dyDescent="0.2">
      <c r="A434" s="26">
        <v>47</v>
      </c>
      <c r="B434" s="302" t="s">
        <v>636</v>
      </c>
      <c r="C434" s="39" t="s">
        <v>635</v>
      </c>
      <c r="D434" s="172"/>
      <c r="E434" s="172"/>
      <c r="F434" s="172">
        <f>13853</f>
        <v>13853</v>
      </c>
      <c r="G434" s="172"/>
      <c r="H434" s="172"/>
      <c r="I434" s="172"/>
      <c r="J434" s="172"/>
      <c r="K434" s="172"/>
      <c r="L434" s="172"/>
      <c r="M434" s="172"/>
      <c r="N434" s="172"/>
      <c r="O434" s="172"/>
      <c r="P434" s="172"/>
      <c r="Q434" s="172"/>
      <c r="R434" s="172">
        <f t="shared" si="45"/>
        <v>13853</v>
      </c>
      <c r="S434" s="172"/>
      <c r="T434" s="172"/>
      <c r="U434" s="172"/>
      <c r="V434" s="172"/>
      <c r="W434" s="172"/>
      <c r="X434" s="173">
        <f t="shared" si="46"/>
        <v>0</v>
      </c>
      <c r="Y434" s="247">
        <f t="shared" si="47"/>
        <v>13853</v>
      </c>
      <c r="Z434" s="409"/>
    </row>
    <row r="435" spans="1:26" ht="20.100000000000001" customHeight="1" x14ac:dyDescent="0.2">
      <c r="A435" s="26">
        <v>48</v>
      </c>
      <c r="B435" s="74" t="s">
        <v>638</v>
      </c>
      <c r="C435" s="39" t="s">
        <v>637</v>
      </c>
      <c r="D435" s="172"/>
      <c r="E435" s="172"/>
      <c r="F435" s="172"/>
      <c r="G435" s="172"/>
      <c r="H435" s="172"/>
      <c r="I435" s="172">
        <f>12195</f>
        <v>12195</v>
      </c>
      <c r="J435" s="172"/>
      <c r="K435" s="172">
        <f>-12195</f>
        <v>-12195</v>
      </c>
      <c r="L435" s="172"/>
      <c r="M435" s="172"/>
      <c r="N435" s="172"/>
      <c r="O435" s="172"/>
      <c r="P435" s="172"/>
      <c r="Q435" s="172"/>
      <c r="R435" s="172">
        <f t="shared" si="45"/>
        <v>0</v>
      </c>
      <c r="S435" s="172"/>
      <c r="T435" s="172"/>
      <c r="U435" s="172"/>
      <c r="V435" s="172"/>
      <c r="W435" s="172"/>
      <c r="X435" s="173">
        <f t="shared" si="46"/>
        <v>0</v>
      </c>
      <c r="Y435" s="247">
        <f t="shared" si="47"/>
        <v>0</v>
      </c>
      <c r="Z435" s="409"/>
    </row>
    <row r="436" spans="1:26" ht="20.100000000000001" customHeight="1" x14ac:dyDescent="0.2">
      <c r="A436" s="26">
        <v>49</v>
      </c>
      <c r="B436" s="613" t="s">
        <v>639</v>
      </c>
      <c r="C436" s="39" t="s">
        <v>640</v>
      </c>
      <c r="D436" s="172"/>
      <c r="E436" s="172"/>
      <c r="F436" s="172">
        <f>-1215-328+186+50+347+94+46+13-54-15-69-19-134-36</f>
        <v>-1134</v>
      </c>
      <c r="G436" s="172"/>
      <c r="H436" s="172"/>
      <c r="I436" s="172"/>
      <c r="J436" s="172"/>
      <c r="K436" s="172"/>
      <c r="L436" s="172">
        <f>772+208-186-50-347-94-61-17-46-13+54+15+69+19+134+36</f>
        <v>493</v>
      </c>
      <c r="M436" s="172">
        <f>443+120+61+17</f>
        <v>641</v>
      </c>
      <c r="N436" s="172"/>
      <c r="O436" s="172"/>
      <c r="P436" s="172"/>
      <c r="Q436" s="172"/>
      <c r="R436" s="172">
        <f t="shared" si="45"/>
        <v>0</v>
      </c>
      <c r="S436" s="172"/>
      <c r="T436" s="172"/>
      <c r="U436" s="172"/>
      <c r="V436" s="172"/>
      <c r="W436" s="172"/>
      <c r="X436" s="173">
        <f t="shared" si="46"/>
        <v>0</v>
      </c>
      <c r="Y436" s="247">
        <f t="shared" si="47"/>
        <v>0</v>
      </c>
      <c r="Z436" s="409"/>
    </row>
    <row r="437" spans="1:26" ht="20.100000000000001" hidden="1" customHeight="1" x14ac:dyDescent="0.2">
      <c r="A437" s="26"/>
      <c r="B437" s="74"/>
      <c r="C437" s="39"/>
      <c r="D437" s="172"/>
      <c r="E437" s="172"/>
      <c r="F437" s="172"/>
      <c r="G437" s="172"/>
      <c r="H437" s="172"/>
      <c r="I437" s="172"/>
      <c r="J437" s="172"/>
      <c r="K437" s="172"/>
      <c r="L437" s="172"/>
      <c r="M437" s="172"/>
      <c r="N437" s="172"/>
      <c r="O437" s="172"/>
      <c r="P437" s="172"/>
      <c r="Q437" s="172"/>
      <c r="R437" s="172">
        <f t="shared" si="45"/>
        <v>0</v>
      </c>
      <c r="S437" s="172"/>
      <c r="T437" s="172"/>
      <c r="U437" s="172"/>
      <c r="V437" s="172"/>
      <c r="W437" s="172"/>
      <c r="X437" s="173">
        <f t="shared" si="46"/>
        <v>0</v>
      </c>
      <c r="Y437" s="247">
        <f t="shared" si="47"/>
        <v>0</v>
      </c>
      <c r="Z437" s="409"/>
    </row>
    <row r="438" spans="1:26" ht="20.100000000000001" hidden="1" customHeight="1" x14ac:dyDescent="0.2">
      <c r="A438" s="26"/>
      <c r="B438" s="74"/>
      <c r="C438" s="39"/>
      <c r="D438" s="172"/>
      <c r="E438" s="172"/>
      <c r="F438" s="172"/>
      <c r="G438" s="172"/>
      <c r="H438" s="172"/>
      <c r="I438" s="172"/>
      <c r="J438" s="172"/>
      <c r="K438" s="172"/>
      <c r="L438" s="172"/>
      <c r="M438" s="172"/>
      <c r="N438" s="172"/>
      <c r="O438" s="172"/>
      <c r="P438" s="172"/>
      <c r="Q438" s="172"/>
      <c r="R438" s="172">
        <f t="shared" si="45"/>
        <v>0</v>
      </c>
      <c r="S438" s="172"/>
      <c r="T438" s="172"/>
      <c r="U438" s="172"/>
      <c r="V438" s="172"/>
      <c r="W438" s="172"/>
      <c r="X438" s="173">
        <f t="shared" si="46"/>
        <v>0</v>
      </c>
      <c r="Y438" s="247">
        <f t="shared" si="47"/>
        <v>0</v>
      </c>
      <c r="Z438" s="409"/>
    </row>
    <row r="439" spans="1:26" ht="20.100000000000001" hidden="1" customHeight="1" x14ac:dyDescent="0.2">
      <c r="A439" s="26"/>
      <c r="B439" s="74"/>
      <c r="C439" s="39"/>
      <c r="D439" s="172"/>
      <c r="E439" s="172"/>
      <c r="F439" s="172"/>
      <c r="G439" s="172"/>
      <c r="H439" s="172"/>
      <c r="I439" s="172"/>
      <c r="J439" s="172"/>
      <c r="K439" s="172"/>
      <c r="L439" s="172"/>
      <c r="M439" s="172"/>
      <c r="N439" s="172"/>
      <c r="O439" s="172"/>
      <c r="P439" s="172"/>
      <c r="Q439" s="172"/>
      <c r="R439" s="172">
        <f t="shared" si="45"/>
        <v>0</v>
      </c>
      <c r="S439" s="172"/>
      <c r="T439" s="172"/>
      <c r="U439" s="172"/>
      <c r="V439" s="172"/>
      <c r="W439" s="172"/>
      <c r="X439" s="173">
        <f t="shared" si="46"/>
        <v>0</v>
      </c>
      <c r="Y439" s="247">
        <f t="shared" si="47"/>
        <v>0</v>
      </c>
      <c r="Z439" s="409"/>
    </row>
    <row r="440" spans="1:26" hidden="1" x14ac:dyDescent="0.2">
      <c r="A440" s="26"/>
      <c r="B440" s="74"/>
      <c r="C440" s="39"/>
      <c r="D440" s="172"/>
      <c r="E440" s="172"/>
      <c r="F440" s="172"/>
      <c r="G440" s="172"/>
      <c r="H440" s="172"/>
      <c r="I440" s="172"/>
      <c r="J440" s="172"/>
      <c r="K440" s="172"/>
      <c r="L440" s="172"/>
      <c r="M440" s="172"/>
      <c r="N440" s="172"/>
      <c r="O440" s="172"/>
      <c r="P440" s="172"/>
      <c r="Q440" s="172"/>
      <c r="R440" s="172">
        <f t="shared" si="45"/>
        <v>0</v>
      </c>
      <c r="S440" s="172"/>
      <c r="T440" s="172"/>
      <c r="U440" s="172"/>
      <c r="V440" s="172"/>
      <c r="W440" s="172"/>
      <c r="X440" s="173">
        <f t="shared" si="46"/>
        <v>0</v>
      </c>
      <c r="Y440" s="247">
        <f t="shared" si="47"/>
        <v>0</v>
      </c>
      <c r="Z440" s="409"/>
    </row>
    <row r="441" spans="1:26" ht="20.100000000000001" hidden="1" customHeight="1" x14ac:dyDescent="0.2">
      <c r="A441" s="26"/>
      <c r="B441" s="288"/>
      <c r="C441" s="209" t="s">
        <v>75</v>
      </c>
      <c r="D441" s="172"/>
      <c r="E441" s="172"/>
      <c r="F441" s="172"/>
      <c r="G441" s="172"/>
      <c r="H441" s="172"/>
      <c r="I441" s="172"/>
      <c r="J441" s="172"/>
      <c r="K441" s="172"/>
      <c r="L441" s="172"/>
      <c r="M441" s="172"/>
      <c r="N441" s="172"/>
      <c r="O441" s="172"/>
      <c r="P441" s="172"/>
      <c r="Q441" s="172"/>
      <c r="R441" s="172">
        <f t="shared" si="45"/>
        <v>0</v>
      </c>
      <c r="S441" s="172"/>
      <c r="T441" s="172"/>
      <c r="U441" s="172"/>
      <c r="V441" s="172"/>
      <c r="W441" s="172"/>
      <c r="X441" s="173">
        <f t="shared" si="46"/>
        <v>0</v>
      </c>
      <c r="Y441" s="247">
        <f t="shared" si="47"/>
        <v>0</v>
      </c>
      <c r="Z441" s="409"/>
    </row>
    <row r="442" spans="1:26" ht="17.25" thickBot="1" x14ac:dyDescent="0.3">
      <c r="A442" s="620"/>
      <c r="B442" s="621"/>
      <c r="C442" s="622"/>
      <c r="D442" s="622"/>
      <c r="E442" s="622"/>
      <c r="F442" s="622"/>
      <c r="G442" s="622"/>
      <c r="H442" s="622"/>
      <c r="I442" s="622"/>
      <c r="J442" s="622"/>
      <c r="K442" s="622"/>
      <c r="L442" s="622"/>
      <c r="M442" s="622"/>
      <c r="N442" s="622"/>
      <c r="O442" s="622"/>
      <c r="P442" s="622"/>
      <c r="Q442" s="622"/>
      <c r="R442" s="622"/>
      <c r="S442" s="622"/>
      <c r="T442" s="622"/>
      <c r="U442" s="622"/>
      <c r="V442" s="622"/>
      <c r="W442" s="622"/>
      <c r="X442" s="622"/>
      <c r="Y442" s="623"/>
      <c r="Z442" s="624"/>
    </row>
    <row r="443" spans="1:26" ht="24.95" customHeight="1" thickTop="1" thickBot="1" x14ac:dyDescent="0.25">
      <c r="A443" s="47"/>
      <c r="B443" s="272" t="s">
        <v>533</v>
      </c>
      <c r="C443" s="44" t="s">
        <v>33</v>
      </c>
      <c r="D443" s="185">
        <f>SUM(D387:D442)</f>
        <v>537</v>
      </c>
      <c r="E443" s="185">
        <f t="shared" ref="E443:Q443" si="48">SUM(E387:E442)</f>
        <v>-25</v>
      </c>
      <c r="F443" s="185">
        <f t="shared" si="48"/>
        <v>75910.898000000001</v>
      </c>
      <c r="G443" s="185">
        <f t="shared" si="48"/>
        <v>-381</v>
      </c>
      <c r="H443" s="185">
        <f t="shared" si="48"/>
        <v>-4471.067</v>
      </c>
      <c r="I443" s="185">
        <f t="shared" si="48"/>
        <v>12195</v>
      </c>
      <c r="J443" s="185">
        <f t="shared" si="48"/>
        <v>1128.25</v>
      </c>
      <c r="K443" s="185">
        <f t="shared" si="48"/>
        <v>-142203.59100000001</v>
      </c>
      <c r="L443" s="185">
        <f t="shared" si="48"/>
        <v>11865</v>
      </c>
      <c r="M443" s="185">
        <f t="shared" si="48"/>
        <v>416</v>
      </c>
      <c r="N443" s="185">
        <f t="shared" si="48"/>
        <v>284</v>
      </c>
      <c r="O443" s="185">
        <f t="shared" si="48"/>
        <v>0</v>
      </c>
      <c r="P443" s="185">
        <f t="shared" si="48"/>
        <v>0</v>
      </c>
      <c r="Q443" s="185">
        <f t="shared" si="48"/>
        <v>94118</v>
      </c>
      <c r="R443" s="185">
        <f>SUM(D443:Q443)</f>
        <v>49373.489999999991</v>
      </c>
      <c r="S443" s="185"/>
      <c r="T443" s="185">
        <f>SUM(T387:T442)</f>
        <v>0</v>
      </c>
      <c r="U443" s="185">
        <f>SUM(U387:U442)</f>
        <v>0</v>
      </c>
      <c r="V443" s="185">
        <f>SUM(V387:V442)</f>
        <v>39177</v>
      </c>
      <c r="W443" s="185">
        <f>SUM(W387:W442)</f>
        <v>0</v>
      </c>
      <c r="X443" s="502">
        <f>SUM(T443:W443)</f>
        <v>39177</v>
      </c>
      <c r="Y443" s="394">
        <f>R443+X443</f>
        <v>88550.489999999991</v>
      </c>
      <c r="Z443" s="186">
        <f>SUM(Z386:Z442)</f>
        <v>6190726.9920000006</v>
      </c>
    </row>
    <row r="444" spans="1:26" ht="24.95" customHeight="1" thickTop="1" thickBot="1" x14ac:dyDescent="0.25">
      <c r="A444" s="47"/>
      <c r="B444" s="43" t="s">
        <v>534</v>
      </c>
      <c r="C444" s="44" t="s">
        <v>167</v>
      </c>
      <c r="D444" s="593">
        <f>D386+D443</f>
        <v>12845.858</v>
      </c>
      <c r="E444" s="593">
        <f t="shared" ref="E444:Q444" si="49">E386+E443</f>
        <v>5921.6320000000005</v>
      </c>
      <c r="F444" s="593">
        <f t="shared" si="49"/>
        <v>4480752.4689999996</v>
      </c>
      <c r="G444" s="593">
        <f t="shared" si="49"/>
        <v>202111</v>
      </c>
      <c r="H444" s="593">
        <f t="shared" si="49"/>
        <v>1283.2400000000007</v>
      </c>
      <c r="I444" s="593">
        <f t="shared" si="49"/>
        <v>45132</v>
      </c>
      <c r="J444" s="593">
        <f t="shared" si="49"/>
        <v>485144.25</v>
      </c>
      <c r="K444" s="593">
        <f t="shared" si="49"/>
        <v>902500.77300000004</v>
      </c>
      <c r="L444" s="593">
        <f t="shared" si="49"/>
        <v>3703461.6860000002</v>
      </c>
      <c r="M444" s="593">
        <f t="shared" si="49"/>
        <v>50226</v>
      </c>
      <c r="N444" s="593">
        <f t="shared" si="49"/>
        <v>64728</v>
      </c>
      <c r="O444" s="593">
        <f t="shared" si="49"/>
        <v>13452</v>
      </c>
      <c r="P444" s="593">
        <f t="shared" si="49"/>
        <v>0</v>
      </c>
      <c r="Q444" s="593">
        <f t="shared" si="49"/>
        <v>306722</v>
      </c>
      <c r="R444" s="593">
        <f>SUM(D444:Q444)</f>
        <v>10274280.908</v>
      </c>
      <c r="S444" s="174"/>
      <c r="T444" s="593">
        <f>T386+T443</f>
        <v>20172</v>
      </c>
      <c r="U444" s="593">
        <f>U386+U443</f>
        <v>1400000</v>
      </c>
      <c r="V444" s="593">
        <f>V386+V443</f>
        <v>39177</v>
      </c>
      <c r="W444" s="593">
        <f>W386+W443</f>
        <v>0</v>
      </c>
      <c r="X444" s="594">
        <f>SUM(T444:W444)</f>
        <v>1459349</v>
      </c>
      <c r="Y444" s="594">
        <f>R444+X444</f>
        <v>11733629.908</v>
      </c>
      <c r="Z444" s="595">
        <f>Z358+Z443</f>
        <v>6190726.9920000006</v>
      </c>
    </row>
    <row r="445" spans="1:26" ht="17.25" thickTop="1" x14ac:dyDescent="0.25">
      <c r="Y445" s="53"/>
      <c r="Z445" s="2"/>
    </row>
    <row r="446" spans="1:26" x14ac:dyDescent="0.25">
      <c r="Z446" s="2"/>
    </row>
    <row r="447" spans="1:26" x14ac:dyDescent="0.25">
      <c r="F447" s="415"/>
      <c r="Z447" s="2"/>
    </row>
  </sheetData>
  <mergeCells count="8">
    <mergeCell ref="AJ14:AK14"/>
    <mergeCell ref="A2:Z2"/>
    <mergeCell ref="A4:Z4"/>
    <mergeCell ref="D7:Z7"/>
    <mergeCell ref="AJ9:AK9"/>
    <mergeCell ref="D8:K8"/>
    <mergeCell ref="L8:Q8"/>
    <mergeCell ref="T8:W8"/>
  </mergeCells>
  <phoneticPr fontId="2" type="noConversion"/>
  <printOptions horizontalCentered="1"/>
  <pageMargins left="0" right="0" top="0.41" bottom="0.36" header="0.21" footer="0.15748031496062992"/>
  <pageSetup paperSize="9" scale="40" firstPageNumber="0" orientation="landscape" horizontalDpi="300" verticalDpi="300" r:id="rId1"/>
  <headerFooter alignWithMargins="0">
    <oddFooter>&amp;P. oldal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83"/>
  <sheetViews>
    <sheetView zoomScale="75" zoomScaleNormal="75" workbookViewId="0">
      <selection activeCell="D123" sqref="D123"/>
    </sheetView>
  </sheetViews>
  <sheetFormatPr defaultRowHeight="16.5" x14ac:dyDescent="0.25"/>
  <cols>
    <col min="1" max="1" width="6.28515625" style="1" customWidth="1"/>
    <col min="2" max="2" width="11.42578125" style="1" hidden="1" customWidth="1"/>
    <col min="3" max="3" width="57.7109375" style="2" customWidth="1"/>
    <col min="4" max="14" width="12.7109375" style="2" customWidth="1"/>
    <col min="15" max="15" width="15.7109375" style="2" customWidth="1"/>
    <col min="16" max="16" width="1.85546875" style="2" customWidth="1"/>
    <col min="17" max="17" width="11.28515625" style="2" customWidth="1"/>
    <col min="18" max="18" width="11.85546875" style="2" customWidth="1"/>
    <col min="19" max="19" width="11.28515625" style="2" customWidth="1"/>
    <col min="20" max="20" width="10" style="2" customWidth="1"/>
    <col min="21" max="21" width="15.7109375" style="2" customWidth="1"/>
    <col min="22" max="22" width="1.85546875" style="2" customWidth="1"/>
    <col min="23" max="23" width="15.7109375" style="2" customWidth="1"/>
    <col min="24" max="24" width="17.140625" style="2" customWidth="1"/>
    <col min="25" max="25" width="11" style="2" customWidth="1"/>
    <col min="26" max="26" width="10.7109375" style="2" customWidth="1"/>
    <col min="27" max="32" width="9.140625" style="2"/>
    <col min="33" max="34" width="10.7109375" style="2" customWidth="1"/>
    <col min="35" max="35" width="10.28515625" style="2" customWidth="1"/>
    <col min="36" max="36" width="10" style="2" customWidth="1"/>
    <col min="37" max="37" width="10.28515625" style="2" customWidth="1"/>
    <col min="38" max="38" width="10.7109375" style="2" customWidth="1"/>
    <col min="39" max="39" width="10.5703125" style="2" customWidth="1"/>
    <col min="40" max="43" width="9.140625" style="2"/>
    <col min="44" max="44" width="11" style="2" customWidth="1"/>
    <col min="45" max="16384" width="9.140625" style="2"/>
  </cols>
  <sheetData>
    <row r="1" spans="1:38" ht="20.25" customHeight="1" x14ac:dyDescent="0.25">
      <c r="V1" s="3"/>
      <c r="W1" s="193"/>
      <c r="X1" s="193" t="s">
        <v>102</v>
      </c>
    </row>
    <row r="2" spans="1:38" ht="30" customHeight="1" x14ac:dyDescent="0.3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651"/>
      <c r="T2" s="651"/>
      <c r="U2" s="651"/>
      <c r="V2" s="651"/>
      <c r="W2" s="651"/>
      <c r="X2" s="651"/>
    </row>
    <row r="3" spans="1:38" ht="30" customHeight="1" x14ac:dyDescent="0.3">
      <c r="A3" s="485"/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5"/>
      <c r="V3" s="485"/>
      <c r="W3" s="485"/>
      <c r="X3" s="485"/>
    </row>
    <row r="4" spans="1:38" ht="50.1" customHeight="1" x14ac:dyDescent="0.3">
      <c r="A4" s="664" t="s">
        <v>531</v>
      </c>
      <c r="B4" s="664"/>
      <c r="C4" s="664"/>
      <c r="D4" s="664"/>
      <c r="E4" s="664"/>
      <c r="F4" s="664"/>
      <c r="G4" s="664"/>
      <c r="H4" s="664"/>
      <c r="I4" s="664"/>
      <c r="J4" s="664"/>
      <c r="K4" s="664"/>
      <c r="L4" s="664"/>
      <c r="M4" s="664"/>
      <c r="N4" s="664"/>
      <c r="O4" s="664"/>
      <c r="P4" s="664"/>
      <c r="Q4" s="664"/>
      <c r="R4" s="664"/>
      <c r="S4" s="664"/>
      <c r="T4" s="664"/>
      <c r="U4" s="664"/>
      <c r="V4" s="664"/>
      <c r="W4" s="664"/>
      <c r="X4" s="664"/>
    </row>
    <row r="5" spans="1:38" ht="24.9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38" ht="17.25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/>
      <c r="X6" s="6" t="s">
        <v>1</v>
      </c>
    </row>
    <row r="7" spans="1:38" ht="18" customHeight="1" thickTop="1" x14ac:dyDescent="0.25">
      <c r="A7" s="7"/>
      <c r="B7" s="8"/>
      <c r="C7" s="9"/>
      <c r="D7" s="643" t="s">
        <v>129</v>
      </c>
      <c r="E7" s="644"/>
      <c r="F7" s="645"/>
      <c r="G7" s="435"/>
      <c r="H7" s="436"/>
      <c r="I7" s="437" t="s">
        <v>4</v>
      </c>
      <c r="J7" s="646" t="s">
        <v>137</v>
      </c>
      <c r="K7" s="647"/>
      <c r="L7" s="435"/>
      <c r="M7" s="438" t="s">
        <v>138</v>
      </c>
      <c r="N7" s="439"/>
      <c r="O7" s="440" t="s">
        <v>145</v>
      </c>
      <c r="P7" s="14"/>
      <c r="Q7" s="648" t="s">
        <v>147</v>
      </c>
      <c r="R7" s="649"/>
      <c r="S7" s="649"/>
      <c r="T7" s="650"/>
      <c r="U7" s="441" t="s">
        <v>162</v>
      </c>
      <c r="V7" s="429"/>
      <c r="W7" s="10" t="s">
        <v>2</v>
      </c>
      <c r="X7" s="252"/>
    </row>
    <row r="8" spans="1:38" x14ac:dyDescent="0.25">
      <c r="A8" s="11"/>
      <c r="B8" s="12"/>
      <c r="C8" s="13" t="s">
        <v>3</v>
      </c>
      <c r="D8" s="16" t="s">
        <v>130</v>
      </c>
      <c r="E8" s="13" t="s">
        <v>131</v>
      </c>
      <c r="F8" s="4" t="s">
        <v>132</v>
      </c>
      <c r="G8" s="17" t="s">
        <v>139</v>
      </c>
      <c r="H8" s="17" t="s">
        <v>5</v>
      </c>
      <c r="I8" s="17" t="s">
        <v>15</v>
      </c>
      <c r="J8" s="13" t="s">
        <v>6</v>
      </c>
      <c r="K8" s="13" t="s">
        <v>140</v>
      </c>
      <c r="L8" s="431" t="s">
        <v>110</v>
      </c>
      <c r="M8" s="13" t="s">
        <v>141</v>
      </c>
      <c r="N8" s="17" t="s">
        <v>4</v>
      </c>
      <c r="O8" s="432" t="s">
        <v>146</v>
      </c>
      <c r="P8" s="17"/>
      <c r="Q8" s="17" t="s">
        <v>148</v>
      </c>
      <c r="R8" s="17" t="s">
        <v>149</v>
      </c>
      <c r="S8" s="17" t="s">
        <v>150</v>
      </c>
      <c r="T8" s="17" t="s">
        <v>151</v>
      </c>
      <c r="U8" s="433" t="s">
        <v>163</v>
      </c>
      <c r="V8" s="428"/>
      <c r="W8" s="15" t="s">
        <v>7</v>
      </c>
      <c r="X8" s="317" t="s">
        <v>116</v>
      </c>
    </row>
    <row r="9" spans="1:38" x14ac:dyDescent="0.25">
      <c r="A9" s="18" t="s">
        <v>8</v>
      </c>
      <c r="B9" s="13"/>
      <c r="C9" s="13" t="s">
        <v>9</v>
      </c>
      <c r="D9" s="17" t="s">
        <v>15</v>
      </c>
      <c r="E9" s="13" t="s">
        <v>133</v>
      </c>
      <c r="F9" s="4" t="s">
        <v>86</v>
      </c>
      <c r="G9" s="17" t="s">
        <v>10</v>
      </c>
      <c r="H9" s="13" t="s">
        <v>10</v>
      </c>
      <c r="I9" s="13" t="s">
        <v>11</v>
      </c>
      <c r="J9" s="13" t="s">
        <v>11</v>
      </c>
      <c r="K9" s="13" t="s">
        <v>86</v>
      </c>
      <c r="L9" s="308" t="s">
        <v>111</v>
      </c>
      <c r="M9" s="17" t="s">
        <v>142</v>
      </c>
      <c r="N9" s="17" t="s">
        <v>112</v>
      </c>
      <c r="O9" s="432" t="s">
        <v>10</v>
      </c>
      <c r="P9" s="17"/>
      <c r="Q9" s="17" t="s">
        <v>152</v>
      </c>
      <c r="R9" s="17" t="s">
        <v>153</v>
      </c>
      <c r="S9" s="17" t="s">
        <v>154</v>
      </c>
      <c r="T9" s="17" t="s">
        <v>155</v>
      </c>
      <c r="U9" s="433" t="s">
        <v>10</v>
      </c>
      <c r="V9" s="430"/>
      <c r="W9" s="15" t="s">
        <v>12</v>
      </c>
      <c r="X9" s="317" t="s">
        <v>117</v>
      </c>
    </row>
    <row r="10" spans="1:38" x14ac:dyDescent="0.25">
      <c r="A10" s="11"/>
      <c r="B10" s="12"/>
      <c r="C10" s="13" t="s">
        <v>13</v>
      </c>
      <c r="D10" s="17" t="s">
        <v>134</v>
      </c>
      <c r="E10" s="13" t="s">
        <v>135</v>
      </c>
      <c r="F10" s="4" t="s">
        <v>136</v>
      </c>
      <c r="G10" s="17"/>
      <c r="H10" s="13"/>
      <c r="I10" s="13" t="s">
        <v>109</v>
      </c>
      <c r="J10" s="13" t="s">
        <v>143</v>
      </c>
      <c r="K10" s="13" t="s">
        <v>136</v>
      </c>
      <c r="L10" s="13" t="s">
        <v>10</v>
      </c>
      <c r="M10" s="17" t="s">
        <v>43</v>
      </c>
      <c r="N10" s="17" t="s">
        <v>144</v>
      </c>
      <c r="O10" s="432" t="s">
        <v>12</v>
      </c>
      <c r="P10" s="17"/>
      <c r="Q10" s="17" t="s">
        <v>156</v>
      </c>
      <c r="R10" s="17" t="s">
        <v>157</v>
      </c>
      <c r="S10" s="17" t="s">
        <v>158</v>
      </c>
      <c r="T10" s="17" t="s">
        <v>159</v>
      </c>
      <c r="U10" s="433" t="s">
        <v>12</v>
      </c>
      <c r="V10" s="430"/>
      <c r="W10" s="19" t="s">
        <v>165</v>
      </c>
      <c r="X10" s="318" t="s">
        <v>118</v>
      </c>
    </row>
    <row r="11" spans="1:38" x14ac:dyDescent="0.25">
      <c r="A11" s="11"/>
      <c r="B11" s="12"/>
      <c r="C11" s="13"/>
      <c r="D11" s="17"/>
      <c r="E11" s="13" t="s">
        <v>16</v>
      </c>
      <c r="F11" s="4" t="s">
        <v>108</v>
      </c>
      <c r="G11" s="17"/>
      <c r="H11" s="13"/>
      <c r="I11" s="13" t="s">
        <v>17</v>
      </c>
      <c r="J11" s="13" t="s">
        <v>52</v>
      </c>
      <c r="K11" s="13" t="s">
        <v>108</v>
      </c>
      <c r="L11" s="13"/>
      <c r="M11" s="20" t="s">
        <v>14</v>
      </c>
      <c r="N11" s="20" t="s">
        <v>17</v>
      </c>
      <c r="O11" s="4" t="s">
        <v>161</v>
      </c>
      <c r="P11" s="20"/>
      <c r="Q11" s="17" t="s">
        <v>16</v>
      </c>
      <c r="R11" s="20" t="s">
        <v>160</v>
      </c>
      <c r="S11" s="20" t="s">
        <v>52</v>
      </c>
      <c r="T11" s="20"/>
      <c r="U11" s="20" t="s">
        <v>164</v>
      </c>
      <c r="V11" s="21"/>
      <c r="W11" s="15"/>
      <c r="X11" s="318" t="s">
        <v>86</v>
      </c>
    </row>
    <row r="12" spans="1:38" x14ac:dyDescent="0.25">
      <c r="A12" s="113"/>
      <c r="B12" s="114"/>
      <c r="C12" s="115"/>
      <c r="D12" s="16"/>
      <c r="E12" s="115"/>
      <c r="F12" s="116"/>
      <c r="G12" s="16"/>
      <c r="H12" s="115"/>
      <c r="I12" s="115"/>
      <c r="J12" s="115"/>
      <c r="K12" s="124"/>
      <c r="L12" s="115"/>
      <c r="M12" s="117"/>
      <c r="N12" s="118"/>
      <c r="O12" s="116"/>
      <c r="P12" s="118"/>
      <c r="Q12" s="16"/>
      <c r="R12" s="118"/>
      <c r="S12" s="118"/>
      <c r="T12" s="115"/>
      <c r="U12" s="16"/>
      <c r="V12" s="119"/>
      <c r="W12" s="443"/>
      <c r="X12" s="253"/>
    </row>
    <row r="13" spans="1:38" ht="20.25" customHeight="1" thickBot="1" x14ac:dyDescent="0.25">
      <c r="A13" s="199">
        <v>1</v>
      </c>
      <c r="B13" s="225"/>
      <c r="C13" s="225">
        <v>2</v>
      </c>
      <c r="D13" s="225">
        <v>3</v>
      </c>
      <c r="E13" s="225">
        <v>4</v>
      </c>
      <c r="F13" s="225">
        <v>5</v>
      </c>
      <c r="G13" s="225">
        <v>6</v>
      </c>
      <c r="H13" s="225">
        <v>7</v>
      </c>
      <c r="I13" s="225">
        <v>8</v>
      </c>
      <c r="J13" s="225">
        <v>9</v>
      </c>
      <c r="K13" s="225">
        <v>10</v>
      </c>
      <c r="L13" s="225">
        <v>11</v>
      </c>
      <c r="M13" s="225">
        <v>12</v>
      </c>
      <c r="N13" s="225">
        <v>13</v>
      </c>
      <c r="O13" s="225">
        <v>14</v>
      </c>
      <c r="P13" s="225"/>
      <c r="Q13" s="225">
        <v>15</v>
      </c>
      <c r="R13" s="225">
        <v>16</v>
      </c>
      <c r="S13" s="225">
        <v>17</v>
      </c>
      <c r="T13" s="225">
        <v>18</v>
      </c>
      <c r="U13" s="225">
        <v>19</v>
      </c>
      <c r="V13" s="226"/>
      <c r="W13" s="227">
        <v>20</v>
      </c>
      <c r="X13" s="254">
        <v>21</v>
      </c>
    </row>
    <row r="14" spans="1:38" ht="22.5" hidden="1" customHeight="1" x14ac:dyDescent="0.25">
      <c r="A14" s="22"/>
      <c r="B14" s="23"/>
      <c r="C14" s="24" t="s">
        <v>74</v>
      </c>
      <c r="D14" s="25">
        <v>0</v>
      </c>
      <c r="E14" s="25">
        <v>0</v>
      </c>
      <c r="F14" s="25">
        <v>3600</v>
      </c>
      <c r="G14" s="25">
        <v>15720</v>
      </c>
      <c r="H14" s="25">
        <v>15017</v>
      </c>
      <c r="I14" s="160">
        <v>0</v>
      </c>
      <c r="J14" s="25">
        <v>0</v>
      </c>
      <c r="K14" s="25">
        <v>0</v>
      </c>
      <c r="L14" s="25">
        <v>0</v>
      </c>
      <c r="M14" s="25">
        <v>1500</v>
      </c>
      <c r="N14" s="25">
        <v>0</v>
      </c>
      <c r="O14" s="442">
        <f>SUM(D14:N14)</f>
        <v>35837</v>
      </c>
      <c r="P14" s="25"/>
      <c r="Q14" s="25">
        <v>0</v>
      </c>
      <c r="R14" s="25">
        <v>0</v>
      </c>
      <c r="S14" s="25">
        <v>0</v>
      </c>
      <c r="T14" s="25">
        <v>0</v>
      </c>
      <c r="U14" s="442">
        <f>SUM(Q14:T14)</f>
        <v>0</v>
      </c>
      <c r="V14" s="159"/>
      <c r="W14" s="145">
        <f>O14+U14</f>
        <v>35837</v>
      </c>
      <c r="X14" s="255">
        <v>2616028</v>
      </c>
    </row>
    <row r="15" spans="1:38" ht="20.100000000000001" hidden="1" customHeight="1" x14ac:dyDescent="0.25">
      <c r="A15" s="162"/>
      <c r="B15" s="140"/>
      <c r="C15" s="28" t="s">
        <v>115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147"/>
      <c r="W15" s="245">
        <f>O15+U15</f>
        <v>0</v>
      </c>
      <c r="X15" s="256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70"/>
    </row>
    <row r="16" spans="1:38" ht="20.100000000000001" hidden="1" customHeight="1" x14ac:dyDescent="0.25">
      <c r="A16" s="162"/>
      <c r="B16" s="27" t="s">
        <v>113</v>
      </c>
      <c r="C16" s="24" t="s">
        <v>18</v>
      </c>
      <c r="D16" s="157">
        <f t="shared" ref="D16:W16" si="0">SUM(D14:D15)</f>
        <v>0</v>
      </c>
      <c r="E16" s="157">
        <f t="shared" si="0"/>
        <v>0</v>
      </c>
      <c r="F16" s="157">
        <f t="shared" si="0"/>
        <v>3600</v>
      </c>
      <c r="G16" s="157">
        <f t="shared" si="0"/>
        <v>15720</v>
      </c>
      <c r="H16" s="157">
        <f t="shared" si="0"/>
        <v>15017</v>
      </c>
      <c r="I16" s="157">
        <f t="shared" si="0"/>
        <v>0</v>
      </c>
      <c r="J16" s="157">
        <f t="shared" si="0"/>
        <v>0</v>
      </c>
      <c r="K16" s="157">
        <f t="shared" si="0"/>
        <v>0</v>
      </c>
      <c r="L16" s="157">
        <f t="shared" si="0"/>
        <v>0</v>
      </c>
      <c r="M16" s="157">
        <f t="shared" si="0"/>
        <v>1500</v>
      </c>
      <c r="N16" s="157">
        <f t="shared" si="0"/>
        <v>0</v>
      </c>
      <c r="O16" s="475">
        <f t="shared" si="0"/>
        <v>35837</v>
      </c>
      <c r="P16" s="157"/>
      <c r="Q16" s="157">
        <f>SUM(Q14:Q15)</f>
        <v>0</v>
      </c>
      <c r="R16" s="157">
        <f>SUM(R14:R15)</f>
        <v>0</v>
      </c>
      <c r="S16" s="157">
        <f>SUM(S14:S15)</f>
        <v>0</v>
      </c>
      <c r="T16" s="157">
        <f t="shared" si="0"/>
        <v>0</v>
      </c>
      <c r="U16" s="157">
        <f t="shared" si="0"/>
        <v>0</v>
      </c>
      <c r="V16" s="157"/>
      <c r="W16" s="246">
        <f t="shared" si="0"/>
        <v>35837</v>
      </c>
      <c r="X16" s="257">
        <f>SUM(X14:X15)</f>
        <v>2616028</v>
      </c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70"/>
    </row>
    <row r="17" spans="1:38" ht="30" hidden="1" customHeight="1" x14ac:dyDescent="0.25">
      <c r="A17" s="82"/>
      <c r="B17" s="140"/>
      <c r="C17" s="28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>
        <f t="shared" ref="O17:O22" si="1">SUM(D17:N17)</f>
        <v>0</v>
      </c>
      <c r="P17" s="72"/>
      <c r="Q17" s="72"/>
      <c r="R17" s="72"/>
      <c r="S17" s="72"/>
      <c r="T17" s="72"/>
      <c r="U17" s="72">
        <f t="shared" ref="U17:U22" si="2">SUM(Q17:T17)</f>
        <v>0</v>
      </c>
      <c r="V17" s="164"/>
      <c r="W17" s="247">
        <f t="shared" ref="W17:W22" si="3">O17+U17</f>
        <v>0</v>
      </c>
      <c r="X17" s="256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70"/>
    </row>
    <row r="18" spans="1:38" ht="30" hidden="1" customHeight="1" x14ac:dyDescent="0.25">
      <c r="A18" s="82"/>
      <c r="B18" s="140"/>
      <c r="C18" s="28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>
        <f t="shared" si="1"/>
        <v>0</v>
      </c>
      <c r="P18" s="72"/>
      <c r="Q18" s="72"/>
      <c r="R18" s="72"/>
      <c r="S18" s="72"/>
      <c r="T18" s="72"/>
      <c r="U18" s="72">
        <f t="shared" si="2"/>
        <v>0</v>
      </c>
      <c r="V18" s="164"/>
      <c r="W18" s="247">
        <f t="shared" si="3"/>
        <v>0</v>
      </c>
      <c r="X18" s="256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70"/>
    </row>
    <row r="19" spans="1:38" ht="30" hidden="1" customHeight="1" x14ac:dyDescent="0.25">
      <c r="A19" s="82"/>
      <c r="B19" s="141"/>
      <c r="C19" s="28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>
        <f t="shared" si="1"/>
        <v>0</v>
      </c>
      <c r="P19" s="72"/>
      <c r="Q19" s="72"/>
      <c r="R19" s="72"/>
      <c r="S19" s="72"/>
      <c r="T19" s="72"/>
      <c r="U19" s="72">
        <f t="shared" si="2"/>
        <v>0</v>
      </c>
      <c r="V19" s="164"/>
      <c r="W19" s="247">
        <f t="shared" si="3"/>
        <v>0</v>
      </c>
      <c r="X19" s="256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70"/>
    </row>
    <row r="20" spans="1:38" ht="30" hidden="1" customHeight="1" x14ac:dyDescent="0.25">
      <c r="A20" s="82"/>
      <c r="B20" s="142"/>
      <c r="C20" s="33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>
        <f t="shared" si="1"/>
        <v>0</v>
      </c>
      <c r="P20" s="72"/>
      <c r="Q20" s="72"/>
      <c r="R20" s="72"/>
      <c r="S20" s="72"/>
      <c r="T20" s="72"/>
      <c r="U20" s="72">
        <f t="shared" si="2"/>
        <v>0</v>
      </c>
      <c r="V20" s="164"/>
      <c r="W20" s="247">
        <f t="shared" si="3"/>
        <v>0</v>
      </c>
      <c r="X20" s="256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70"/>
    </row>
    <row r="21" spans="1:38" ht="30" hidden="1" customHeight="1" x14ac:dyDescent="0.25">
      <c r="A21" s="82"/>
      <c r="B21" s="141"/>
      <c r="C21" s="28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>
        <f t="shared" si="1"/>
        <v>0</v>
      </c>
      <c r="P21" s="72"/>
      <c r="Q21" s="72"/>
      <c r="R21" s="72"/>
      <c r="S21" s="72"/>
      <c r="T21" s="72"/>
      <c r="U21" s="72">
        <f t="shared" si="2"/>
        <v>0</v>
      </c>
      <c r="V21" s="164"/>
      <c r="W21" s="247">
        <f t="shared" si="3"/>
        <v>0</v>
      </c>
      <c r="X21" s="256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70"/>
    </row>
    <row r="22" spans="1:38" ht="30" hidden="1" customHeight="1" x14ac:dyDescent="0.25">
      <c r="A22" s="82"/>
      <c r="B22" s="141"/>
      <c r="C22" s="28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>
        <f t="shared" si="1"/>
        <v>0</v>
      </c>
      <c r="P22" s="72"/>
      <c r="Q22" s="72"/>
      <c r="R22" s="72"/>
      <c r="S22" s="72"/>
      <c r="T22" s="72"/>
      <c r="U22" s="72">
        <f t="shared" si="2"/>
        <v>0</v>
      </c>
      <c r="V22" s="164"/>
      <c r="W22" s="247">
        <f t="shared" si="3"/>
        <v>0</v>
      </c>
      <c r="X22" s="256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70"/>
    </row>
    <row r="23" spans="1:38" ht="9.9499999999999993" hidden="1" customHeight="1" x14ac:dyDescent="0.25">
      <c r="A23" s="82"/>
      <c r="B23" s="141"/>
      <c r="C23" s="28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164"/>
      <c r="W23" s="247"/>
      <c r="X23" s="256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70"/>
    </row>
    <row r="24" spans="1:38" ht="30" hidden="1" customHeight="1" x14ac:dyDescent="0.25">
      <c r="A24" s="218" t="s">
        <v>96</v>
      </c>
      <c r="B24" s="214"/>
      <c r="C24" s="219" t="s">
        <v>94</v>
      </c>
      <c r="D24" s="72">
        <f t="shared" ref="D24:K24" si="4">SUM(D17:D23)</f>
        <v>0</v>
      </c>
      <c r="E24" s="72">
        <f t="shared" si="4"/>
        <v>0</v>
      </c>
      <c r="F24" s="72">
        <f t="shared" si="4"/>
        <v>0</v>
      </c>
      <c r="G24" s="72">
        <f t="shared" si="4"/>
        <v>0</v>
      </c>
      <c r="H24" s="72">
        <f t="shared" si="4"/>
        <v>0</v>
      </c>
      <c r="I24" s="72">
        <f t="shared" si="4"/>
        <v>0</v>
      </c>
      <c r="J24" s="72">
        <f t="shared" si="4"/>
        <v>0</v>
      </c>
      <c r="K24" s="72">
        <f t="shared" si="4"/>
        <v>0</v>
      </c>
      <c r="L24" s="72">
        <f t="shared" ref="L24:T24" si="5">SUM(L17:L23)</f>
        <v>0</v>
      </c>
      <c r="M24" s="72">
        <f t="shared" si="5"/>
        <v>0</v>
      </c>
      <c r="N24" s="72">
        <f t="shared" si="5"/>
        <v>0</v>
      </c>
      <c r="O24" s="72">
        <f t="shared" si="5"/>
        <v>0</v>
      </c>
      <c r="P24" s="72"/>
      <c r="Q24" s="72"/>
      <c r="R24" s="72"/>
      <c r="S24" s="72">
        <f t="shared" si="5"/>
        <v>0</v>
      </c>
      <c r="T24" s="72">
        <f t="shared" si="5"/>
        <v>0</v>
      </c>
      <c r="U24" s="72">
        <f>SUM(U17:U23)</f>
        <v>0</v>
      </c>
      <c r="V24" s="216"/>
      <c r="W24" s="248">
        <f>O24+U24</f>
        <v>0</v>
      </c>
      <c r="X24" s="256">
        <f>SUM(X17:X23)</f>
        <v>0</v>
      </c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70"/>
    </row>
    <row r="25" spans="1:38" ht="9.9499999999999993" hidden="1" customHeight="1" x14ac:dyDescent="0.25">
      <c r="A25" s="82"/>
      <c r="B25" s="141"/>
      <c r="C25" s="28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164"/>
      <c r="W25" s="247"/>
      <c r="X25" s="256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70"/>
    </row>
    <row r="26" spans="1:38" ht="30" hidden="1" customHeight="1" x14ac:dyDescent="0.25">
      <c r="A26" s="82"/>
      <c r="B26" s="141"/>
      <c r="C26" s="28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>
        <f>SUM(D26:N26)</f>
        <v>0</v>
      </c>
      <c r="P26" s="72"/>
      <c r="Q26" s="72"/>
      <c r="R26" s="72"/>
      <c r="S26" s="72"/>
      <c r="T26" s="72"/>
      <c r="U26" s="72">
        <f>SUM(Q26:T26)</f>
        <v>0</v>
      </c>
      <c r="V26" s="164"/>
      <c r="W26" s="247">
        <f>O26+U26</f>
        <v>0</v>
      </c>
      <c r="X26" s="256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70"/>
    </row>
    <row r="27" spans="1:38" ht="30" hidden="1" customHeight="1" x14ac:dyDescent="0.25">
      <c r="A27" s="82"/>
      <c r="B27" s="140"/>
      <c r="C27" s="41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>
        <f>SUM(D27:N27)</f>
        <v>0</v>
      </c>
      <c r="P27" s="72"/>
      <c r="Q27" s="72"/>
      <c r="R27" s="72"/>
      <c r="S27" s="72"/>
      <c r="T27" s="72"/>
      <c r="U27" s="72">
        <f>SUM(Q27:T27)</f>
        <v>0</v>
      </c>
      <c r="V27" s="164"/>
      <c r="W27" s="247">
        <f>O27+U27</f>
        <v>0</v>
      </c>
      <c r="X27" s="256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70"/>
    </row>
    <row r="28" spans="1:38" ht="30" hidden="1" customHeight="1" x14ac:dyDescent="0.25">
      <c r="A28" s="82"/>
      <c r="B28" s="141"/>
      <c r="C28" s="28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>
        <f>SUM(D28:N28)</f>
        <v>0</v>
      </c>
      <c r="P28" s="72"/>
      <c r="Q28" s="72"/>
      <c r="R28" s="72"/>
      <c r="S28" s="72"/>
      <c r="T28" s="72"/>
      <c r="U28" s="72">
        <f>SUM(Q28:T28)</f>
        <v>0</v>
      </c>
      <c r="V28" s="164"/>
      <c r="W28" s="247">
        <f>O28+U28</f>
        <v>0</v>
      </c>
      <c r="X28" s="256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70"/>
    </row>
    <row r="29" spans="1:38" ht="9.9499999999999993" hidden="1" customHeight="1" x14ac:dyDescent="0.25">
      <c r="A29" s="82"/>
      <c r="B29" s="141"/>
      <c r="C29" s="28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164"/>
      <c r="W29" s="247"/>
      <c r="X29" s="256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70"/>
    </row>
    <row r="30" spans="1:38" ht="30" hidden="1" customHeight="1" x14ac:dyDescent="0.25">
      <c r="A30" s="218" t="s">
        <v>97</v>
      </c>
      <c r="B30" s="214"/>
      <c r="C30" s="219" t="s">
        <v>95</v>
      </c>
      <c r="E30" s="72">
        <f>SUM(E26:E29)</f>
        <v>0</v>
      </c>
      <c r="F30" s="72">
        <f t="shared" ref="F30:K30" si="6">SUM(F26:F29)</f>
        <v>0</v>
      </c>
      <c r="G30" s="72">
        <f t="shared" si="6"/>
        <v>0</v>
      </c>
      <c r="H30" s="72">
        <f t="shared" si="6"/>
        <v>0</v>
      </c>
      <c r="I30" s="72">
        <f t="shared" si="6"/>
        <v>0</v>
      </c>
      <c r="J30" s="72">
        <f t="shared" si="6"/>
        <v>0</v>
      </c>
      <c r="K30" s="72">
        <f t="shared" si="6"/>
        <v>0</v>
      </c>
      <c r="L30" s="72">
        <f t="shared" ref="L30:U30" si="7">SUM(L26:L29)</f>
        <v>0</v>
      </c>
      <c r="M30" s="72">
        <f t="shared" si="7"/>
        <v>0</v>
      </c>
      <c r="N30" s="72">
        <f t="shared" si="7"/>
        <v>0</v>
      </c>
      <c r="O30" s="72">
        <f t="shared" si="7"/>
        <v>0</v>
      </c>
      <c r="P30" s="72"/>
      <c r="Q30" s="72"/>
      <c r="R30" s="72"/>
      <c r="S30" s="72">
        <f t="shared" si="7"/>
        <v>0</v>
      </c>
      <c r="T30" s="72">
        <f t="shared" si="7"/>
        <v>0</v>
      </c>
      <c r="U30" s="72">
        <f t="shared" si="7"/>
        <v>0</v>
      </c>
      <c r="V30" s="216"/>
      <c r="W30" s="248">
        <f>O30+U30</f>
        <v>0</v>
      </c>
      <c r="X30" s="256">
        <f>SUM(X26:X29)</f>
        <v>0</v>
      </c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70"/>
    </row>
    <row r="31" spans="1:38" ht="20.100000000000001" hidden="1" customHeight="1" thickBot="1" x14ac:dyDescent="0.3">
      <c r="A31" s="68"/>
      <c r="B31" s="120"/>
      <c r="C31" s="28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148"/>
      <c r="W31" s="249"/>
      <c r="X31" s="256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70"/>
    </row>
    <row r="32" spans="1:38" ht="24.95" hidden="1" customHeight="1" thickTop="1" thickBot="1" x14ac:dyDescent="0.3">
      <c r="A32" s="35"/>
      <c r="B32" s="36"/>
      <c r="C32" s="44" t="s">
        <v>98</v>
      </c>
      <c r="D32" s="37">
        <f t="shared" ref="D32:U32" si="8">D24+D30</f>
        <v>0</v>
      </c>
      <c r="E32" s="37">
        <f t="shared" si="8"/>
        <v>0</v>
      </c>
      <c r="F32" s="37">
        <f t="shared" si="8"/>
        <v>0</v>
      </c>
      <c r="G32" s="37">
        <f t="shared" si="8"/>
        <v>0</v>
      </c>
      <c r="H32" s="37">
        <f t="shared" si="8"/>
        <v>0</v>
      </c>
      <c r="I32" s="37">
        <f t="shared" si="8"/>
        <v>0</v>
      </c>
      <c r="J32" s="37">
        <f t="shared" si="8"/>
        <v>0</v>
      </c>
      <c r="K32" s="37">
        <f t="shared" si="8"/>
        <v>0</v>
      </c>
      <c r="L32" s="37">
        <f t="shared" si="8"/>
        <v>0</v>
      </c>
      <c r="M32" s="37">
        <f t="shared" si="8"/>
        <v>0</v>
      </c>
      <c r="N32" s="37">
        <f t="shared" si="8"/>
        <v>0</v>
      </c>
      <c r="O32" s="37">
        <f t="shared" si="8"/>
        <v>0</v>
      </c>
      <c r="P32" s="37"/>
      <c r="Q32" s="37">
        <f>Q24+Q30</f>
        <v>0</v>
      </c>
      <c r="R32" s="37">
        <f>R24+R30</f>
        <v>0</v>
      </c>
      <c r="S32" s="37">
        <f t="shared" si="8"/>
        <v>0</v>
      </c>
      <c r="T32" s="37">
        <f t="shared" si="8"/>
        <v>0</v>
      </c>
      <c r="U32" s="37">
        <f t="shared" si="8"/>
        <v>0</v>
      </c>
      <c r="V32" s="217"/>
      <c r="W32" s="250">
        <f>W24+W30</f>
        <v>0</v>
      </c>
      <c r="X32" s="38">
        <f>X24+X30</f>
        <v>0</v>
      </c>
    </row>
    <row r="33" spans="1:24" ht="24.95" hidden="1" customHeight="1" thickTop="1" thickBot="1" x14ac:dyDescent="0.3">
      <c r="A33" s="35"/>
      <c r="B33" s="36"/>
      <c r="C33" s="44" t="s">
        <v>166</v>
      </c>
      <c r="D33" s="212">
        <f t="shared" ref="D33:U33" si="9">D16+D32</f>
        <v>0</v>
      </c>
      <c r="E33" s="212">
        <f t="shared" si="9"/>
        <v>0</v>
      </c>
      <c r="F33" s="212">
        <f t="shared" si="9"/>
        <v>3600</v>
      </c>
      <c r="G33" s="212">
        <f t="shared" si="9"/>
        <v>15720</v>
      </c>
      <c r="H33" s="212">
        <f t="shared" si="9"/>
        <v>15017</v>
      </c>
      <c r="I33" s="212">
        <f t="shared" si="9"/>
        <v>0</v>
      </c>
      <c r="J33" s="212">
        <f t="shared" si="9"/>
        <v>0</v>
      </c>
      <c r="K33" s="212">
        <f t="shared" si="9"/>
        <v>0</v>
      </c>
      <c r="L33" s="212">
        <f t="shared" si="9"/>
        <v>0</v>
      </c>
      <c r="M33" s="212">
        <f t="shared" si="9"/>
        <v>1500</v>
      </c>
      <c r="N33" s="37">
        <f t="shared" si="9"/>
        <v>0</v>
      </c>
      <c r="O33" s="37">
        <f t="shared" si="9"/>
        <v>35837</v>
      </c>
      <c r="P33" s="37"/>
      <c r="Q33" s="37">
        <f>Q16+Q32</f>
        <v>0</v>
      </c>
      <c r="R33" s="37">
        <f>R16+R32</f>
        <v>0</v>
      </c>
      <c r="S33" s="37">
        <f t="shared" si="9"/>
        <v>0</v>
      </c>
      <c r="T33" s="37">
        <f t="shared" si="9"/>
        <v>0</v>
      </c>
      <c r="U33" s="37">
        <f t="shared" si="9"/>
        <v>0</v>
      </c>
      <c r="V33" s="37"/>
      <c r="W33" s="250">
        <f>O33+U33</f>
        <v>35837</v>
      </c>
      <c r="X33" s="243">
        <f>X16+X32</f>
        <v>2616028</v>
      </c>
    </row>
    <row r="34" spans="1:24" ht="15" hidden="1" customHeight="1" thickTop="1" thickBot="1" x14ac:dyDescent="0.3">
      <c r="A34" s="35"/>
      <c r="B34" s="36"/>
      <c r="C34" s="44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37"/>
      <c r="O34" s="37"/>
      <c r="P34" s="37"/>
      <c r="Q34" s="37"/>
      <c r="R34" s="37"/>
      <c r="S34" s="37"/>
      <c r="T34" s="37"/>
      <c r="U34" s="37"/>
      <c r="V34" s="37"/>
      <c r="W34" s="250"/>
      <c r="X34" s="243"/>
    </row>
    <row r="35" spans="1:24" ht="24.95" hidden="1" customHeight="1" thickTop="1" thickBot="1" x14ac:dyDescent="0.3">
      <c r="A35" s="35"/>
      <c r="B35" s="36"/>
      <c r="C35" s="315" t="s">
        <v>67</v>
      </c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37"/>
      <c r="O35" s="37">
        <f>SUM(D35:N35)</f>
        <v>0</v>
      </c>
      <c r="P35" s="37"/>
      <c r="Q35" s="37"/>
      <c r="R35" s="37">
        <f>202512+95902</f>
        <v>298414</v>
      </c>
      <c r="S35" s="37"/>
      <c r="T35" s="37"/>
      <c r="U35" s="37">
        <f>SUM(Q35:T35)</f>
        <v>298414</v>
      </c>
      <c r="V35" s="37"/>
      <c r="W35" s="250">
        <f>O35+U35</f>
        <v>298414</v>
      </c>
      <c r="X35" s="243"/>
    </row>
    <row r="36" spans="1:24" ht="15" hidden="1" customHeight="1" thickTop="1" thickBot="1" x14ac:dyDescent="0.3">
      <c r="A36" s="35"/>
      <c r="B36" s="36"/>
      <c r="C36" s="315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37"/>
      <c r="O36" s="37"/>
      <c r="P36" s="37"/>
      <c r="Q36" s="37"/>
      <c r="R36" s="37"/>
      <c r="S36" s="37"/>
      <c r="T36" s="37"/>
      <c r="U36" s="37"/>
      <c r="V36" s="37"/>
      <c r="W36" s="250"/>
      <c r="X36" s="243"/>
    </row>
    <row r="37" spans="1:24" ht="24.95" hidden="1" customHeight="1" thickTop="1" thickBot="1" x14ac:dyDescent="0.3">
      <c r="A37" s="35"/>
      <c r="B37" s="36"/>
      <c r="C37" s="315" t="s">
        <v>93</v>
      </c>
      <c r="D37" s="212"/>
      <c r="E37" s="212"/>
      <c r="F37" s="212"/>
      <c r="G37" s="212"/>
      <c r="H37" s="212"/>
      <c r="I37" s="212"/>
      <c r="J37" s="212"/>
      <c r="K37" s="212"/>
      <c r="L37" s="212"/>
      <c r="M37" s="37"/>
      <c r="N37" s="37"/>
      <c r="O37" s="37">
        <f>SUM(D37:N37)</f>
        <v>0</v>
      </c>
      <c r="P37" s="37"/>
      <c r="Q37" s="37"/>
      <c r="R37" s="37"/>
      <c r="S37" s="37"/>
      <c r="T37" s="37"/>
      <c r="U37" s="37">
        <f>SUM(Q37:T37)</f>
        <v>0</v>
      </c>
      <c r="V37" s="212"/>
      <c r="W37" s="250">
        <f>O37+U37</f>
        <v>0</v>
      </c>
      <c r="X37" s="243"/>
    </row>
    <row r="38" spans="1:24" ht="15" hidden="1" customHeight="1" thickTop="1" thickBot="1" x14ac:dyDescent="0.3">
      <c r="A38" s="35"/>
      <c r="B38" s="36"/>
      <c r="C38" s="315"/>
      <c r="D38" s="212"/>
      <c r="E38" s="212"/>
      <c r="F38" s="212"/>
      <c r="G38" s="212"/>
      <c r="H38" s="212"/>
      <c r="I38" s="212"/>
      <c r="J38" s="212"/>
      <c r="K38" s="212"/>
      <c r="L38" s="212"/>
      <c r="M38" s="37"/>
      <c r="N38" s="37"/>
      <c r="O38" s="37"/>
      <c r="P38" s="37"/>
      <c r="Q38" s="37"/>
      <c r="R38" s="37"/>
      <c r="S38" s="37"/>
      <c r="T38" s="37"/>
      <c r="U38" s="37"/>
      <c r="V38" s="212"/>
      <c r="W38" s="250"/>
      <c r="X38" s="243"/>
    </row>
    <row r="39" spans="1:24" ht="30" hidden="1" customHeight="1" thickTop="1" thickBot="1" x14ac:dyDescent="0.3">
      <c r="A39" s="35"/>
      <c r="B39" s="234" t="s">
        <v>206</v>
      </c>
      <c r="C39" s="44" t="s">
        <v>166</v>
      </c>
      <c r="D39" s="37">
        <f t="shared" ref="D39:U39" si="10">D33+D35+D37</f>
        <v>0</v>
      </c>
      <c r="E39" s="37">
        <f t="shared" si="10"/>
        <v>0</v>
      </c>
      <c r="F39" s="37">
        <f t="shared" si="10"/>
        <v>3600</v>
      </c>
      <c r="G39" s="37">
        <f t="shared" si="10"/>
        <v>15720</v>
      </c>
      <c r="H39" s="37">
        <f t="shared" si="10"/>
        <v>15017</v>
      </c>
      <c r="I39" s="37">
        <f t="shared" si="10"/>
        <v>0</v>
      </c>
      <c r="J39" s="37">
        <f t="shared" si="10"/>
        <v>0</v>
      </c>
      <c r="K39" s="37">
        <f t="shared" si="10"/>
        <v>0</v>
      </c>
      <c r="L39" s="37">
        <f t="shared" si="10"/>
        <v>0</v>
      </c>
      <c r="M39" s="37">
        <f t="shared" si="10"/>
        <v>1500</v>
      </c>
      <c r="N39" s="37">
        <f t="shared" si="10"/>
        <v>0</v>
      </c>
      <c r="O39" s="37">
        <f t="shared" si="10"/>
        <v>35837</v>
      </c>
      <c r="P39" s="37"/>
      <c r="Q39" s="37">
        <f t="shared" si="10"/>
        <v>0</v>
      </c>
      <c r="R39" s="37">
        <f t="shared" si="10"/>
        <v>298414</v>
      </c>
      <c r="S39" s="37">
        <f t="shared" si="10"/>
        <v>0</v>
      </c>
      <c r="T39" s="37">
        <f t="shared" si="10"/>
        <v>0</v>
      </c>
      <c r="U39" s="37">
        <f t="shared" si="10"/>
        <v>298414</v>
      </c>
      <c r="V39" s="212"/>
      <c r="W39" s="250">
        <f>W33+W35+W37</f>
        <v>334251</v>
      </c>
      <c r="X39" s="243">
        <f>X33+X37</f>
        <v>2616028</v>
      </c>
    </row>
    <row r="40" spans="1:24" ht="24.95" hidden="1" customHeight="1" x14ac:dyDescent="0.25">
      <c r="A40" s="22"/>
      <c r="B40" s="23"/>
      <c r="C40" s="24" t="s">
        <v>18</v>
      </c>
      <c r="D40" s="25">
        <f t="shared" ref="D40:L40" si="11">D39</f>
        <v>0</v>
      </c>
      <c r="E40" s="25">
        <f t="shared" si="11"/>
        <v>0</v>
      </c>
      <c r="F40" s="25">
        <f t="shared" si="11"/>
        <v>3600</v>
      </c>
      <c r="G40" s="25">
        <f t="shared" si="11"/>
        <v>15720</v>
      </c>
      <c r="H40" s="25">
        <f t="shared" si="11"/>
        <v>15017</v>
      </c>
      <c r="I40" s="25">
        <f t="shared" si="11"/>
        <v>0</v>
      </c>
      <c r="J40" s="25">
        <f t="shared" si="11"/>
        <v>0</v>
      </c>
      <c r="K40" s="25">
        <f t="shared" si="11"/>
        <v>0</v>
      </c>
      <c r="L40" s="25">
        <f t="shared" si="11"/>
        <v>0</v>
      </c>
      <c r="M40" s="25">
        <f t="shared" ref="M40:U40" si="12">M39</f>
        <v>1500</v>
      </c>
      <c r="N40" s="25">
        <f t="shared" si="12"/>
        <v>0</v>
      </c>
      <c r="O40" s="25">
        <f t="shared" si="12"/>
        <v>35837</v>
      </c>
      <c r="P40" s="25"/>
      <c r="Q40" s="25">
        <f>Q39</f>
        <v>0</v>
      </c>
      <c r="R40" s="25">
        <f>R39</f>
        <v>298414</v>
      </c>
      <c r="S40" s="25">
        <f t="shared" si="12"/>
        <v>0</v>
      </c>
      <c r="T40" s="25">
        <f t="shared" si="12"/>
        <v>0</v>
      </c>
      <c r="U40" s="25">
        <f t="shared" si="12"/>
        <v>298414</v>
      </c>
      <c r="V40" s="25"/>
      <c r="W40" s="251">
        <f>O40+U40</f>
        <v>334251</v>
      </c>
      <c r="X40" s="258">
        <f>X39</f>
        <v>2616028</v>
      </c>
    </row>
    <row r="41" spans="1:24" ht="24.95" hidden="1" customHeight="1" x14ac:dyDescent="0.25">
      <c r="A41" s="537"/>
      <c r="B41" s="538"/>
      <c r="C41" s="539"/>
      <c r="D41" s="342"/>
      <c r="E41" s="342"/>
      <c r="F41" s="342"/>
      <c r="G41" s="342"/>
      <c r="H41" s="342"/>
      <c r="I41" s="342"/>
      <c r="J41" s="342"/>
      <c r="K41" s="342"/>
      <c r="L41" s="342"/>
      <c r="M41" s="342"/>
      <c r="N41" s="342"/>
      <c r="O41" s="342"/>
      <c r="P41" s="342"/>
      <c r="Q41" s="342"/>
      <c r="R41" s="342"/>
      <c r="S41" s="342"/>
      <c r="T41" s="342"/>
      <c r="U41" s="342"/>
      <c r="V41" s="343"/>
      <c r="W41" s="540"/>
      <c r="X41" s="541"/>
    </row>
    <row r="42" spans="1:24" ht="30" hidden="1" customHeight="1" x14ac:dyDescent="0.25">
      <c r="A42" s="18">
        <v>1</v>
      </c>
      <c r="B42" s="188" t="s">
        <v>288</v>
      </c>
      <c r="C42" s="33" t="s">
        <v>289</v>
      </c>
      <c r="D42" s="342"/>
      <c r="E42" s="342"/>
      <c r="F42" s="342"/>
      <c r="G42" s="342"/>
      <c r="H42" s="342"/>
      <c r="I42" s="342"/>
      <c r="J42" s="342"/>
      <c r="K42" s="342"/>
      <c r="L42" s="342"/>
      <c r="M42" s="342"/>
      <c r="N42" s="342"/>
      <c r="O42" s="542">
        <f t="shared" ref="O42:O62" si="13">SUM(D42:N42)</f>
        <v>0</v>
      </c>
      <c r="P42" s="342"/>
      <c r="Q42" s="342"/>
      <c r="R42" s="342"/>
      <c r="S42" s="342"/>
      <c r="T42" s="342"/>
      <c r="U42" s="542">
        <f t="shared" ref="U42:U61" si="14">SUM(Q42:T42)</f>
        <v>0</v>
      </c>
      <c r="V42" s="343"/>
      <c r="W42" s="259">
        <f t="shared" ref="W42:W61" si="15">O42+U42</f>
        <v>0</v>
      </c>
      <c r="X42" s="408">
        <v>23200</v>
      </c>
    </row>
    <row r="43" spans="1:24" ht="30" hidden="1" customHeight="1" x14ac:dyDescent="0.2">
      <c r="A43" s="40">
        <v>2</v>
      </c>
      <c r="B43" s="30" t="s">
        <v>294</v>
      </c>
      <c r="C43" s="41" t="s">
        <v>293</v>
      </c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>
        <f t="shared" si="13"/>
        <v>0</v>
      </c>
      <c r="P43" s="241"/>
      <c r="Q43" s="241"/>
      <c r="R43" s="241"/>
      <c r="S43" s="241"/>
      <c r="T43" s="241"/>
      <c r="U43" s="241">
        <f t="shared" si="14"/>
        <v>0</v>
      </c>
      <c r="V43" s="242"/>
      <c r="W43" s="259">
        <f t="shared" si="15"/>
        <v>0</v>
      </c>
      <c r="X43" s="408">
        <v>10043</v>
      </c>
    </row>
    <row r="44" spans="1:24" ht="30" hidden="1" customHeight="1" x14ac:dyDescent="0.25">
      <c r="A44" s="18">
        <v>3</v>
      </c>
      <c r="B44" s="30" t="s">
        <v>296</v>
      </c>
      <c r="C44" s="41" t="s">
        <v>290</v>
      </c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>
        <f t="shared" si="13"/>
        <v>0</v>
      </c>
      <c r="P44" s="241"/>
      <c r="Q44" s="241"/>
      <c r="R44" s="241"/>
      <c r="S44" s="241"/>
      <c r="T44" s="241"/>
      <c r="U44" s="241">
        <f t="shared" si="14"/>
        <v>0</v>
      </c>
      <c r="V44" s="242"/>
      <c r="W44" s="259">
        <f t="shared" si="15"/>
        <v>0</v>
      </c>
      <c r="X44" s="408">
        <v>7933.9780000000001</v>
      </c>
    </row>
    <row r="45" spans="1:24" ht="24.95" hidden="1" customHeight="1" x14ac:dyDescent="0.2">
      <c r="A45" s="40">
        <v>4</v>
      </c>
      <c r="B45" s="27"/>
      <c r="C45" s="34"/>
      <c r="D45" s="241"/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>
        <f t="shared" si="13"/>
        <v>0</v>
      </c>
      <c r="P45" s="241"/>
      <c r="Q45" s="241"/>
      <c r="R45" s="241"/>
      <c r="S45" s="241"/>
      <c r="T45" s="241"/>
      <c r="U45" s="241">
        <f t="shared" si="14"/>
        <v>0</v>
      </c>
      <c r="V45" s="242"/>
      <c r="W45" s="259">
        <f t="shared" si="15"/>
        <v>0</v>
      </c>
      <c r="X45" s="260"/>
    </row>
    <row r="46" spans="1:24" ht="24.95" hidden="1" customHeight="1" x14ac:dyDescent="0.25">
      <c r="A46" s="18">
        <v>5</v>
      </c>
      <c r="B46" s="27"/>
      <c r="C46" s="28"/>
      <c r="D46" s="241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>
        <f t="shared" si="13"/>
        <v>0</v>
      </c>
      <c r="P46" s="241"/>
      <c r="Q46" s="241"/>
      <c r="R46" s="241"/>
      <c r="S46" s="241"/>
      <c r="T46" s="241"/>
      <c r="U46" s="241">
        <f t="shared" si="14"/>
        <v>0</v>
      </c>
      <c r="V46" s="242"/>
      <c r="W46" s="259">
        <f t="shared" si="15"/>
        <v>0</v>
      </c>
      <c r="X46" s="260"/>
    </row>
    <row r="47" spans="1:24" ht="24.95" hidden="1" customHeight="1" x14ac:dyDescent="0.2">
      <c r="A47" s="40">
        <v>6</v>
      </c>
      <c r="B47" s="75"/>
      <c r="C47" s="34"/>
      <c r="D47" s="241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>
        <f t="shared" si="13"/>
        <v>0</v>
      </c>
      <c r="P47" s="241"/>
      <c r="Q47" s="241"/>
      <c r="R47" s="241"/>
      <c r="S47" s="241"/>
      <c r="T47" s="241"/>
      <c r="U47" s="241">
        <f t="shared" si="14"/>
        <v>0</v>
      </c>
      <c r="V47" s="242"/>
      <c r="W47" s="259">
        <f t="shared" si="15"/>
        <v>0</v>
      </c>
      <c r="X47" s="260"/>
    </row>
    <row r="48" spans="1:24" ht="24.95" hidden="1" customHeight="1" x14ac:dyDescent="0.25">
      <c r="A48" s="478">
        <v>7</v>
      </c>
      <c r="B48" s="341"/>
      <c r="C48" s="34"/>
      <c r="D48" s="241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>
        <f t="shared" si="13"/>
        <v>0</v>
      </c>
      <c r="P48" s="241"/>
      <c r="Q48" s="241"/>
      <c r="R48" s="241"/>
      <c r="S48" s="241"/>
      <c r="T48" s="241"/>
      <c r="U48" s="241">
        <f t="shared" si="14"/>
        <v>0</v>
      </c>
      <c r="V48" s="242"/>
      <c r="W48" s="259">
        <f t="shared" si="15"/>
        <v>0</v>
      </c>
      <c r="X48" s="260"/>
    </row>
    <row r="49" spans="1:24" ht="24.95" hidden="1" customHeight="1" x14ac:dyDescent="0.2">
      <c r="A49" s="40">
        <v>7</v>
      </c>
      <c r="B49" s="27"/>
      <c r="C49" s="34"/>
      <c r="D49" s="241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>
        <f t="shared" si="13"/>
        <v>0</v>
      </c>
      <c r="P49" s="241"/>
      <c r="Q49" s="241"/>
      <c r="R49" s="241"/>
      <c r="S49" s="241"/>
      <c r="T49" s="241"/>
      <c r="U49" s="241">
        <f t="shared" si="14"/>
        <v>0</v>
      </c>
      <c r="V49" s="242"/>
      <c r="W49" s="259">
        <f t="shared" si="15"/>
        <v>0</v>
      </c>
      <c r="X49" s="260"/>
    </row>
    <row r="50" spans="1:24" ht="24.95" hidden="1" customHeight="1" x14ac:dyDescent="0.2">
      <c r="A50" s="187">
        <v>8</v>
      </c>
      <c r="B50" s="340"/>
      <c r="C50" s="28"/>
      <c r="D50" s="241"/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>
        <f t="shared" si="13"/>
        <v>0</v>
      </c>
      <c r="P50" s="241"/>
      <c r="Q50" s="241"/>
      <c r="R50" s="241"/>
      <c r="S50" s="241"/>
      <c r="T50" s="241"/>
      <c r="U50" s="241">
        <f t="shared" si="14"/>
        <v>0</v>
      </c>
      <c r="V50" s="242"/>
      <c r="W50" s="259">
        <f t="shared" si="15"/>
        <v>0</v>
      </c>
      <c r="X50" s="260"/>
    </row>
    <row r="51" spans="1:24" ht="24.95" hidden="1" customHeight="1" x14ac:dyDescent="0.2">
      <c r="A51" s="40">
        <v>9</v>
      </c>
      <c r="B51" s="27"/>
      <c r="C51" s="28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>
        <f t="shared" si="13"/>
        <v>0</v>
      </c>
      <c r="P51" s="241"/>
      <c r="Q51" s="241"/>
      <c r="R51" s="241"/>
      <c r="S51" s="241"/>
      <c r="T51" s="241"/>
      <c r="U51" s="241">
        <f t="shared" si="14"/>
        <v>0</v>
      </c>
      <c r="V51" s="242"/>
      <c r="W51" s="259">
        <f t="shared" si="15"/>
        <v>0</v>
      </c>
      <c r="X51" s="260"/>
    </row>
    <row r="52" spans="1:24" ht="24.95" hidden="1" customHeight="1" x14ac:dyDescent="0.2">
      <c r="A52" s="187">
        <v>10</v>
      </c>
      <c r="B52" s="341"/>
      <c r="C52" s="28"/>
      <c r="D52" s="241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>
        <f t="shared" si="13"/>
        <v>0</v>
      </c>
      <c r="P52" s="241"/>
      <c r="Q52" s="241"/>
      <c r="R52" s="241"/>
      <c r="S52" s="241"/>
      <c r="T52" s="241"/>
      <c r="U52" s="241">
        <f t="shared" si="14"/>
        <v>0</v>
      </c>
      <c r="V52" s="242"/>
      <c r="W52" s="259">
        <f t="shared" si="15"/>
        <v>0</v>
      </c>
      <c r="X52" s="260"/>
    </row>
    <row r="53" spans="1:24" ht="24.95" hidden="1" customHeight="1" x14ac:dyDescent="0.2">
      <c r="A53" s="40">
        <v>11</v>
      </c>
      <c r="B53" s="75"/>
      <c r="C53" s="28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>
        <f t="shared" si="13"/>
        <v>0</v>
      </c>
      <c r="P53" s="241"/>
      <c r="Q53" s="241"/>
      <c r="R53" s="241"/>
      <c r="S53" s="241"/>
      <c r="T53" s="241"/>
      <c r="U53" s="241">
        <f t="shared" si="14"/>
        <v>0</v>
      </c>
      <c r="V53" s="242"/>
      <c r="W53" s="259">
        <f t="shared" si="15"/>
        <v>0</v>
      </c>
      <c r="X53" s="260"/>
    </row>
    <row r="54" spans="1:24" ht="24.95" hidden="1" customHeight="1" x14ac:dyDescent="0.2">
      <c r="A54" s="40">
        <v>12</v>
      </c>
      <c r="B54" s="75"/>
      <c r="C54" s="41"/>
      <c r="D54" s="241"/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>
        <f t="shared" si="13"/>
        <v>0</v>
      </c>
      <c r="P54" s="241"/>
      <c r="Q54" s="241"/>
      <c r="R54" s="241"/>
      <c r="S54" s="241"/>
      <c r="T54" s="241"/>
      <c r="U54" s="241">
        <f t="shared" si="14"/>
        <v>0</v>
      </c>
      <c r="V54" s="242"/>
      <c r="W54" s="259">
        <f t="shared" si="15"/>
        <v>0</v>
      </c>
      <c r="X54" s="260"/>
    </row>
    <row r="55" spans="1:24" ht="24.95" hidden="1" customHeight="1" x14ac:dyDescent="0.2">
      <c r="A55" s="40">
        <v>13</v>
      </c>
      <c r="B55" s="27"/>
      <c r="C55" s="41"/>
      <c r="D55" s="241"/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1">
        <f t="shared" si="13"/>
        <v>0</v>
      </c>
      <c r="P55" s="241"/>
      <c r="Q55" s="241"/>
      <c r="R55" s="241"/>
      <c r="S55" s="241"/>
      <c r="T55" s="241"/>
      <c r="U55" s="241">
        <f t="shared" si="14"/>
        <v>0</v>
      </c>
      <c r="V55" s="242"/>
      <c r="W55" s="259">
        <f t="shared" si="15"/>
        <v>0</v>
      </c>
      <c r="X55" s="260"/>
    </row>
    <row r="56" spans="1:24" ht="24.95" hidden="1" customHeight="1" x14ac:dyDescent="0.2">
      <c r="A56" s="40">
        <v>14</v>
      </c>
      <c r="B56" s="27"/>
      <c r="C56" s="41"/>
      <c r="D56" s="241"/>
      <c r="E56" s="241"/>
      <c r="F56" s="241"/>
      <c r="G56" s="241"/>
      <c r="H56" s="241"/>
      <c r="I56" s="241"/>
      <c r="J56" s="241"/>
      <c r="K56" s="241"/>
      <c r="L56" s="241"/>
      <c r="M56" s="241"/>
      <c r="N56" s="241"/>
      <c r="O56" s="241">
        <f t="shared" si="13"/>
        <v>0</v>
      </c>
      <c r="P56" s="241"/>
      <c r="Q56" s="241"/>
      <c r="R56" s="241"/>
      <c r="S56" s="241"/>
      <c r="T56" s="241"/>
      <c r="U56" s="241">
        <f t="shared" si="14"/>
        <v>0</v>
      </c>
      <c r="V56" s="242"/>
      <c r="W56" s="259">
        <f t="shared" si="15"/>
        <v>0</v>
      </c>
      <c r="X56" s="260"/>
    </row>
    <row r="57" spans="1:24" ht="24.95" hidden="1" customHeight="1" x14ac:dyDescent="0.2">
      <c r="A57" s="40">
        <v>15</v>
      </c>
      <c r="B57" s="27"/>
      <c r="C57" s="127"/>
      <c r="D57" s="241"/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241">
        <f t="shared" si="13"/>
        <v>0</v>
      </c>
      <c r="P57" s="241"/>
      <c r="Q57" s="241"/>
      <c r="R57" s="241"/>
      <c r="S57" s="241"/>
      <c r="T57" s="241"/>
      <c r="U57" s="241">
        <f t="shared" si="14"/>
        <v>0</v>
      </c>
      <c r="V57" s="242"/>
      <c r="W57" s="259">
        <f t="shared" si="15"/>
        <v>0</v>
      </c>
      <c r="X57" s="260"/>
    </row>
    <row r="58" spans="1:24" ht="24.95" hidden="1" customHeight="1" x14ac:dyDescent="0.2">
      <c r="A58" s="40">
        <v>16</v>
      </c>
      <c r="B58" s="27"/>
      <c r="C58" s="127"/>
      <c r="D58" s="241"/>
      <c r="E58" s="241"/>
      <c r="F58" s="241"/>
      <c r="G58" s="241"/>
      <c r="H58" s="241"/>
      <c r="I58" s="241"/>
      <c r="J58" s="241"/>
      <c r="K58" s="241"/>
      <c r="L58" s="241"/>
      <c r="M58" s="241"/>
      <c r="N58" s="241"/>
      <c r="O58" s="241">
        <f t="shared" si="13"/>
        <v>0</v>
      </c>
      <c r="P58" s="241"/>
      <c r="Q58" s="241"/>
      <c r="R58" s="241"/>
      <c r="S58" s="241"/>
      <c r="T58" s="241"/>
      <c r="U58" s="241">
        <f t="shared" si="14"/>
        <v>0</v>
      </c>
      <c r="V58" s="242"/>
      <c r="W58" s="259">
        <f t="shared" si="15"/>
        <v>0</v>
      </c>
      <c r="X58" s="260"/>
    </row>
    <row r="59" spans="1:24" ht="24.95" hidden="1" customHeight="1" x14ac:dyDescent="0.2">
      <c r="A59" s="40">
        <v>17</v>
      </c>
      <c r="B59" s="27"/>
      <c r="C59" s="41"/>
      <c r="D59" s="241"/>
      <c r="E59" s="241"/>
      <c r="F59" s="241"/>
      <c r="G59" s="241"/>
      <c r="H59" s="241"/>
      <c r="I59" s="241"/>
      <c r="J59" s="241"/>
      <c r="K59" s="241"/>
      <c r="L59" s="241"/>
      <c r="M59" s="241"/>
      <c r="N59" s="241"/>
      <c r="O59" s="241">
        <f t="shared" si="13"/>
        <v>0</v>
      </c>
      <c r="P59" s="241"/>
      <c r="Q59" s="241"/>
      <c r="R59" s="241"/>
      <c r="S59" s="241"/>
      <c r="T59" s="241"/>
      <c r="U59" s="241">
        <f t="shared" si="14"/>
        <v>0</v>
      </c>
      <c r="V59" s="242"/>
      <c r="W59" s="259">
        <f t="shared" si="15"/>
        <v>0</v>
      </c>
      <c r="X59" s="260"/>
    </row>
    <row r="60" spans="1:24" ht="24.95" hidden="1" customHeight="1" x14ac:dyDescent="0.2">
      <c r="A60" s="40">
        <v>18</v>
      </c>
      <c r="B60" s="27"/>
      <c r="C60" s="41"/>
      <c r="D60" s="241"/>
      <c r="E60" s="241"/>
      <c r="F60" s="241"/>
      <c r="G60" s="241"/>
      <c r="H60" s="241"/>
      <c r="I60" s="241"/>
      <c r="J60" s="241"/>
      <c r="K60" s="241"/>
      <c r="L60" s="241"/>
      <c r="M60" s="241"/>
      <c r="N60" s="241"/>
      <c r="O60" s="241">
        <f t="shared" si="13"/>
        <v>0</v>
      </c>
      <c r="P60" s="241"/>
      <c r="Q60" s="241"/>
      <c r="R60" s="241"/>
      <c r="S60" s="241"/>
      <c r="T60" s="241"/>
      <c r="U60" s="241">
        <f t="shared" si="14"/>
        <v>0</v>
      </c>
      <c r="V60" s="242"/>
      <c r="W60" s="259">
        <f t="shared" si="15"/>
        <v>0</v>
      </c>
      <c r="X60" s="260"/>
    </row>
    <row r="61" spans="1:24" ht="24.95" hidden="1" customHeight="1" x14ac:dyDescent="0.2">
      <c r="A61" s="40">
        <v>19</v>
      </c>
      <c r="B61" s="27"/>
      <c r="C61" s="41"/>
      <c r="D61" s="241"/>
      <c r="E61" s="241"/>
      <c r="F61" s="241"/>
      <c r="G61" s="241"/>
      <c r="H61" s="241"/>
      <c r="I61" s="241"/>
      <c r="J61" s="241"/>
      <c r="K61" s="241"/>
      <c r="L61" s="241"/>
      <c r="M61" s="241"/>
      <c r="N61" s="241"/>
      <c r="O61" s="241">
        <f t="shared" si="13"/>
        <v>0</v>
      </c>
      <c r="P61" s="241"/>
      <c r="Q61" s="241"/>
      <c r="R61" s="241"/>
      <c r="S61" s="241"/>
      <c r="T61" s="241"/>
      <c r="U61" s="241">
        <f t="shared" si="14"/>
        <v>0</v>
      </c>
      <c r="V61" s="242"/>
      <c r="W61" s="259">
        <f t="shared" si="15"/>
        <v>0</v>
      </c>
      <c r="X61" s="260"/>
    </row>
    <row r="62" spans="1:24" ht="24.95" hidden="1" customHeight="1" x14ac:dyDescent="0.2">
      <c r="A62" s="40"/>
      <c r="B62" s="27"/>
      <c r="C62" s="41"/>
      <c r="D62" s="241"/>
      <c r="E62" s="241"/>
      <c r="F62" s="241"/>
      <c r="G62" s="241"/>
      <c r="H62" s="241"/>
      <c r="I62" s="241"/>
      <c r="J62" s="241"/>
      <c r="K62" s="241"/>
      <c r="L62" s="241"/>
      <c r="M62" s="241"/>
      <c r="N62" s="241"/>
      <c r="O62" s="241">
        <f t="shared" si="13"/>
        <v>0</v>
      </c>
      <c r="P62" s="241"/>
      <c r="Q62" s="241"/>
      <c r="R62" s="241"/>
      <c r="S62" s="241"/>
      <c r="T62" s="241"/>
      <c r="U62" s="241"/>
      <c r="V62" s="242"/>
      <c r="W62" s="259"/>
      <c r="X62" s="260"/>
    </row>
    <row r="63" spans="1:24" ht="24.95" hidden="1" customHeight="1" x14ac:dyDescent="0.2">
      <c r="A63" s="40"/>
      <c r="B63" s="140"/>
      <c r="C63" s="41"/>
      <c r="D63" s="241"/>
      <c r="E63" s="241"/>
      <c r="F63" s="241"/>
      <c r="G63" s="241"/>
      <c r="H63" s="241"/>
      <c r="I63" s="241"/>
      <c r="J63" s="241"/>
      <c r="K63" s="241"/>
      <c r="L63" s="241"/>
      <c r="M63" s="241"/>
      <c r="N63" s="241"/>
      <c r="O63" s="241"/>
      <c r="P63" s="241"/>
      <c r="Q63" s="241"/>
      <c r="R63" s="241"/>
      <c r="S63" s="241"/>
      <c r="T63" s="241"/>
      <c r="U63" s="241"/>
      <c r="V63" s="242"/>
      <c r="W63" s="259"/>
      <c r="X63" s="260"/>
    </row>
    <row r="64" spans="1:24" ht="9.9499999999999993" hidden="1" customHeight="1" x14ac:dyDescent="0.2">
      <c r="A64" s="40"/>
      <c r="B64" s="129"/>
      <c r="C64" s="41"/>
      <c r="D64" s="241"/>
      <c r="E64" s="241"/>
      <c r="F64" s="241"/>
      <c r="G64" s="241"/>
      <c r="H64" s="241"/>
      <c r="I64" s="241"/>
      <c r="J64" s="241"/>
      <c r="K64" s="241"/>
      <c r="L64" s="241"/>
      <c r="M64" s="241"/>
      <c r="N64" s="241"/>
      <c r="O64" s="241"/>
      <c r="P64" s="241"/>
      <c r="Q64" s="241"/>
      <c r="R64" s="241"/>
      <c r="S64" s="241"/>
      <c r="T64" s="241"/>
      <c r="U64" s="241"/>
      <c r="V64" s="242"/>
      <c r="W64" s="259"/>
      <c r="X64" s="260"/>
    </row>
    <row r="65" spans="1:24" ht="30" hidden="1" customHeight="1" x14ac:dyDescent="0.2">
      <c r="A65" s="218" t="s">
        <v>96</v>
      </c>
      <c r="B65" s="214"/>
      <c r="C65" s="219" t="s">
        <v>94</v>
      </c>
      <c r="D65" s="72">
        <f>SUM(D42:D64)</f>
        <v>0</v>
      </c>
      <c r="E65" s="72">
        <f t="shared" ref="E65:U65" si="16">SUM(E42:E64)</f>
        <v>0</v>
      </c>
      <c r="F65" s="72">
        <f t="shared" si="16"/>
        <v>0</v>
      </c>
      <c r="G65" s="72">
        <f t="shared" si="16"/>
        <v>0</v>
      </c>
      <c r="H65" s="72">
        <f t="shared" si="16"/>
        <v>0</v>
      </c>
      <c r="I65" s="72">
        <f t="shared" si="16"/>
        <v>0</v>
      </c>
      <c r="J65" s="72">
        <f t="shared" si="16"/>
        <v>0</v>
      </c>
      <c r="K65" s="72">
        <f t="shared" si="16"/>
        <v>0</v>
      </c>
      <c r="L65" s="72">
        <f t="shared" si="16"/>
        <v>0</v>
      </c>
      <c r="M65" s="72">
        <f t="shared" si="16"/>
        <v>0</v>
      </c>
      <c r="N65" s="72">
        <f t="shared" si="16"/>
        <v>0</v>
      </c>
      <c r="O65" s="72">
        <f t="shared" si="16"/>
        <v>0</v>
      </c>
      <c r="P65" s="72"/>
      <c r="Q65" s="72">
        <f t="shared" si="16"/>
        <v>0</v>
      </c>
      <c r="R65" s="72">
        <f t="shared" si="16"/>
        <v>0</v>
      </c>
      <c r="S65" s="72">
        <f t="shared" si="16"/>
        <v>0</v>
      </c>
      <c r="T65" s="72">
        <f t="shared" si="16"/>
        <v>0</v>
      </c>
      <c r="U65" s="72">
        <f t="shared" si="16"/>
        <v>0</v>
      </c>
      <c r="V65" s="72"/>
      <c r="W65" s="261">
        <f>O65+U65</f>
        <v>0</v>
      </c>
      <c r="X65" s="256">
        <f>SUM(X42:X64)</f>
        <v>41176.978000000003</v>
      </c>
    </row>
    <row r="66" spans="1:24" ht="20.100000000000001" hidden="1" customHeight="1" x14ac:dyDescent="0.2">
      <c r="A66" s="235"/>
      <c r="B66" s="236"/>
      <c r="C66" s="127"/>
      <c r="D66" s="72"/>
      <c r="E66" s="241"/>
      <c r="F66" s="241"/>
      <c r="G66" s="241"/>
      <c r="H66" s="241"/>
      <c r="I66" s="241"/>
      <c r="J66" s="241"/>
      <c r="K66" s="241"/>
      <c r="L66" s="241"/>
      <c r="M66" s="241"/>
      <c r="N66" s="241"/>
      <c r="O66" s="241"/>
      <c r="P66" s="241"/>
      <c r="Q66" s="241"/>
      <c r="R66" s="241"/>
      <c r="S66" s="241"/>
      <c r="T66" s="241"/>
      <c r="U66" s="241"/>
      <c r="V66" s="242"/>
      <c r="W66" s="259"/>
      <c r="X66" s="260"/>
    </row>
    <row r="67" spans="1:24" ht="30" hidden="1" customHeight="1" x14ac:dyDescent="0.2">
      <c r="A67" s="40">
        <v>4</v>
      </c>
      <c r="B67" s="31" t="s">
        <v>276</v>
      </c>
      <c r="C67" s="41" t="s">
        <v>277</v>
      </c>
      <c r="D67" s="176"/>
      <c r="E67" s="176"/>
      <c r="F67" s="176">
        <f>12946.579</f>
        <v>12946.579</v>
      </c>
      <c r="G67" s="176"/>
      <c r="H67" s="176"/>
      <c r="I67" s="176"/>
      <c r="J67" s="176"/>
      <c r="K67" s="176"/>
      <c r="L67" s="176"/>
      <c r="M67" s="176"/>
      <c r="N67" s="176"/>
      <c r="O67" s="176">
        <f>SUM(D67:N67)</f>
        <v>12946.579</v>
      </c>
      <c r="P67" s="176"/>
      <c r="Q67" s="176"/>
      <c r="R67" s="176"/>
      <c r="S67" s="176"/>
      <c r="T67" s="176"/>
      <c r="U67" s="176">
        <f>SUM(Q67:T67)</f>
        <v>0</v>
      </c>
      <c r="V67" s="177"/>
      <c r="W67" s="535">
        <f>O67+U67</f>
        <v>12946.579</v>
      </c>
      <c r="X67" s="408"/>
    </row>
    <row r="68" spans="1:24" ht="30" hidden="1" customHeight="1" x14ac:dyDescent="0.2">
      <c r="A68" s="187">
        <v>5</v>
      </c>
      <c r="B68" s="188" t="s">
        <v>278</v>
      </c>
      <c r="C68" s="41" t="s">
        <v>284</v>
      </c>
      <c r="D68" s="176"/>
      <c r="E68" s="176"/>
      <c r="F68" s="176">
        <v>12137.868</v>
      </c>
      <c r="G68" s="176"/>
      <c r="H68" s="176"/>
      <c r="I68" s="176"/>
      <c r="J68" s="176"/>
      <c r="K68" s="176"/>
      <c r="L68" s="176"/>
      <c r="M68" s="176"/>
      <c r="N68" s="176"/>
      <c r="O68" s="176">
        <f>SUM(D68:N68)</f>
        <v>12137.868</v>
      </c>
      <c r="P68" s="176"/>
      <c r="Q68" s="176"/>
      <c r="R68" s="176"/>
      <c r="S68" s="176"/>
      <c r="T68" s="176"/>
      <c r="U68" s="176">
        <f>SUM(Q68:T68)</f>
        <v>0</v>
      </c>
      <c r="V68" s="177"/>
      <c r="W68" s="535">
        <f>O68+U68</f>
        <v>12137.868</v>
      </c>
      <c r="X68" s="408"/>
    </row>
    <row r="69" spans="1:24" ht="30" hidden="1" customHeight="1" x14ac:dyDescent="0.2">
      <c r="A69" s="40">
        <v>6</v>
      </c>
      <c r="B69" s="188" t="s">
        <v>283</v>
      </c>
      <c r="C69" s="28" t="s">
        <v>286</v>
      </c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>
        <f>SUM(D69:N69)</f>
        <v>0</v>
      </c>
      <c r="P69" s="176"/>
      <c r="Q69" s="176"/>
      <c r="R69" s="176"/>
      <c r="S69" s="176"/>
      <c r="T69" s="176"/>
      <c r="U69" s="176">
        <f>SUM(Q69:T69)</f>
        <v>0</v>
      </c>
      <c r="V69" s="177"/>
      <c r="W69" s="535">
        <f>O69+U69</f>
        <v>0</v>
      </c>
      <c r="X69" s="408">
        <v>-674</v>
      </c>
    </row>
    <row r="70" spans="1:24" ht="24.95" hidden="1" customHeight="1" x14ac:dyDescent="0.2">
      <c r="A70" s="40"/>
      <c r="B70" s="188"/>
      <c r="C70" s="41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7"/>
      <c r="W70" s="535"/>
      <c r="X70" s="408"/>
    </row>
    <row r="71" spans="1:24" ht="24.95" hidden="1" customHeight="1" x14ac:dyDescent="0.2">
      <c r="A71" s="40"/>
      <c r="B71" s="126"/>
      <c r="C71" s="41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7"/>
      <c r="W71" s="535"/>
      <c r="X71" s="408"/>
    </row>
    <row r="72" spans="1:24" ht="9.9499999999999993" hidden="1" customHeight="1" x14ac:dyDescent="0.2">
      <c r="A72" s="40"/>
      <c r="B72" s="126"/>
      <c r="C72" s="41"/>
      <c r="D72" s="241"/>
      <c r="E72" s="241"/>
      <c r="F72" s="241"/>
      <c r="G72" s="241"/>
      <c r="H72" s="241"/>
      <c r="I72" s="241"/>
      <c r="J72" s="241"/>
      <c r="K72" s="241"/>
      <c r="L72" s="241"/>
      <c r="M72" s="241"/>
      <c r="N72" s="241"/>
      <c r="O72" s="241"/>
      <c r="P72" s="241"/>
      <c r="Q72" s="241"/>
      <c r="R72" s="241"/>
      <c r="S72" s="241"/>
      <c r="T72" s="241"/>
      <c r="U72" s="241"/>
      <c r="V72" s="242"/>
      <c r="W72" s="259"/>
      <c r="X72" s="260"/>
    </row>
    <row r="73" spans="1:24" ht="30" hidden="1" customHeight="1" x14ac:dyDescent="0.2">
      <c r="A73" s="218" t="s">
        <v>97</v>
      </c>
      <c r="B73" s="214"/>
      <c r="C73" s="219" t="s">
        <v>95</v>
      </c>
      <c r="D73" s="161">
        <f t="shared" ref="D73:O73" si="17">SUM(D67:D72)</f>
        <v>0</v>
      </c>
      <c r="E73" s="161">
        <f t="shared" si="17"/>
        <v>0</v>
      </c>
      <c r="F73" s="161">
        <f t="shared" si="17"/>
        <v>25084.447</v>
      </c>
      <c r="G73" s="161">
        <f t="shared" si="17"/>
        <v>0</v>
      </c>
      <c r="H73" s="161">
        <f t="shared" si="17"/>
        <v>0</v>
      </c>
      <c r="I73" s="161">
        <f t="shared" si="17"/>
        <v>0</v>
      </c>
      <c r="J73" s="161">
        <f t="shared" si="17"/>
        <v>0</v>
      </c>
      <c r="K73" s="161">
        <f t="shared" si="17"/>
        <v>0</v>
      </c>
      <c r="L73" s="161">
        <f t="shared" si="17"/>
        <v>0</v>
      </c>
      <c r="M73" s="161">
        <f t="shared" si="17"/>
        <v>0</v>
      </c>
      <c r="N73" s="161">
        <f t="shared" si="17"/>
        <v>0</v>
      </c>
      <c r="O73" s="161">
        <f t="shared" si="17"/>
        <v>25084.447</v>
      </c>
      <c r="P73" s="161"/>
      <c r="Q73" s="161">
        <f>SUM(Q67:Q72)</f>
        <v>0</v>
      </c>
      <c r="R73" s="161">
        <f>SUM(R67:R72)</f>
        <v>0</v>
      </c>
      <c r="S73" s="161">
        <f>SUM(S67:S72)</f>
        <v>0</v>
      </c>
      <c r="T73" s="161">
        <f>SUM(T67:T72)</f>
        <v>0</v>
      </c>
      <c r="U73" s="161">
        <f>SUM(U67:U72)</f>
        <v>0</v>
      </c>
      <c r="V73" s="161"/>
      <c r="W73" s="248">
        <f>O73+U73</f>
        <v>25084.447</v>
      </c>
      <c r="X73" s="348">
        <f>SUM(X67:X72)</f>
        <v>-674</v>
      </c>
    </row>
    <row r="74" spans="1:24" ht="9.9499999999999993" hidden="1" customHeight="1" x14ac:dyDescent="0.2">
      <c r="A74" s="40"/>
      <c r="B74" s="126"/>
      <c r="C74" s="41"/>
      <c r="D74" s="241"/>
      <c r="E74" s="241"/>
      <c r="F74" s="241"/>
      <c r="G74" s="241"/>
      <c r="H74" s="241"/>
      <c r="I74" s="241"/>
      <c r="J74" s="241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1"/>
      <c r="V74" s="242"/>
      <c r="W74" s="259"/>
      <c r="X74" s="260"/>
    </row>
    <row r="75" spans="1:24" ht="24.95" hidden="1" customHeight="1" x14ac:dyDescent="0.2">
      <c r="A75" s="40"/>
      <c r="B75" s="126"/>
      <c r="C75" s="41" t="s">
        <v>75</v>
      </c>
      <c r="D75" s="241"/>
      <c r="E75" s="241"/>
      <c r="F75" s="241"/>
      <c r="G75" s="241"/>
      <c r="H75" s="241"/>
      <c r="I75" s="241"/>
      <c r="J75" s="241"/>
      <c r="K75" s="241"/>
      <c r="L75" s="241"/>
      <c r="M75" s="241"/>
      <c r="N75" s="241"/>
      <c r="O75" s="241">
        <f>SUM(D75:N75)</f>
        <v>0</v>
      </c>
      <c r="P75" s="241"/>
      <c r="Q75" s="241"/>
      <c r="R75" s="241"/>
      <c r="S75" s="241"/>
      <c r="T75" s="241"/>
      <c r="U75" s="241">
        <f>SUM(Q75:T75)</f>
        <v>0</v>
      </c>
      <c r="V75" s="242"/>
      <c r="W75" s="259">
        <f>O75+U75</f>
        <v>0</v>
      </c>
      <c r="X75" s="260"/>
    </row>
    <row r="76" spans="1:24" ht="24.95" hidden="1" customHeight="1" thickBot="1" x14ac:dyDescent="0.25">
      <c r="A76" s="40"/>
      <c r="B76" s="106"/>
      <c r="C76" s="107"/>
      <c r="D76" s="262"/>
      <c r="E76" s="262"/>
      <c r="F76" s="262"/>
      <c r="G76" s="262"/>
      <c r="H76" s="262"/>
      <c r="I76" s="262"/>
      <c r="J76" s="262"/>
      <c r="K76" s="262"/>
      <c r="L76" s="262"/>
      <c r="M76" s="262"/>
      <c r="N76" s="262"/>
      <c r="O76" s="262"/>
      <c r="P76" s="262"/>
      <c r="Q76" s="262"/>
      <c r="R76" s="262"/>
      <c r="S76" s="262"/>
      <c r="T76" s="262"/>
      <c r="U76" s="262"/>
      <c r="V76" s="263"/>
      <c r="W76" s="264"/>
      <c r="X76" s="265"/>
    </row>
    <row r="77" spans="1:24" ht="30" hidden="1" customHeight="1" thickTop="1" thickBot="1" x14ac:dyDescent="0.25">
      <c r="A77" s="47"/>
      <c r="B77" s="111"/>
      <c r="C77" s="44" t="s">
        <v>98</v>
      </c>
      <c r="D77" s="212">
        <f t="shared" ref="D77:O77" si="18">D65+D73</f>
        <v>0</v>
      </c>
      <c r="E77" s="212">
        <f t="shared" si="18"/>
        <v>0</v>
      </c>
      <c r="F77" s="212">
        <f t="shared" si="18"/>
        <v>25084.447</v>
      </c>
      <c r="G77" s="212">
        <f t="shared" si="18"/>
        <v>0</v>
      </c>
      <c r="H77" s="212">
        <f t="shared" si="18"/>
        <v>0</v>
      </c>
      <c r="I77" s="212">
        <f t="shared" si="18"/>
        <v>0</v>
      </c>
      <c r="J77" s="212">
        <f t="shared" si="18"/>
        <v>0</v>
      </c>
      <c r="K77" s="212">
        <f t="shared" si="18"/>
        <v>0</v>
      </c>
      <c r="L77" s="212">
        <f t="shared" si="18"/>
        <v>0</v>
      </c>
      <c r="M77" s="212">
        <f t="shared" si="18"/>
        <v>0</v>
      </c>
      <c r="N77" s="212">
        <f t="shared" si="18"/>
        <v>0</v>
      </c>
      <c r="O77" s="212">
        <f t="shared" si="18"/>
        <v>25084.447</v>
      </c>
      <c r="P77" s="212"/>
      <c r="Q77" s="212">
        <f>Q65+Q73</f>
        <v>0</v>
      </c>
      <c r="R77" s="212">
        <f>R65+R73</f>
        <v>0</v>
      </c>
      <c r="S77" s="212">
        <f>S65+S73</f>
        <v>0</v>
      </c>
      <c r="T77" s="212">
        <f>T65+T73</f>
        <v>0</v>
      </c>
      <c r="U77" s="212">
        <f>U65+U73</f>
        <v>0</v>
      </c>
      <c r="V77" s="212"/>
      <c r="W77" s="266">
        <f>W65+W73</f>
        <v>25084.447</v>
      </c>
      <c r="X77" s="243">
        <f>X65+X73</f>
        <v>40502.978000000003</v>
      </c>
    </row>
    <row r="78" spans="1:24" ht="30" hidden="1" customHeight="1" thickTop="1" thickBot="1" x14ac:dyDescent="0.25">
      <c r="A78" s="42"/>
      <c r="B78" s="111" t="s">
        <v>211</v>
      </c>
      <c r="C78" s="44" t="s">
        <v>166</v>
      </c>
      <c r="D78" s="267">
        <f t="shared" ref="D78:O78" si="19">D40+D77</f>
        <v>0</v>
      </c>
      <c r="E78" s="267">
        <f t="shared" si="19"/>
        <v>0</v>
      </c>
      <c r="F78" s="267">
        <f t="shared" si="19"/>
        <v>28684.447</v>
      </c>
      <c r="G78" s="267">
        <f t="shared" si="19"/>
        <v>15720</v>
      </c>
      <c r="H78" s="267">
        <f t="shared" si="19"/>
        <v>15017</v>
      </c>
      <c r="I78" s="267">
        <f t="shared" si="19"/>
        <v>0</v>
      </c>
      <c r="J78" s="267">
        <f t="shared" si="19"/>
        <v>0</v>
      </c>
      <c r="K78" s="267">
        <f t="shared" si="19"/>
        <v>0</v>
      </c>
      <c r="L78" s="267">
        <f t="shared" si="19"/>
        <v>0</v>
      </c>
      <c r="M78" s="267">
        <f t="shared" si="19"/>
        <v>1500</v>
      </c>
      <c r="N78" s="267">
        <f t="shared" si="19"/>
        <v>0</v>
      </c>
      <c r="O78" s="267">
        <f t="shared" si="19"/>
        <v>60921.447</v>
      </c>
      <c r="P78" s="267"/>
      <c r="Q78" s="267">
        <f>Q40+Q77</f>
        <v>0</v>
      </c>
      <c r="R78" s="267">
        <f>R40+R77</f>
        <v>298414</v>
      </c>
      <c r="S78" s="267">
        <f>S40+S77</f>
        <v>0</v>
      </c>
      <c r="T78" s="267">
        <f>T40+T77</f>
        <v>0</v>
      </c>
      <c r="U78" s="267">
        <f>U40+U77</f>
        <v>298414</v>
      </c>
      <c r="V78" s="267"/>
      <c r="W78" s="266">
        <f>W40+W77</f>
        <v>359335.44699999999</v>
      </c>
      <c r="X78" s="243">
        <f>X40+X77</f>
        <v>2656530.9780000001</v>
      </c>
    </row>
    <row r="79" spans="1:24" ht="24.95" hidden="1" customHeight="1" x14ac:dyDescent="0.25">
      <c r="A79" s="22"/>
      <c r="B79" s="550" t="s">
        <v>301</v>
      </c>
      <c r="C79" s="24" t="s">
        <v>18</v>
      </c>
      <c r="D79" s="25">
        <f t="shared" ref="D79:U79" si="20">D78</f>
        <v>0</v>
      </c>
      <c r="E79" s="25">
        <f t="shared" si="20"/>
        <v>0</v>
      </c>
      <c r="F79" s="25">
        <f t="shared" si="20"/>
        <v>28684.447</v>
      </c>
      <c r="G79" s="25">
        <f t="shared" si="20"/>
        <v>15720</v>
      </c>
      <c r="H79" s="25">
        <f t="shared" si="20"/>
        <v>15017</v>
      </c>
      <c r="I79" s="25">
        <f t="shared" si="20"/>
        <v>0</v>
      </c>
      <c r="J79" s="25">
        <f t="shared" si="20"/>
        <v>0</v>
      </c>
      <c r="K79" s="25">
        <f t="shared" si="20"/>
        <v>0</v>
      </c>
      <c r="L79" s="25">
        <f t="shared" si="20"/>
        <v>0</v>
      </c>
      <c r="M79" s="25">
        <f t="shared" si="20"/>
        <v>1500</v>
      </c>
      <c r="N79" s="25">
        <f t="shared" si="20"/>
        <v>0</v>
      </c>
      <c r="O79" s="25">
        <f t="shared" si="20"/>
        <v>60921.447</v>
      </c>
      <c r="P79" s="25"/>
      <c r="Q79" s="25">
        <f t="shared" si="20"/>
        <v>0</v>
      </c>
      <c r="R79" s="25">
        <f t="shared" si="20"/>
        <v>298414</v>
      </c>
      <c r="S79" s="25">
        <f t="shared" si="20"/>
        <v>0</v>
      </c>
      <c r="T79" s="25">
        <f t="shared" si="20"/>
        <v>0</v>
      </c>
      <c r="U79" s="25">
        <f t="shared" si="20"/>
        <v>298414</v>
      </c>
      <c r="V79" s="25"/>
      <c r="W79" s="251">
        <f t="shared" ref="W79:W84" si="21">O79+U79</f>
        <v>359335.44699999999</v>
      </c>
      <c r="X79" s="258">
        <f>X78</f>
        <v>2656530.9780000001</v>
      </c>
    </row>
    <row r="80" spans="1:24" ht="30.75" hidden="1" customHeight="1" x14ac:dyDescent="0.2">
      <c r="A80" s="40">
        <v>1</v>
      </c>
      <c r="B80" s="567" t="s">
        <v>436</v>
      </c>
      <c r="C80" s="41" t="s">
        <v>406</v>
      </c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>
        <f>SUM(D80:N80)</f>
        <v>0</v>
      </c>
      <c r="P80" s="72"/>
      <c r="Q80" s="72"/>
      <c r="R80" s="72"/>
      <c r="S80" s="72"/>
      <c r="T80" s="72"/>
      <c r="U80" s="72">
        <f>SUM(Q80:T80)</f>
        <v>0</v>
      </c>
      <c r="V80" s="73"/>
      <c r="W80" s="268">
        <f t="shared" si="21"/>
        <v>0</v>
      </c>
      <c r="X80" s="348">
        <f>5000</f>
        <v>5000</v>
      </c>
    </row>
    <row r="81" spans="1:24" ht="30.75" hidden="1" customHeight="1" x14ac:dyDescent="0.2">
      <c r="A81" s="187">
        <v>2</v>
      </c>
      <c r="B81" s="567" t="s">
        <v>437</v>
      </c>
      <c r="C81" s="41" t="s">
        <v>411</v>
      </c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>
        <f>SUM(D81:N81)</f>
        <v>0</v>
      </c>
      <c r="P81" s="72"/>
      <c r="Q81" s="72"/>
      <c r="R81" s="72"/>
      <c r="S81" s="72"/>
      <c r="T81" s="72"/>
      <c r="U81" s="72">
        <f>SUM(Q81:T81)</f>
        <v>0</v>
      </c>
      <c r="V81" s="73"/>
      <c r="W81" s="268">
        <f t="shared" si="21"/>
        <v>0</v>
      </c>
      <c r="X81" s="348">
        <f>5828.919+0.3</f>
        <v>5829.2190000000001</v>
      </c>
    </row>
    <row r="82" spans="1:24" ht="30.75" hidden="1" customHeight="1" x14ac:dyDescent="0.2">
      <c r="A82" s="40">
        <v>3</v>
      </c>
      <c r="B82" s="569" t="s">
        <v>438</v>
      </c>
      <c r="C82" s="41" t="s">
        <v>415</v>
      </c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>
        <f>SUM(D82:N82)</f>
        <v>0</v>
      </c>
      <c r="P82" s="72"/>
      <c r="Q82" s="72"/>
      <c r="R82" s="72"/>
      <c r="S82" s="72"/>
      <c r="T82" s="72"/>
      <c r="U82" s="72">
        <f>SUM(Q82:T82)</f>
        <v>0</v>
      </c>
      <c r="V82" s="73"/>
      <c r="W82" s="268">
        <f t="shared" si="21"/>
        <v>0</v>
      </c>
      <c r="X82" s="348">
        <f>-870</f>
        <v>-870</v>
      </c>
    </row>
    <row r="83" spans="1:24" ht="30.75" hidden="1" customHeight="1" x14ac:dyDescent="0.2">
      <c r="A83" s="187">
        <v>4</v>
      </c>
      <c r="B83" s="569" t="s">
        <v>454</v>
      </c>
      <c r="C83" s="41" t="s">
        <v>453</v>
      </c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>
        <f>SUM(D83:N83)</f>
        <v>0</v>
      </c>
      <c r="P83" s="72"/>
      <c r="Q83" s="72"/>
      <c r="R83" s="72"/>
      <c r="S83" s="72"/>
      <c r="T83" s="72"/>
      <c r="U83" s="72">
        <f>SUM(Q83:T83)</f>
        <v>0</v>
      </c>
      <c r="V83" s="73"/>
      <c r="W83" s="268">
        <f t="shared" si="21"/>
        <v>0</v>
      </c>
      <c r="X83" s="348">
        <f>-435</f>
        <v>-435</v>
      </c>
    </row>
    <row r="84" spans="1:24" ht="30.75" hidden="1" customHeight="1" x14ac:dyDescent="0.2">
      <c r="A84" s="40">
        <v>5</v>
      </c>
      <c r="B84" s="568" t="s">
        <v>478</v>
      </c>
      <c r="C84" s="41" t="s">
        <v>477</v>
      </c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>
        <f>SUM(D84:N84)</f>
        <v>0</v>
      </c>
      <c r="P84" s="72"/>
      <c r="Q84" s="72"/>
      <c r="R84" s="72"/>
      <c r="S84" s="72"/>
      <c r="T84" s="72"/>
      <c r="U84" s="72">
        <f>SUM(Q84:T84)</f>
        <v>0</v>
      </c>
      <c r="V84" s="73"/>
      <c r="W84" s="268">
        <f t="shared" si="21"/>
        <v>0</v>
      </c>
      <c r="X84" s="348">
        <f>19324</f>
        <v>19324</v>
      </c>
    </row>
    <row r="85" spans="1:24" ht="30.75" hidden="1" customHeight="1" x14ac:dyDescent="0.2">
      <c r="A85" s="40"/>
      <c r="B85" s="569"/>
      <c r="C85" s="41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3"/>
      <c r="W85" s="268"/>
      <c r="X85" s="348"/>
    </row>
    <row r="86" spans="1:24" ht="30.75" hidden="1" customHeight="1" x14ac:dyDescent="0.2">
      <c r="A86" s="40"/>
      <c r="B86" s="569"/>
      <c r="C86" s="41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3"/>
      <c r="W86" s="268"/>
      <c r="X86" s="348"/>
    </row>
    <row r="87" spans="1:24" ht="24.95" hidden="1" customHeight="1" x14ac:dyDescent="0.2">
      <c r="A87" s="40"/>
      <c r="B87" s="32"/>
      <c r="C87" s="41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3"/>
      <c r="W87" s="268">
        <f>SUM(D87:V87)</f>
        <v>0</v>
      </c>
      <c r="X87" s="348"/>
    </row>
    <row r="88" spans="1:24" ht="24.95" hidden="1" customHeight="1" x14ac:dyDescent="0.2">
      <c r="A88" s="218" t="s">
        <v>96</v>
      </c>
      <c r="B88" s="214"/>
      <c r="C88" s="219" t="s">
        <v>94</v>
      </c>
      <c r="D88" s="176">
        <f t="shared" ref="D88:X88" si="22">SUM(D80:D87)</f>
        <v>0</v>
      </c>
      <c r="E88" s="176">
        <f t="shared" si="22"/>
        <v>0</v>
      </c>
      <c r="F88" s="176">
        <f t="shared" si="22"/>
        <v>0</v>
      </c>
      <c r="G88" s="176">
        <f t="shared" si="22"/>
        <v>0</v>
      </c>
      <c r="H88" s="176">
        <f t="shared" si="22"/>
        <v>0</v>
      </c>
      <c r="I88" s="176">
        <f t="shared" si="22"/>
        <v>0</v>
      </c>
      <c r="J88" s="176">
        <f t="shared" si="22"/>
        <v>0</v>
      </c>
      <c r="K88" s="176">
        <f t="shared" si="22"/>
        <v>0</v>
      </c>
      <c r="L88" s="176">
        <f t="shared" si="22"/>
        <v>0</v>
      </c>
      <c r="M88" s="176">
        <f t="shared" si="22"/>
        <v>0</v>
      </c>
      <c r="N88" s="176">
        <f t="shared" si="22"/>
        <v>0</v>
      </c>
      <c r="O88" s="176">
        <f t="shared" si="22"/>
        <v>0</v>
      </c>
      <c r="P88" s="176"/>
      <c r="Q88" s="176">
        <f t="shared" si="22"/>
        <v>0</v>
      </c>
      <c r="R88" s="176">
        <f t="shared" si="22"/>
        <v>0</v>
      </c>
      <c r="S88" s="176">
        <f t="shared" si="22"/>
        <v>0</v>
      </c>
      <c r="T88" s="176">
        <f t="shared" si="22"/>
        <v>0</v>
      </c>
      <c r="U88" s="176">
        <f t="shared" si="22"/>
        <v>0</v>
      </c>
      <c r="V88" s="176"/>
      <c r="W88" s="261">
        <f t="shared" si="22"/>
        <v>0</v>
      </c>
      <c r="X88" s="352">
        <f t="shared" si="22"/>
        <v>28848.219000000001</v>
      </c>
    </row>
    <row r="89" spans="1:24" ht="15.75" hidden="1" customHeight="1" x14ac:dyDescent="0.2">
      <c r="A89" s="40"/>
      <c r="B89" s="31"/>
      <c r="C89" s="41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3"/>
      <c r="W89" s="268"/>
      <c r="X89" s="348"/>
    </row>
    <row r="90" spans="1:24" ht="30.75" hidden="1" customHeight="1" x14ac:dyDescent="0.2">
      <c r="A90" s="40">
        <v>6</v>
      </c>
      <c r="B90" s="569" t="s">
        <v>325</v>
      </c>
      <c r="C90" s="41" t="s">
        <v>326</v>
      </c>
      <c r="D90" s="161"/>
      <c r="E90" s="161"/>
      <c r="F90" s="161">
        <v>35995.175000000003</v>
      </c>
      <c r="G90" s="161"/>
      <c r="H90" s="161"/>
      <c r="I90" s="161"/>
      <c r="J90" s="161"/>
      <c r="K90" s="161"/>
      <c r="L90" s="161"/>
      <c r="M90" s="161"/>
      <c r="N90" s="161"/>
      <c r="O90" s="161">
        <f>SUM(D90:N90)</f>
        <v>35995.175000000003</v>
      </c>
      <c r="P90" s="161"/>
      <c r="Q90" s="161"/>
      <c r="R90" s="161"/>
      <c r="S90" s="161"/>
      <c r="T90" s="161"/>
      <c r="U90" s="161">
        <f>SUM(Q90:T90)</f>
        <v>0</v>
      </c>
      <c r="V90" s="167"/>
      <c r="W90" s="566">
        <f>O90+U90</f>
        <v>35995.175000000003</v>
      </c>
      <c r="X90" s="348"/>
    </row>
    <row r="91" spans="1:24" ht="30.75" hidden="1" customHeight="1" x14ac:dyDescent="0.2">
      <c r="A91" s="40">
        <v>7</v>
      </c>
      <c r="B91" s="569" t="s">
        <v>434</v>
      </c>
      <c r="C91" s="41" t="s">
        <v>326</v>
      </c>
      <c r="D91" s="161"/>
      <c r="E91" s="161"/>
      <c r="F91" s="161">
        <f>4550.08+1028.675</f>
        <v>5578.7550000000001</v>
      </c>
      <c r="G91" s="161"/>
      <c r="H91" s="161"/>
      <c r="I91" s="161"/>
      <c r="J91" s="161"/>
      <c r="K91" s="161"/>
      <c r="L91" s="175"/>
      <c r="M91" s="161"/>
      <c r="N91" s="161"/>
      <c r="O91" s="161">
        <f>SUM(D91:N91)</f>
        <v>5578.7550000000001</v>
      </c>
      <c r="P91" s="161"/>
      <c r="Q91" s="161"/>
      <c r="R91" s="161"/>
      <c r="S91" s="161"/>
      <c r="T91" s="161"/>
      <c r="U91" s="161">
        <f>SUM(Q91:T91)</f>
        <v>0</v>
      </c>
      <c r="V91" s="167"/>
      <c r="W91" s="566">
        <f>O91+U91</f>
        <v>5578.7550000000001</v>
      </c>
      <c r="X91" s="348"/>
    </row>
    <row r="92" spans="1:24" ht="30.75" hidden="1" customHeight="1" x14ac:dyDescent="0.2">
      <c r="A92" s="40">
        <v>8</v>
      </c>
      <c r="B92" s="569" t="s">
        <v>435</v>
      </c>
      <c r="C92" s="41" t="s">
        <v>433</v>
      </c>
      <c r="D92" s="161"/>
      <c r="E92" s="161"/>
      <c r="F92" s="161"/>
      <c r="G92" s="161">
        <f>-2000-1382+42</f>
        <v>-3340</v>
      </c>
      <c r="H92" s="161">
        <f>-3000+500+1500+600+4+42+10+800+650+716+162+216+530+300+10</f>
        <v>3040</v>
      </c>
      <c r="I92" s="161"/>
      <c r="J92" s="161"/>
      <c r="K92" s="161"/>
      <c r="L92" s="161"/>
      <c r="M92" s="161">
        <f>300</f>
        <v>300</v>
      </c>
      <c r="N92" s="175"/>
      <c r="O92" s="161">
        <f>SUM(D92:N92)</f>
        <v>0</v>
      </c>
      <c r="P92" s="161"/>
      <c r="Q92" s="161"/>
      <c r="R92" s="161"/>
      <c r="S92" s="161"/>
      <c r="T92" s="161"/>
      <c r="U92" s="161">
        <f>SUM(Q92:T92)</f>
        <v>0</v>
      </c>
      <c r="V92" s="167"/>
      <c r="W92" s="566">
        <f>O92+U92</f>
        <v>0</v>
      </c>
      <c r="X92" s="348"/>
    </row>
    <row r="93" spans="1:24" ht="24.95" hidden="1" customHeight="1" x14ac:dyDescent="0.2">
      <c r="A93" s="40">
        <v>9</v>
      </c>
      <c r="B93" s="237" t="s">
        <v>471</v>
      </c>
      <c r="C93" s="41" t="s">
        <v>472</v>
      </c>
      <c r="D93" s="161"/>
      <c r="E93" s="161"/>
      <c r="F93" s="161">
        <f>11437.89+182.634</f>
        <v>11620.523999999999</v>
      </c>
      <c r="G93" s="161"/>
      <c r="H93" s="161"/>
      <c r="I93" s="161"/>
      <c r="J93" s="161"/>
      <c r="K93" s="161"/>
      <c r="L93" s="161"/>
      <c r="M93" s="161"/>
      <c r="N93" s="161"/>
      <c r="O93" s="161">
        <f>SUM(D93:N93)</f>
        <v>11620.523999999999</v>
      </c>
      <c r="P93" s="161"/>
      <c r="Q93" s="161"/>
      <c r="R93" s="161"/>
      <c r="S93" s="161"/>
      <c r="T93" s="161"/>
      <c r="U93" s="161">
        <f>SUM(Q93:T93)</f>
        <v>0</v>
      </c>
      <c r="V93" s="167"/>
      <c r="W93" s="566">
        <f>O93+U93</f>
        <v>11620.523999999999</v>
      </c>
      <c r="X93" s="348"/>
    </row>
    <row r="94" spans="1:24" ht="24.95" hidden="1" customHeight="1" x14ac:dyDescent="0.2">
      <c r="A94" s="40">
        <v>10</v>
      </c>
      <c r="B94" s="571" t="s">
        <v>474</v>
      </c>
      <c r="C94" s="41" t="s">
        <v>475</v>
      </c>
      <c r="D94" s="161"/>
      <c r="E94" s="161"/>
      <c r="F94" s="161"/>
      <c r="G94" s="161"/>
      <c r="H94" s="161">
        <f>52</f>
        <v>52</v>
      </c>
      <c r="I94" s="161"/>
      <c r="J94" s="161"/>
      <c r="K94" s="161"/>
      <c r="L94" s="161"/>
      <c r="M94" s="161"/>
      <c r="N94" s="161"/>
      <c r="O94" s="161">
        <f>SUM(D94:N94)</f>
        <v>52</v>
      </c>
      <c r="P94" s="161"/>
      <c r="Q94" s="161"/>
      <c r="R94" s="161"/>
      <c r="S94" s="161"/>
      <c r="T94" s="161"/>
      <c r="U94" s="161">
        <f>SUM(Q94:T94)</f>
        <v>0</v>
      </c>
      <c r="V94" s="167"/>
      <c r="W94" s="566">
        <f>O94+U94</f>
        <v>52</v>
      </c>
      <c r="X94" s="348"/>
    </row>
    <row r="95" spans="1:24" ht="24.95" hidden="1" customHeight="1" x14ac:dyDescent="0.2">
      <c r="A95" s="40"/>
      <c r="B95" s="237"/>
      <c r="C95" s="41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7"/>
      <c r="W95" s="566"/>
      <c r="X95" s="348"/>
    </row>
    <row r="96" spans="1:24" ht="24.95" hidden="1" customHeight="1" x14ac:dyDescent="0.2">
      <c r="A96" s="40"/>
      <c r="B96" s="31"/>
      <c r="C96" s="41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3"/>
      <c r="W96" s="268"/>
      <c r="X96" s="348"/>
    </row>
    <row r="97" spans="1:24" ht="24.95" hidden="1" customHeight="1" x14ac:dyDescent="0.2">
      <c r="A97" s="218" t="s">
        <v>97</v>
      </c>
      <c r="B97" s="214"/>
      <c r="C97" s="219" t="s">
        <v>95</v>
      </c>
      <c r="D97" s="176">
        <f t="shared" ref="D97:X97" si="23">SUM(D90:D96)</f>
        <v>0</v>
      </c>
      <c r="E97" s="176">
        <f t="shared" si="23"/>
        <v>0</v>
      </c>
      <c r="F97" s="176">
        <f t="shared" si="23"/>
        <v>53194.453999999998</v>
      </c>
      <c r="G97" s="176">
        <f t="shared" si="23"/>
        <v>-3340</v>
      </c>
      <c r="H97" s="176">
        <f t="shared" si="23"/>
        <v>3092</v>
      </c>
      <c r="I97" s="176">
        <f t="shared" si="23"/>
        <v>0</v>
      </c>
      <c r="J97" s="176">
        <f t="shared" si="23"/>
        <v>0</v>
      </c>
      <c r="K97" s="176">
        <f t="shared" si="23"/>
        <v>0</v>
      </c>
      <c r="L97" s="176">
        <f t="shared" si="23"/>
        <v>0</v>
      </c>
      <c r="M97" s="176">
        <f t="shared" si="23"/>
        <v>300</v>
      </c>
      <c r="N97" s="176">
        <f t="shared" si="23"/>
        <v>0</v>
      </c>
      <c r="O97" s="176">
        <f t="shared" si="23"/>
        <v>53246.453999999998</v>
      </c>
      <c r="P97" s="176"/>
      <c r="Q97" s="176">
        <f t="shared" si="23"/>
        <v>0</v>
      </c>
      <c r="R97" s="176">
        <f t="shared" si="23"/>
        <v>0</v>
      </c>
      <c r="S97" s="176">
        <f t="shared" si="23"/>
        <v>0</v>
      </c>
      <c r="T97" s="176">
        <f t="shared" si="23"/>
        <v>0</v>
      </c>
      <c r="U97" s="176">
        <f t="shared" si="23"/>
        <v>0</v>
      </c>
      <c r="V97" s="176"/>
      <c r="W97" s="273">
        <f t="shared" si="23"/>
        <v>53246.453999999998</v>
      </c>
      <c r="X97" s="273">
        <f t="shared" si="23"/>
        <v>0</v>
      </c>
    </row>
    <row r="98" spans="1:24" ht="12" hidden="1" customHeight="1" x14ac:dyDescent="0.2">
      <c r="A98" s="40"/>
      <c r="B98" s="31"/>
      <c r="C98" s="41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3"/>
      <c r="W98" s="268">
        <f>SUM(D98:V98)</f>
        <v>0</v>
      </c>
      <c r="X98" s="348"/>
    </row>
    <row r="99" spans="1:24" ht="24.95" hidden="1" customHeight="1" thickBot="1" x14ac:dyDescent="0.25">
      <c r="A99" s="40"/>
      <c r="B99" s="32"/>
      <c r="C99" s="34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3"/>
      <c r="W99" s="268"/>
      <c r="X99" s="348"/>
    </row>
    <row r="100" spans="1:24" ht="24.95" hidden="1" customHeight="1" thickTop="1" thickBot="1" x14ac:dyDescent="0.25">
      <c r="A100" s="42"/>
      <c r="B100" s="111" t="s">
        <v>301</v>
      </c>
      <c r="C100" s="44" t="s">
        <v>98</v>
      </c>
      <c r="D100" s="212">
        <f>D88+D97</f>
        <v>0</v>
      </c>
      <c r="E100" s="212">
        <f t="shared" ref="E100:U100" si="24">E88+E97</f>
        <v>0</v>
      </c>
      <c r="F100" s="212">
        <f t="shared" si="24"/>
        <v>53194.453999999998</v>
      </c>
      <c r="G100" s="212">
        <f t="shared" si="24"/>
        <v>-3340</v>
      </c>
      <c r="H100" s="212">
        <f t="shared" si="24"/>
        <v>3092</v>
      </c>
      <c r="I100" s="212">
        <f t="shared" si="24"/>
        <v>0</v>
      </c>
      <c r="J100" s="212">
        <f t="shared" si="24"/>
        <v>0</v>
      </c>
      <c r="K100" s="212">
        <f t="shared" si="24"/>
        <v>0</v>
      </c>
      <c r="L100" s="212">
        <f>L88+L97</f>
        <v>0</v>
      </c>
      <c r="M100" s="212">
        <f t="shared" si="24"/>
        <v>300</v>
      </c>
      <c r="N100" s="212">
        <f t="shared" si="24"/>
        <v>0</v>
      </c>
      <c r="O100" s="212">
        <f t="shared" si="24"/>
        <v>53246.453999999998</v>
      </c>
      <c r="P100" s="212"/>
      <c r="Q100" s="212">
        <f>Q88+Q97</f>
        <v>0</v>
      </c>
      <c r="R100" s="212">
        <f t="shared" si="24"/>
        <v>0</v>
      </c>
      <c r="S100" s="212">
        <f t="shared" si="24"/>
        <v>0</v>
      </c>
      <c r="T100" s="212">
        <f t="shared" si="24"/>
        <v>0</v>
      </c>
      <c r="U100" s="212">
        <f t="shared" si="24"/>
        <v>0</v>
      </c>
      <c r="V100" s="212"/>
      <c r="W100" s="266">
        <f>W88+W97</f>
        <v>53246.453999999998</v>
      </c>
      <c r="X100" s="181">
        <f>X88+X97</f>
        <v>28848.219000000001</v>
      </c>
    </row>
    <row r="101" spans="1:24" ht="30" hidden="1" customHeight="1" thickTop="1" thickBot="1" x14ac:dyDescent="0.25">
      <c r="A101" s="42"/>
      <c r="B101" s="549" t="s">
        <v>485</v>
      </c>
      <c r="C101" s="44" t="s">
        <v>166</v>
      </c>
      <c r="D101" s="267">
        <f t="shared" ref="D101:O101" si="25">D40+D77+D100</f>
        <v>0</v>
      </c>
      <c r="E101" s="267">
        <f t="shared" si="25"/>
        <v>0</v>
      </c>
      <c r="F101" s="267">
        <f t="shared" si="25"/>
        <v>81878.900999999998</v>
      </c>
      <c r="G101" s="267">
        <f t="shared" si="25"/>
        <v>12380</v>
      </c>
      <c r="H101" s="267">
        <f t="shared" si="25"/>
        <v>18109</v>
      </c>
      <c r="I101" s="267">
        <f t="shared" si="25"/>
        <v>0</v>
      </c>
      <c r="J101" s="267">
        <f t="shared" si="25"/>
        <v>0</v>
      </c>
      <c r="K101" s="267">
        <f t="shared" si="25"/>
        <v>0</v>
      </c>
      <c r="L101" s="267">
        <f t="shared" si="25"/>
        <v>0</v>
      </c>
      <c r="M101" s="267">
        <f t="shared" si="25"/>
        <v>1800</v>
      </c>
      <c r="N101" s="267">
        <f t="shared" si="25"/>
        <v>0</v>
      </c>
      <c r="O101" s="267">
        <f t="shared" si="25"/>
        <v>114167.901</v>
      </c>
      <c r="P101" s="267"/>
      <c r="Q101" s="267">
        <f>Q40+Q77+Q100</f>
        <v>0</v>
      </c>
      <c r="R101" s="267">
        <f>R40+R77+R100</f>
        <v>298414</v>
      </c>
      <c r="S101" s="267">
        <f>S40+S77+S100</f>
        <v>0</v>
      </c>
      <c r="T101" s="267">
        <f>T40+T77+T100</f>
        <v>0</v>
      </c>
      <c r="U101" s="267">
        <f>U40+U77+U100</f>
        <v>298414</v>
      </c>
      <c r="V101" s="267"/>
      <c r="W101" s="266">
        <f>W40+W77+W100</f>
        <v>412581.90099999995</v>
      </c>
      <c r="X101" s="243">
        <f>X40+X77+X100</f>
        <v>2685379.1970000002</v>
      </c>
    </row>
    <row r="102" spans="1:24" ht="24.95" hidden="1" customHeight="1" thickTop="1" x14ac:dyDescent="0.2">
      <c r="A102" s="189"/>
      <c r="B102" s="598" t="s">
        <v>483</v>
      </c>
      <c r="C102" s="24" t="s">
        <v>18</v>
      </c>
      <c r="D102" s="25">
        <f t="shared" ref="D102:U102" si="26">D101</f>
        <v>0</v>
      </c>
      <c r="E102" s="25">
        <f t="shared" si="26"/>
        <v>0</v>
      </c>
      <c r="F102" s="25">
        <f t="shared" si="26"/>
        <v>81878.900999999998</v>
      </c>
      <c r="G102" s="25">
        <f t="shared" si="26"/>
        <v>12380</v>
      </c>
      <c r="H102" s="25">
        <f t="shared" si="26"/>
        <v>18109</v>
      </c>
      <c r="I102" s="25">
        <f t="shared" si="26"/>
        <v>0</v>
      </c>
      <c r="J102" s="25">
        <f t="shared" si="26"/>
        <v>0</v>
      </c>
      <c r="K102" s="25">
        <f t="shared" si="26"/>
        <v>0</v>
      </c>
      <c r="L102" s="25">
        <f t="shared" si="26"/>
        <v>0</v>
      </c>
      <c r="M102" s="25">
        <f t="shared" si="26"/>
        <v>1800</v>
      </c>
      <c r="N102" s="25">
        <f t="shared" si="26"/>
        <v>0</v>
      </c>
      <c r="O102" s="25">
        <f t="shared" si="26"/>
        <v>114167.901</v>
      </c>
      <c r="P102" s="25"/>
      <c r="Q102" s="25">
        <f>Q101</f>
        <v>0</v>
      </c>
      <c r="R102" s="25">
        <f>R101</f>
        <v>298414</v>
      </c>
      <c r="S102" s="25">
        <f t="shared" si="26"/>
        <v>0</v>
      </c>
      <c r="T102" s="25">
        <f t="shared" si="26"/>
        <v>0</v>
      </c>
      <c r="U102" s="25">
        <f t="shared" si="26"/>
        <v>298414</v>
      </c>
      <c r="V102" s="25"/>
      <c r="W102" s="251">
        <f t="shared" ref="W102:W107" si="27">O102+U102</f>
        <v>412581.90100000001</v>
      </c>
      <c r="X102" s="258">
        <f>X101</f>
        <v>2685379.1970000002</v>
      </c>
    </row>
    <row r="103" spans="1:24" ht="30.75" hidden="1" customHeight="1" x14ac:dyDescent="0.2">
      <c r="A103" s="40">
        <v>1</v>
      </c>
      <c r="B103" s="353" t="s">
        <v>519</v>
      </c>
      <c r="C103" s="28" t="s">
        <v>518</v>
      </c>
      <c r="D103" s="176"/>
      <c r="E103" s="176"/>
      <c r="F103" s="176"/>
      <c r="G103" s="176"/>
      <c r="H103" s="176"/>
      <c r="I103" s="176"/>
      <c r="J103" s="176"/>
      <c r="K103" s="176"/>
      <c r="L103" s="176"/>
      <c r="M103" s="176"/>
      <c r="N103" s="176"/>
      <c r="O103" s="176">
        <f>SUM(D103:N103)</f>
        <v>0</v>
      </c>
      <c r="P103" s="176"/>
      <c r="Q103" s="176"/>
      <c r="R103" s="176"/>
      <c r="S103" s="176"/>
      <c r="T103" s="176"/>
      <c r="U103" s="176">
        <f>SUM(Q103:T103)</f>
        <v>0</v>
      </c>
      <c r="V103" s="177"/>
      <c r="W103" s="178">
        <f t="shared" si="27"/>
        <v>0</v>
      </c>
      <c r="X103" s="479">
        <f>2699.131</f>
        <v>2699.1309999999999</v>
      </c>
    </row>
    <row r="104" spans="1:24" ht="30.75" hidden="1" customHeight="1" x14ac:dyDescent="0.2">
      <c r="A104" s="187"/>
      <c r="B104" s="238"/>
      <c r="C104" s="28"/>
      <c r="D104" s="176"/>
      <c r="E104" s="176"/>
      <c r="F104" s="176"/>
      <c r="G104" s="176"/>
      <c r="H104" s="176"/>
      <c r="I104" s="176"/>
      <c r="J104" s="176"/>
      <c r="K104" s="176"/>
      <c r="L104" s="176"/>
      <c r="M104" s="176"/>
      <c r="N104" s="176"/>
      <c r="O104" s="176">
        <f>SUM(D104:N104)</f>
        <v>0</v>
      </c>
      <c r="P104" s="176"/>
      <c r="Q104" s="176"/>
      <c r="R104" s="176"/>
      <c r="S104" s="176"/>
      <c r="T104" s="176"/>
      <c r="U104" s="176">
        <f>SUM(Q104:T104)</f>
        <v>0</v>
      </c>
      <c r="V104" s="177"/>
      <c r="W104" s="178">
        <f t="shared" si="27"/>
        <v>0</v>
      </c>
      <c r="X104" s="408"/>
    </row>
    <row r="105" spans="1:24" ht="30.75" hidden="1" customHeight="1" x14ac:dyDescent="0.2">
      <c r="A105" s="187"/>
      <c r="B105" s="238"/>
      <c r="C105" s="28"/>
      <c r="D105" s="176"/>
      <c r="E105" s="176"/>
      <c r="F105" s="176"/>
      <c r="G105" s="176"/>
      <c r="H105" s="176"/>
      <c r="I105" s="176"/>
      <c r="J105" s="176"/>
      <c r="K105" s="176"/>
      <c r="L105" s="176"/>
      <c r="M105" s="176"/>
      <c r="N105" s="176"/>
      <c r="O105" s="176">
        <f>SUM(D105:N105)</f>
        <v>0</v>
      </c>
      <c r="P105" s="176"/>
      <c r="Q105" s="176"/>
      <c r="R105" s="176"/>
      <c r="S105" s="176"/>
      <c r="T105" s="176"/>
      <c r="U105" s="176">
        <f>SUM(Q105:T105)</f>
        <v>0</v>
      </c>
      <c r="V105" s="177"/>
      <c r="W105" s="178">
        <f t="shared" si="27"/>
        <v>0</v>
      </c>
      <c r="X105" s="408"/>
    </row>
    <row r="106" spans="1:24" ht="24.95" hidden="1" customHeight="1" x14ac:dyDescent="0.2">
      <c r="A106" s="40"/>
      <c r="B106" s="30"/>
      <c r="C106" s="28"/>
      <c r="D106" s="176"/>
      <c r="E106" s="176"/>
      <c r="F106" s="176"/>
      <c r="G106" s="176"/>
      <c r="H106" s="176"/>
      <c r="I106" s="176"/>
      <c r="J106" s="176"/>
      <c r="K106" s="176"/>
      <c r="L106" s="176"/>
      <c r="M106" s="176"/>
      <c r="N106" s="176"/>
      <c r="O106" s="176">
        <f>SUM(D106:N106)</f>
        <v>0</v>
      </c>
      <c r="P106" s="176"/>
      <c r="Q106" s="176"/>
      <c r="R106" s="176"/>
      <c r="S106" s="176"/>
      <c r="T106" s="176"/>
      <c r="U106" s="176">
        <f>SUM(Q106:T106)</f>
        <v>0</v>
      </c>
      <c r="V106" s="177"/>
      <c r="W106" s="178">
        <f t="shared" si="27"/>
        <v>0</v>
      </c>
      <c r="X106" s="408"/>
    </row>
    <row r="107" spans="1:24" ht="24.95" hidden="1" customHeight="1" x14ac:dyDescent="0.2">
      <c r="A107" s="40"/>
      <c r="B107" s="31"/>
      <c r="C107" s="41"/>
      <c r="D107" s="176"/>
      <c r="E107" s="176"/>
      <c r="F107" s="176"/>
      <c r="G107" s="176"/>
      <c r="H107" s="176"/>
      <c r="I107" s="176"/>
      <c r="J107" s="176"/>
      <c r="K107" s="176"/>
      <c r="L107" s="176"/>
      <c r="M107" s="176"/>
      <c r="N107" s="176"/>
      <c r="O107" s="176">
        <f>SUM(D107:N107)</f>
        <v>0</v>
      </c>
      <c r="P107" s="176"/>
      <c r="Q107" s="176"/>
      <c r="R107" s="176"/>
      <c r="S107" s="176"/>
      <c r="T107" s="176"/>
      <c r="U107" s="176">
        <f>SUM(Q107:T107)</f>
        <v>0</v>
      </c>
      <c r="V107" s="177"/>
      <c r="W107" s="178">
        <f t="shared" si="27"/>
        <v>0</v>
      </c>
      <c r="X107" s="408"/>
    </row>
    <row r="108" spans="1:24" ht="24.95" hidden="1" customHeight="1" x14ac:dyDescent="0.2">
      <c r="A108" s="40"/>
      <c r="B108" s="31"/>
      <c r="C108" s="41"/>
      <c r="D108" s="176"/>
      <c r="E108" s="176"/>
      <c r="F108" s="176"/>
      <c r="G108" s="176"/>
      <c r="H108" s="176"/>
      <c r="I108" s="176"/>
      <c r="J108" s="176"/>
      <c r="K108" s="176"/>
      <c r="L108" s="176"/>
      <c r="M108" s="176"/>
      <c r="N108" s="176"/>
      <c r="O108" s="176"/>
      <c r="P108" s="176"/>
      <c r="Q108" s="176"/>
      <c r="R108" s="176"/>
      <c r="S108" s="176"/>
      <c r="T108" s="176"/>
      <c r="U108" s="176"/>
      <c r="V108" s="177"/>
      <c r="W108" s="178"/>
      <c r="X108" s="408"/>
    </row>
    <row r="109" spans="1:24" ht="9.9499999999999993" hidden="1" customHeight="1" x14ac:dyDescent="0.2">
      <c r="A109" s="40"/>
      <c r="B109" s="129"/>
      <c r="C109" s="41"/>
      <c r="D109" s="176"/>
      <c r="E109" s="176"/>
      <c r="F109" s="176"/>
      <c r="G109" s="176"/>
      <c r="H109" s="176"/>
      <c r="I109" s="176"/>
      <c r="J109" s="176"/>
      <c r="K109" s="176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177"/>
      <c r="W109" s="178"/>
      <c r="X109" s="260"/>
    </row>
    <row r="110" spans="1:24" ht="24.95" hidden="1" customHeight="1" x14ac:dyDescent="0.2">
      <c r="A110" s="218" t="s">
        <v>96</v>
      </c>
      <c r="B110" s="214"/>
      <c r="C110" s="219" t="s">
        <v>94</v>
      </c>
      <c r="D110" s="176">
        <f t="shared" ref="D110:X110" si="28">SUM(D103:D109)</f>
        <v>0</v>
      </c>
      <c r="E110" s="176">
        <f t="shared" si="28"/>
        <v>0</v>
      </c>
      <c r="F110" s="176">
        <f t="shared" si="28"/>
        <v>0</v>
      </c>
      <c r="G110" s="176">
        <f t="shared" si="28"/>
        <v>0</v>
      </c>
      <c r="H110" s="176">
        <f t="shared" si="28"/>
        <v>0</v>
      </c>
      <c r="I110" s="176">
        <f t="shared" si="28"/>
        <v>0</v>
      </c>
      <c r="J110" s="176">
        <f t="shared" si="28"/>
        <v>0</v>
      </c>
      <c r="K110" s="176">
        <f t="shared" si="28"/>
        <v>0</v>
      </c>
      <c r="L110" s="176">
        <f t="shared" si="28"/>
        <v>0</v>
      </c>
      <c r="M110" s="176">
        <f t="shared" si="28"/>
        <v>0</v>
      </c>
      <c r="N110" s="176">
        <f t="shared" si="28"/>
        <v>0</v>
      </c>
      <c r="O110" s="176">
        <f t="shared" si="28"/>
        <v>0</v>
      </c>
      <c r="P110" s="176"/>
      <c r="Q110" s="176">
        <f t="shared" si="28"/>
        <v>0</v>
      </c>
      <c r="R110" s="176">
        <f t="shared" si="28"/>
        <v>0</v>
      </c>
      <c r="S110" s="176">
        <f t="shared" si="28"/>
        <v>0</v>
      </c>
      <c r="T110" s="176">
        <f t="shared" si="28"/>
        <v>0</v>
      </c>
      <c r="U110" s="176">
        <f t="shared" si="28"/>
        <v>0</v>
      </c>
      <c r="V110" s="176"/>
      <c r="W110" s="273">
        <f t="shared" si="28"/>
        <v>0</v>
      </c>
      <c r="X110" s="408">
        <f t="shared" si="28"/>
        <v>2699.1309999999999</v>
      </c>
    </row>
    <row r="111" spans="1:24" ht="9.9499999999999993" hidden="1" customHeight="1" x14ac:dyDescent="0.2">
      <c r="A111" s="40"/>
      <c r="B111" s="31"/>
      <c r="C111" s="41"/>
      <c r="D111" s="176"/>
      <c r="E111" s="176"/>
      <c r="F111" s="176"/>
      <c r="G111" s="176"/>
      <c r="H111" s="176"/>
      <c r="I111" s="176"/>
      <c r="J111" s="176"/>
      <c r="K111" s="176"/>
      <c r="L111" s="176"/>
      <c r="M111" s="176"/>
      <c r="N111" s="176"/>
      <c r="O111" s="176"/>
      <c r="P111" s="176"/>
      <c r="Q111" s="176"/>
      <c r="R111" s="176"/>
      <c r="S111" s="176"/>
      <c r="T111" s="176"/>
      <c r="U111" s="176"/>
      <c r="V111" s="176"/>
      <c r="W111" s="178"/>
      <c r="X111" s="260"/>
    </row>
    <row r="112" spans="1:24" ht="30.75" hidden="1" customHeight="1" x14ac:dyDescent="0.2">
      <c r="A112" s="187">
        <v>2</v>
      </c>
      <c r="B112" s="237" t="s">
        <v>514</v>
      </c>
      <c r="C112" s="41" t="s">
        <v>515</v>
      </c>
      <c r="D112" s="176"/>
      <c r="E112" s="176"/>
      <c r="F112" s="176">
        <f>3973.778</f>
        <v>3973.7779999999998</v>
      </c>
      <c r="G112" s="176"/>
      <c r="H112" s="176"/>
      <c r="I112" s="176"/>
      <c r="J112" s="176"/>
      <c r="K112" s="176"/>
      <c r="M112" s="176"/>
      <c r="N112" s="176"/>
      <c r="O112" s="176">
        <f>SUM(D112:N112)</f>
        <v>3973.7779999999998</v>
      </c>
      <c r="P112" s="176"/>
      <c r="Q112" s="176"/>
      <c r="R112" s="176"/>
      <c r="S112" s="176"/>
      <c r="T112" s="176"/>
      <c r="U112" s="176">
        <f>SUM(Q112:T112)</f>
        <v>0</v>
      </c>
      <c r="V112" s="176"/>
      <c r="W112" s="178">
        <f>O112+U112</f>
        <v>3973.7779999999998</v>
      </c>
      <c r="X112" s="260"/>
    </row>
    <row r="113" spans="1:27" ht="30.75" hidden="1" customHeight="1" x14ac:dyDescent="0.2">
      <c r="A113" s="187"/>
      <c r="B113" s="237"/>
      <c r="C113" s="41"/>
      <c r="D113" s="176"/>
      <c r="E113" s="176"/>
      <c r="F113" s="176"/>
      <c r="G113" s="176"/>
      <c r="H113" s="176"/>
      <c r="I113" s="176"/>
      <c r="J113" s="176"/>
      <c r="K113" s="176"/>
      <c r="L113" s="176"/>
      <c r="M113" s="176"/>
      <c r="N113" s="176"/>
      <c r="O113" s="176">
        <f>SUM(D113:N113)</f>
        <v>0</v>
      </c>
      <c r="P113" s="176"/>
      <c r="Q113" s="176"/>
      <c r="R113" s="176"/>
      <c r="S113" s="176"/>
      <c r="T113" s="176"/>
      <c r="U113" s="176">
        <f>SUM(Q113:T113)</f>
        <v>0</v>
      </c>
      <c r="V113" s="176"/>
      <c r="W113" s="178">
        <f>O113+U113</f>
        <v>0</v>
      </c>
      <c r="X113" s="260"/>
    </row>
    <row r="114" spans="1:27" ht="30.75" hidden="1" customHeight="1" x14ac:dyDescent="0.2">
      <c r="A114" s="40"/>
      <c r="B114" s="31"/>
      <c r="C114" s="41"/>
      <c r="D114" s="176"/>
      <c r="E114" s="176"/>
      <c r="F114" s="176"/>
      <c r="G114" s="176"/>
      <c r="H114" s="176"/>
      <c r="I114" s="176"/>
      <c r="J114" s="176"/>
      <c r="K114" s="176"/>
      <c r="L114" s="176"/>
      <c r="M114" s="176"/>
      <c r="N114" s="176"/>
      <c r="O114" s="176">
        <f>SUM(D114:N114)</f>
        <v>0</v>
      </c>
      <c r="P114" s="176"/>
      <c r="Q114" s="176"/>
      <c r="R114" s="176"/>
      <c r="S114" s="176"/>
      <c r="T114" s="176"/>
      <c r="U114" s="176">
        <f>SUM(Q114:T114)</f>
        <v>0</v>
      </c>
      <c r="V114" s="176"/>
      <c r="W114" s="178">
        <f>O114+U114</f>
        <v>0</v>
      </c>
      <c r="X114" s="260"/>
    </row>
    <row r="115" spans="1:27" ht="24.95" hidden="1" customHeight="1" x14ac:dyDescent="0.2">
      <c r="A115" s="40"/>
      <c r="B115" s="126"/>
      <c r="C115" s="41"/>
      <c r="D115" s="176"/>
      <c r="E115" s="176"/>
      <c r="F115" s="176"/>
      <c r="G115" s="176"/>
      <c r="H115" s="176"/>
      <c r="I115" s="176"/>
      <c r="J115" s="176"/>
      <c r="K115" s="176"/>
      <c r="L115" s="176"/>
      <c r="M115" s="176"/>
      <c r="N115" s="176"/>
      <c r="O115" s="176">
        <f>SUM(D115:N115)</f>
        <v>0</v>
      </c>
      <c r="P115" s="176"/>
      <c r="Q115" s="176"/>
      <c r="R115" s="176"/>
      <c r="S115" s="176"/>
      <c r="T115" s="176"/>
      <c r="U115" s="176">
        <f>SUM(Q115:T115)</f>
        <v>0</v>
      </c>
      <c r="V115" s="176"/>
      <c r="W115" s="178">
        <f>O115+U115</f>
        <v>0</v>
      </c>
      <c r="X115" s="260"/>
    </row>
    <row r="116" spans="1:27" ht="9.9499999999999993" hidden="1" customHeight="1" x14ac:dyDescent="0.2">
      <c r="A116" s="40"/>
      <c r="B116" s="126"/>
      <c r="C116" s="41"/>
      <c r="D116" s="176"/>
      <c r="E116" s="176"/>
      <c r="F116" s="176"/>
      <c r="G116" s="176"/>
      <c r="H116" s="176"/>
      <c r="I116" s="176"/>
      <c r="J116" s="176"/>
      <c r="K116" s="176"/>
      <c r="L116" s="176"/>
      <c r="M116" s="176"/>
      <c r="N116" s="176"/>
      <c r="O116" s="176"/>
      <c r="P116" s="176"/>
      <c r="Q116" s="176"/>
      <c r="R116" s="176"/>
      <c r="S116" s="176"/>
      <c r="T116" s="176"/>
      <c r="U116" s="176"/>
      <c r="V116" s="176"/>
      <c r="W116" s="178"/>
      <c r="X116" s="256"/>
    </row>
    <row r="117" spans="1:27" ht="24.95" hidden="1" customHeight="1" x14ac:dyDescent="0.2">
      <c r="A117" s="218" t="s">
        <v>97</v>
      </c>
      <c r="B117" s="214"/>
      <c r="C117" s="219" t="s">
        <v>95</v>
      </c>
      <c r="D117" s="176">
        <f>SUM(D112:D116)</f>
        <v>0</v>
      </c>
      <c r="E117" s="176">
        <f t="shared" ref="E117:K117" si="29">SUM(E112:E116)</f>
        <v>0</v>
      </c>
      <c r="F117" s="176">
        <f t="shared" si="29"/>
        <v>3973.7779999999998</v>
      </c>
      <c r="G117" s="176">
        <f t="shared" si="29"/>
        <v>0</v>
      </c>
      <c r="H117" s="176">
        <f t="shared" si="29"/>
        <v>0</v>
      </c>
      <c r="I117" s="176">
        <f t="shared" si="29"/>
        <v>0</v>
      </c>
      <c r="J117" s="176">
        <f t="shared" si="29"/>
        <v>0</v>
      </c>
      <c r="K117" s="176">
        <f t="shared" si="29"/>
        <v>0</v>
      </c>
      <c r="L117" s="176">
        <f>SUM(L112:L116)</f>
        <v>0</v>
      </c>
      <c r="M117" s="176">
        <f t="shared" ref="M117:X117" si="30">SUM(M112:M116)</f>
        <v>0</v>
      </c>
      <c r="N117" s="176">
        <f>SUM(N112:N116)</f>
        <v>0</v>
      </c>
      <c r="O117" s="176">
        <f t="shared" si="30"/>
        <v>3973.7779999999998</v>
      </c>
      <c r="P117" s="176"/>
      <c r="Q117" s="176">
        <f>SUM(Q112:Q116)</f>
        <v>0</v>
      </c>
      <c r="R117" s="176">
        <f>SUM(R112:R116)</f>
        <v>0</v>
      </c>
      <c r="S117" s="176">
        <f t="shared" si="30"/>
        <v>0</v>
      </c>
      <c r="T117" s="176">
        <f t="shared" si="30"/>
        <v>0</v>
      </c>
      <c r="U117" s="176">
        <f t="shared" si="30"/>
        <v>0</v>
      </c>
      <c r="V117" s="176"/>
      <c r="W117" s="273">
        <f t="shared" si="30"/>
        <v>3973.7779999999998</v>
      </c>
      <c r="X117" s="273">
        <f t="shared" si="30"/>
        <v>0</v>
      </c>
    </row>
    <row r="118" spans="1:27" ht="24.95" hidden="1" customHeight="1" x14ac:dyDescent="0.2">
      <c r="A118" s="40"/>
      <c r="B118" s="31"/>
      <c r="C118" s="41"/>
      <c r="D118" s="176"/>
      <c r="E118" s="176"/>
      <c r="F118" s="176"/>
      <c r="G118" s="176"/>
      <c r="H118" s="176"/>
      <c r="I118" s="176"/>
      <c r="J118" s="176"/>
      <c r="K118" s="176"/>
      <c r="M118" s="176"/>
      <c r="N118" s="176"/>
      <c r="O118" s="176"/>
      <c r="P118" s="176"/>
      <c r="Q118" s="176"/>
      <c r="R118" s="176"/>
      <c r="S118" s="176"/>
      <c r="T118" s="176"/>
      <c r="U118" s="176"/>
      <c r="V118" s="176"/>
      <c r="W118" s="178"/>
      <c r="X118" s="260"/>
    </row>
    <row r="119" spans="1:27" ht="24.95" hidden="1" customHeight="1" thickBot="1" x14ac:dyDescent="0.25">
      <c r="A119" s="40"/>
      <c r="B119" s="32"/>
      <c r="C119" s="34"/>
      <c r="D119" s="176"/>
      <c r="E119" s="176"/>
      <c r="F119" s="176"/>
      <c r="G119" s="176"/>
      <c r="H119" s="176"/>
      <c r="I119" s="176"/>
      <c r="J119" s="176"/>
      <c r="K119" s="176"/>
      <c r="L119" s="176"/>
      <c r="M119" s="176"/>
      <c r="N119" s="176"/>
      <c r="O119" s="176"/>
      <c r="P119" s="176"/>
      <c r="Q119" s="176"/>
      <c r="R119" s="176"/>
      <c r="S119" s="176"/>
      <c r="T119" s="176"/>
      <c r="U119" s="176"/>
      <c r="V119" s="176"/>
      <c r="W119" s="178"/>
      <c r="X119" s="260"/>
    </row>
    <row r="120" spans="1:27" ht="24.95" hidden="1" customHeight="1" thickTop="1" thickBot="1" x14ac:dyDescent="0.25">
      <c r="A120" s="46"/>
      <c r="B120" s="272" t="s">
        <v>484</v>
      </c>
      <c r="C120" s="44" t="s">
        <v>98</v>
      </c>
      <c r="D120" s="180">
        <f t="shared" ref="D120:X120" si="31">D110+D117</f>
        <v>0</v>
      </c>
      <c r="E120" s="180">
        <f t="shared" si="31"/>
        <v>0</v>
      </c>
      <c r="F120" s="180">
        <f t="shared" si="31"/>
        <v>3973.7779999999998</v>
      </c>
      <c r="G120" s="180">
        <f t="shared" si="31"/>
        <v>0</v>
      </c>
      <c r="H120" s="180">
        <f t="shared" si="31"/>
        <v>0</v>
      </c>
      <c r="I120" s="180">
        <f t="shared" si="31"/>
        <v>0</v>
      </c>
      <c r="J120" s="180">
        <f t="shared" si="31"/>
        <v>0</v>
      </c>
      <c r="K120" s="180">
        <f t="shared" si="31"/>
        <v>0</v>
      </c>
      <c r="L120" s="180">
        <f t="shared" si="31"/>
        <v>0</v>
      </c>
      <c r="M120" s="180">
        <f t="shared" si="31"/>
        <v>0</v>
      </c>
      <c r="N120" s="180">
        <f t="shared" si="31"/>
        <v>0</v>
      </c>
      <c r="O120" s="180">
        <f t="shared" si="31"/>
        <v>3973.7779999999998</v>
      </c>
      <c r="P120" s="180"/>
      <c r="Q120" s="180">
        <f>Q110+Q117</f>
        <v>0</v>
      </c>
      <c r="R120" s="180">
        <f>R110+R117</f>
        <v>0</v>
      </c>
      <c r="S120" s="180">
        <f t="shared" si="31"/>
        <v>0</v>
      </c>
      <c r="T120" s="180">
        <f t="shared" si="31"/>
        <v>0</v>
      </c>
      <c r="U120" s="180">
        <f t="shared" si="31"/>
        <v>0</v>
      </c>
      <c r="V120" s="180"/>
      <c r="W120" s="181">
        <f t="shared" si="31"/>
        <v>3973.7779999999998</v>
      </c>
      <c r="X120" s="181">
        <f t="shared" si="31"/>
        <v>2699.1309999999999</v>
      </c>
    </row>
    <row r="121" spans="1:27" ht="24.95" hidden="1" customHeight="1" thickTop="1" thickBot="1" x14ac:dyDescent="0.25">
      <c r="A121" s="42"/>
      <c r="B121" s="43" t="s">
        <v>483</v>
      </c>
      <c r="C121" s="44" t="s">
        <v>166</v>
      </c>
      <c r="D121" s="212">
        <f t="shared" ref="D121:U121" si="32">D102+D120</f>
        <v>0</v>
      </c>
      <c r="E121" s="212">
        <f t="shared" si="32"/>
        <v>0</v>
      </c>
      <c r="F121" s="212">
        <f t="shared" si="32"/>
        <v>85852.679000000004</v>
      </c>
      <c r="G121" s="212">
        <f t="shared" si="32"/>
        <v>12380</v>
      </c>
      <c r="H121" s="212">
        <f t="shared" si="32"/>
        <v>18109</v>
      </c>
      <c r="I121" s="212">
        <f t="shared" si="32"/>
        <v>0</v>
      </c>
      <c r="J121" s="212">
        <f t="shared" si="32"/>
        <v>0</v>
      </c>
      <c r="K121" s="212">
        <f t="shared" si="32"/>
        <v>0</v>
      </c>
      <c r="L121" s="212">
        <f t="shared" si="32"/>
        <v>0</v>
      </c>
      <c r="M121" s="212">
        <f t="shared" si="32"/>
        <v>1800</v>
      </c>
      <c r="N121" s="212">
        <f t="shared" si="32"/>
        <v>0</v>
      </c>
      <c r="O121" s="212">
        <f t="shared" si="32"/>
        <v>118141.679</v>
      </c>
      <c r="P121" s="212"/>
      <c r="Q121" s="212">
        <f t="shared" si="32"/>
        <v>0</v>
      </c>
      <c r="R121" s="212">
        <f t="shared" si="32"/>
        <v>298414</v>
      </c>
      <c r="S121" s="212">
        <f t="shared" si="32"/>
        <v>0</v>
      </c>
      <c r="T121" s="212">
        <f t="shared" si="32"/>
        <v>0</v>
      </c>
      <c r="U121" s="212">
        <f t="shared" si="32"/>
        <v>298414</v>
      </c>
      <c r="V121" s="212"/>
      <c r="W121" s="181">
        <f>O121+U121</f>
        <v>416555.679</v>
      </c>
      <c r="X121" s="181">
        <f>X101+X120</f>
        <v>2688078.3280000002</v>
      </c>
      <c r="Y121" s="29"/>
      <c r="Z121" s="29"/>
      <c r="AA121" s="29"/>
    </row>
    <row r="122" spans="1:27" ht="24.95" customHeight="1" thickTop="1" x14ac:dyDescent="0.2">
      <c r="A122" s="189"/>
      <c r="B122" s="598" t="s">
        <v>534</v>
      </c>
      <c r="C122" s="24" t="s">
        <v>18</v>
      </c>
      <c r="D122" s="25">
        <f t="shared" ref="D122:O122" si="33">D121</f>
        <v>0</v>
      </c>
      <c r="E122" s="25">
        <f t="shared" si="33"/>
        <v>0</v>
      </c>
      <c r="F122" s="25">
        <f t="shared" si="33"/>
        <v>85852.679000000004</v>
      </c>
      <c r="G122" s="25">
        <f t="shared" si="33"/>
        <v>12380</v>
      </c>
      <c r="H122" s="25">
        <f t="shared" si="33"/>
        <v>18109</v>
      </c>
      <c r="I122" s="25">
        <f t="shared" si="33"/>
        <v>0</v>
      </c>
      <c r="J122" s="25">
        <f t="shared" si="33"/>
        <v>0</v>
      </c>
      <c r="K122" s="25">
        <f t="shared" si="33"/>
        <v>0</v>
      </c>
      <c r="L122" s="25">
        <f t="shared" si="33"/>
        <v>0</v>
      </c>
      <c r="M122" s="25">
        <f t="shared" si="33"/>
        <v>1800</v>
      </c>
      <c r="N122" s="25">
        <f t="shared" si="33"/>
        <v>0</v>
      </c>
      <c r="O122" s="25">
        <f t="shared" si="33"/>
        <v>118141.679</v>
      </c>
      <c r="P122" s="25"/>
      <c r="Q122" s="25">
        <f>Q121</f>
        <v>0</v>
      </c>
      <c r="R122" s="25">
        <f>R121</f>
        <v>298414</v>
      </c>
      <c r="S122" s="25">
        <f>S121</f>
        <v>0</v>
      </c>
      <c r="T122" s="25">
        <f>T121</f>
        <v>0</v>
      </c>
      <c r="U122" s="25">
        <f>U121</f>
        <v>298414</v>
      </c>
      <c r="V122" s="25"/>
      <c r="W122" s="251">
        <f>O122+U122</f>
        <v>416555.679</v>
      </c>
      <c r="X122" s="258">
        <f>X121</f>
        <v>2688078.3280000002</v>
      </c>
      <c r="Y122" s="29"/>
      <c r="Z122" s="29"/>
      <c r="AA122" s="29"/>
    </row>
    <row r="123" spans="1:27" ht="24.95" customHeight="1" x14ac:dyDescent="0.2">
      <c r="A123" s="215"/>
      <c r="B123" s="635"/>
      <c r="C123" s="539"/>
      <c r="D123" s="342"/>
      <c r="E123" s="342"/>
      <c r="F123" s="342"/>
      <c r="G123" s="342"/>
      <c r="H123" s="342"/>
      <c r="I123" s="342"/>
      <c r="J123" s="342"/>
      <c r="K123" s="342"/>
      <c r="L123" s="342"/>
      <c r="M123" s="342"/>
      <c r="N123" s="342"/>
      <c r="O123" s="342"/>
      <c r="P123" s="342"/>
      <c r="Q123" s="342"/>
      <c r="R123" s="342"/>
      <c r="S123" s="342"/>
      <c r="T123" s="342"/>
      <c r="U123" s="342"/>
      <c r="V123" s="343"/>
      <c r="W123" s="540"/>
      <c r="X123" s="636"/>
      <c r="Y123" s="29"/>
      <c r="Z123" s="29"/>
      <c r="AA123" s="29"/>
    </row>
    <row r="124" spans="1:27" ht="24.95" customHeight="1" x14ac:dyDescent="0.2">
      <c r="A124" s="187">
        <v>1</v>
      </c>
      <c r="B124" s="634" t="s">
        <v>585</v>
      </c>
      <c r="C124" s="28" t="s">
        <v>411</v>
      </c>
      <c r="D124" s="176"/>
      <c r="E124" s="176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>
        <f>SUM(D124:N124)</f>
        <v>0</v>
      </c>
      <c r="P124" s="176"/>
      <c r="Q124" s="176"/>
      <c r="R124" s="176"/>
      <c r="S124" s="176"/>
      <c r="T124" s="176"/>
      <c r="U124" s="176">
        <f>SUM(Q124:T124)</f>
        <v>0</v>
      </c>
      <c r="V124" s="177"/>
      <c r="W124" s="178">
        <f t="shared" ref="W124:W129" si="34">O124+U124</f>
        <v>0</v>
      </c>
      <c r="X124" s="408">
        <f>674.717</f>
        <v>674.71699999999998</v>
      </c>
      <c r="Y124" s="29"/>
      <c r="Z124" s="29"/>
      <c r="AA124" s="29"/>
    </row>
    <row r="125" spans="1:27" ht="24.95" customHeight="1" x14ac:dyDescent="0.2">
      <c r="A125" s="187">
        <v>2</v>
      </c>
      <c r="B125" s="633" t="s">
        <v>610</v>
      </c>
      <c r="C125" s="28" t="s">
        <v>609</v>
      </c>
      <c r="D125" s="176"/>
      <c r="E125" s="176"/>
      <c r="F125" s="176"/>
      <c r="G125" s="176"/>
      <c r="H125" s="176"/>
      <c r="I125" s="176"/>
      <c r="J125" s="176"/>
      <c r="K125" s="176"/>
      <c r="L125" s="176"/>
      <c r="M125" s="176"/>
      <c r="N125" s="176"/>
      <c r="O125" s="176">
        <f>SUM(D125:N125)</f>
        <v>0</v>
      </c>
      <c r="P125" s="176"/>
      <c r="Q125" s="176"/>
      <c r="R125" s="176"/>
      <c r="S125" s="176"/>
      <c r="T125" s="176"/>
      <c r="U125" s="176">
        <f>SUM(Q125:T125)</f>
        <v>0</v>
      </c>
      <c r="V125" s="177"/>
      <c r="W125" s="178">
        <f t="shared" si="34"/>
        <v>0</v>
      </c>
      <c r="X125" s="408">
        <f>-52675.044</f>
        <v>-52675.044000000002</v>
      </c>
      <c r="Y125" s="29"/>
      <c r="Z125" s="29"/>
      <c r="AA125" s="29"/>
    </row>
    <row r="126" spans="1:27" ht="24.95" customHeight="1" x14ac:dyDescent="0.2">
      <c r="A126" s="187">
        <v>3</v>
      </c>
      <c r="B126" s="634" t="s">
        <v>625</v>
      </c>
      <c r="C126" s="28" t="s">
        <v>477</v>
      </c>
      <c r="D126" s="176"/>
      <c r="E126" s="176"/>
      <c r="F126" s="176"/>
      <c r="G126" s="176"/>
      <c r="H126" s="176"/>
      <c r="I126" s="176"/>
      <c r="J126" s="176"/>
      <c r="K126" s="176"/>
      <c r="L126" s="176"/>
      <c r="M126" s="176"/>
      <c r="N126" s="176"/>
      <c r="O126" s="176">
        <f>SUM(D126:N126)</f>
        <v>0</v>
      </c>
      <c r="P126" s="176"/>
      <c r="Q126" s="176"/>
      <c r="R126" s="176"/>
      <c r="S126" s="176"/>
      <c r="T126" s="176"/>
      <c r="U126" s="176">
        <f>SUM(Q126:T126)</f>
        <v>0</v>
      </c>
      <c r="V126" s="177"/>
      <c r="W126" s="178">
        <f t="shared" si="34"/>
        <v>0</v>
      </c>
      <c r="X126" s="408">
        <f>638</f>
        <v>638</v>
      </c>
      <c r="Y126" s="29"/>
      <c r="Z126" s="29"/>
      <c r="AA126" s="29"/>
    </row>
    <row r="127" spans="1:27" ht="24.95" customHeight="1" x14ac:dyDescent="0.2">
      <c r="A127" s="40">
        <v>4</v>
      </c>
      <c r="B127" s="631" t="s">
        <v>628</v>
      </c>
      <c r="C127" s="28" t="s">
        <v>626</v>
      </c>
      <c r="D127" s="176"/>
      <c r="E127" s="176"/>
      <c r="F127" s="176"/>
      <c r="G127" s="176"/>
      <c r="H127" s="176">
        <f>222+577+721</f>
        <v>1520</v>
      </c>
      <c r="I127" s="176"/>
      <c r="J127" s="176"/>
      <c r="K127" s="176"/>
      <c r="L127" s="176"/>
      <c r="M127" s="176"/>
      <c r="N127" s="176"/>
      <c r="O127" s="176">
        <f>SUM(D127:N127)</f>
        <v>1520</v>
      </c>
      <c r="P127" s="176"/>
      <c r="Q127" s="176"/>
      <c r="R127" s="176"/>
      <c r="S127" s="176"/>
      <c r="T127" s="176"/>
      <c r="U127" s="176">
        <f>SUM(Q127:T127)</f>
        <v>0</v>
      </c>
      <c r="V127" s="177"/>
      <c r="W127" s="178">
        <f t="shared" si="34"/>
        <v>1520</v>
      </c>
      <c r="X127" s="408">
        <v>-1520</v>
      </c>
      <c r="Y127" s="29"/>
      <c r="Z127" s="29"/>
      <c r="AA127" s="29"/>
    </row>
    <row r="128" spans="1:27" ht="24.95" hidden="1" customHeight="1" x14ac:dyDescent="0.2">
      <c r="A128" s="40"/>
      <c r="B128" s="31"/>
      <c r="C128" s="41"/>
      <c r="D128" s="176"/>
      <c r="E128" s="176"/>
      <c r="F128" s="176"/>
      <c r="G128" s="176"/>
      <c r="H128" s="176"/>
      <c r="I128" s="176"/>
      <c r="J128" s="176"/>
      <c r="K128" s="176"/>
      <c r="L128" s="176"/>
      <c r="M128" s="176"/>
      <c r="N128" s="176"/>
      <c r="O128" s="176">
        <f>SUM(D128:N128)</f>
        <v>0</v>
      </c>
      <c r="P128" s="176"/>
      <c r="Q128" s="176"/>
      <c r="R128" s="176"/>
      <c r="S128" s="176"/>
      <c r="T128" s="176"/>
      <c r="U128" s="176">
        <f>SUM(Q128:T128)</f>
        <v>0</v>
      </c>
      <c r="V128" s="177"/>
      <c r="W128" s="178">
        <f t="shared" si="34"/>
        <v>0</v>
      </c>
      <c r="X128" s="408"/>
      <c r="Y128" s="29"/>
      <c r="Z128" s="29"/>
      <c r="AA128" s="29"/>
    </row>
    <row r="129" spans="1:27" ht="24.95" hidden="1" customHeight="1" x14ac:dyDescent="0.2">
      <c r="A129" s="40"/>
      <c r="B129" s="31"/>
      <c r="C129" s="41"/>
      <c r="D129" s="176"/>
      <c r="E129" s="176"/>
      <c r="F129" s="176"/>
      <c r="G129" s="176"/>
      <c r="H129" s="176"/>
      <c r="I129" s="176"/>
      <c r="J129" s="176"/>
      <c r="K129" s="176"/>
      <c r="L129" s="176"/>
      <c r="M129" s="176"/>
      <c r="N129" s="176"/>
      <c r="O129" s="176"/>
      <c r="P129" s="176"/>
      <c r="Q129" s="176"/>
      <c r="R129" s="176"/>
      <c r="S129" s="176"/>
      <c r="T129" s="176"/>
      <c r="U129" s="176"/>
      <c r="V129" s="177"/>
      <c r="W129" s="178">
        <f t="shared" si="34"/>
        <v>0</v>
      </c>
      <c r="X129" s="408"/>
      <c r="Y129" s="29"/>
      <c r="Z129" s="29"/>
      <c r="AA129" s="29"/>
    </row>
    <row r="130" spans="1:27" ht="24.95" customHeight="1" x14ac:dyDescent="0.2">
      <c r="A130" s="40"/>
      <c r="B130" s="129"/>
      <c r="C130" s="41"/>
      <c r="D130" s="176"/>
      <c r="E130" s="176"/>
      <c r="F130" s="176"/>
      <c r="G130" s="176"/>
      <c r="H130" s="176"/>
      <c r="I130" s="176"/>
      <c r="J130" s="176"/>
      <c r="K130" s="176"/>
      <c r="L130" s="176"/>
      <c r="M130" s="176"/>
      <c r="N130" s="176"/>
      <c r="O130" s="176"/>
      <c r="P130" s="176"/>
      <c r="Q130" s="176"/>
      <c r="R130" s="176"/>
      <c r="S130" s="176"/>
      <c r="T130" s="176"/>
      <c r="U130" s="176"/>
      <c r="V130" s="177"/>
      <c r="W130" s="178"/>
      <c r="X130" s="260"/>
      <c r="Y130" s="29"/>
      <c r="Z130" s="29"/>
      <c r="AA130" s="29"/>
    </row>
    <row r="131" spans="1:27" ht="24.95" customHeight="1" x14ac:dyDescent="0.2">
      <c r="A131" s="218" t="s">
        <v>96</v>
      </c>
      <c r="B131" s="214"/>
      <c r="C131" s="219" t="s">
        <v>94</v>
      </c>
      <c r="D131" s="176">
        <f t="shared" ref="D131:X131" si="35">SUM(D124:D130)</f>
        <v>0</v>
      </c>
      <c r="E131" s="176">
        <f t="shared" si="35"/>
        <v>0</v>
      </c>
      <c r="F131" s="176">
        <f t="shared" si="35"/>
        <v>0</v>
      </c>
      <c r="G131" s="176">
        <f t="shared" si="35"/>
        <v>0</v>
      </c>
      <c r="H131" s="176">
        <f t="shared" si="35"/>
        <v>1520</v>
      </c>
      <c r="I131" s="176">
        <f t="shared" si="35"/>
        <v>0</v>
      </c>
      <c r="J131" s="176">
        <f t="shared" si="35"/>
        <v>0</v>
      </c>
      <c r="K131" s="176">
        <f t="shared" si="35"/>
        <v>0</v>
      </c>
      <c r="L131" s="176">
        <f t="shared" si="35"/>
        <v>0</v>
      </c>
      <c r="M131" s="176">
        <f t="shared" si="35"/>
        <v>0</v>
      </c>
      <c r="N131" s="176">
        <f t="shared" si="35"/>
        <v>0</v>
      </c>
      <c r="O131" s="176">
        <f t="shared" si="35"/>
        <v>1520</v>
      </c>
      <c r="P131" s="176"/>
      <c r="Q131" s="176">
        <f t="shared" si="35"/>
        <v>0</v>
      </c>
      <c r="R131" s="176">
        <f t="shared" si="35"/>
        <v>0</v>
      </c>
      <c r="S131" s="176">
        <f t="shared" si="35"/>
        <v>0</v>
      </c>
      <c r="T131" s="176">
        <f t="shared" si="35"/>
        <v>0</v>
      </c>
      <c r="U131" s="176">
        <f t="shared" si="35"/>
        <v>0</v>
      </c>
      <c r="V131" s="176"/>
      <c r="W131" s="273">
        <f t="shared" si="35"/>
        <v>1520</v>
      </c>
      <c r="X131" s="408">
        <f t="shared" si="35"/>
        <v>-52882.327000000005</v>
      </c>
      <c r="Y131" s="29"/>
      <c r="Z131" s="29"/>
      <c r="AA131" s="29"/>
    </row>
    <row r="132" spans="1:27" ht="24.95" customHeight="1" x14ac:dyDescent="0.25">
      <c r="A132" s="40"/>
      <c r="C132" s="472"/>
      <c r="D132" s="472"/>
      <c r="E132" s="472"/>
      <c r="F132" s="472"/>
      <c r="G132" s="176"/>
      <c r="H132" s="176"/>
      <c r="I132" s="176"/>
      <c r="J132" s="176"/>
      <c r="K132" s="176"/>
      <c r="L132" s="176"/>
      <c r="M132" s="176"/>
      <c r="N132" s="176"/>
      <c r="O132" s="176">
        <f>SUM(D132:N132)</f>
        <v>0</v>
      </c>
      <c r="P132" s="176"/>
      <c r="Q132" s="176"/>
      <c r="R132" s="176"/>
      <c r="S132" s="176"/>
      <c r="T132" s="176"/>
      <c r="U132" s="176"/>
      <c r="V132" s="176"/>
      <c r="W132" s="178"/>
      <c r="X132" s="260"/>
      <c r="Y132" s="29"/>
      <c r="Z132" s="29"/>
      <c r="AA132" s="29"/>
    </row>
    <row r="133" spans="1:27" ht="24.95" customHeight="1" x14ac:dyDescent="0.2">
      <c r="A133" s="187">
        <v>5</v>
      </c>
      <c r="B133" s="237" t="s">
        <v>589</v>
      </c>
      <c r="C133" s="41" t="s">
        <v>590</v>
      </c>
      <c r="D133" s="176"/>
      <c r="E133" s="176"/>
      <c r="F133" s="176">
        <v>7046.3280000000004</v>
      </c>
      <c r="G133" s="176"/>
      <c r="H133" s="176"/>
      <c r="I133" s="176"/>
      <c r="J133" s="176"/>
      <c r="K133" s="176"/>
      <c r="M133" s="176"/>
      <c r="N133" s="176"/>
      <c r="O133" s="176">
        <f>SUM(D133:N133)</f>
        <v>7046.3280000000004</v>
      </c>
      <c r="P133" s="176"/>
      <c r="Q133" s="176"/>
      <c r="R133" s="176"/>
      <c r="S133" s="176"/>
      <c r="T133" s="176"/>
      <c r="U133" s="176">
        <f>SUM(Q133:T133)</f>
        <v>0</v>
      </c>
      <c r="V133" s="176"/>
      <c r="W133" s="178">
        <f>O133+U133</f>
        <v>7046.3280000000004</v>
      </c>
      <c r="X133" s="260"/>
      <c r="Y133" s="29"/>
      <c r="Z133" s="29"/>
      <c r="AA133" s="29"/>
    </row>
    <row r="134" spans="1:27" ht="24.95" customHeight="1" x14ac:dyDescent="0.2">
      <c r="A134" s="187">
        <v>6</v>
      </c>
      <c r="B134" s="571" t="s">
        <v>629</v>
      </c>
      <c r="C134" s="41" t="s">
        <v>433</v>
      </c>
      <c r="D134" s="176"/>
      <c r="E134" s="176"/>
      <c r="F134" s="176"/>
      <c r="G134" s="176">
        <f>-414-575-2153+22-10-25-2130-1500</f>
        <v>-6785</v>
      </c>
      <c r="H134" s="176">
        <f>120+120-1000+20+114+237+166+31+24+85+41+43+8479-1335-360</f>
        <v>6785</v>
      </c>
      <c r="I134" s="176"/>
      <c r="J134" s="176"/>
      <c r="K134" s="176"/>
      <c r="L134" s="176"/>
      <c r="M134" s="176"/>
      <c r="N134" s="176"/>
      <c r="O134" s="176">
        <f>SUM(D134:N134)</f>
        <v>0</v>
      </c>
      <c r="P134" s="176"/>
      <c r="Q134" s="176"/>
      <c r="R134" s="176"/>
      <c r="S134" s="176"/>
      <c r="T134" s="176"/>
      <c r="U134" s="176">
        <f>SUM(Q134:T134)</f>
        <v>0</v>
      </c>
      <c r="V134" s="176"/>
      <c r="W134" s="178">
        <f>O134+U134</f>
        <v>0</v>
      </c>
      <c r="X134" s="260"/>
      <c r="Y134" s="29"/>
      <c r="Z134" s="29"/>
      <c r="AA134" s="29"/>
    </row>
    <row r="135" spans="1:27" ht="24.95" hidden="1" customHeight="1" x14ac:dyDescent="0.2">
      <c r="A135" s="40"/>
      <c r="B135" s="126"/>
      <c r="C135" s="41"/>
      <c r="D135" s="176"/>
      <c r="E135" s="176"/>
      <c r="F135" s="176"/>
      <c r="G135" s="176"/>
      <c r="H135" s="176"/>
      <c r="I135" s="176"/>
      <c r="J135" s="176"/>
      <c r="K135" s="176"/>
      <c r="L135" s="176"/>
      <c r="M135" s="176"/>
      <c r="N135" s="176"/>
      <c r="O135" s="176">
        <f>SUM(D135:N135)</f>
        <v>0</v>
      </c>
      <c r="P135" s="176"/>
      <c r="Q135" s="176"/>
      <c r="R135" s="176"/>
      <c r="S135" s="176"/>
      <c r="T135" s="176"/>
      <c r="U135" s="176">
        <f>SUM(Q135:T135)</f>
        <v>0</v>
      </c>
      <c r="V135" s="176"/>
      <c r="W135" s="178">
        <f>O135+U135</f>
        <v>0</v>
      </c>
      <c r="X135" s="260"/>
      <c r="Y135" s="29"/>
      <c r="Z135" s="29"/>
      <c r="AA135" s="29"/>
    </row>
    <row r="136" spans="1:27" ht="24.95" customHeight="1" x14ac:dyDescent="0.2">
      <c r="A136" s="40"/>
      <c r="B136" s="126"/>
      <c r="C136" s="41"/>
      <c r="D136" s="176"/>
      <c r="E136" s="176"/>
      <c r="F136" s="176"/>
      <c r="G136" s="176"/>
      <c r="H136" s="176"/>
      <c r="I136" s="176"/>
      <c r="J136" s="176"/>
      <c r="K136" s="176"/>
      <c r="L136" s="176"/>
      <c r="M136" s="176"/>
      <c r="N136" s="176"/>
      <c r="O136" s="176"/>
      <c r="P136" s="176"/>
      <c r="Q136" s="176"/>
      <c r="R136" s="176"/>
      <c r="S136" s="176"/>
      <c r="T136" s="176"/>
      <c r="U136" s="176"/>
      <c r="V136" s="176"/>
      <c r="W136" s="178"/>
      <c r="X136" s="256"/>
      <c r="Y136" s="29"/>
      <c r="Z136" s="29"/>
      <c r="AA136" s="29"/>
    </row>
    <row r="137" spans="1:27" ht="24.95" customHeight="1" x14ac:dyDescent="0.2">
      <c r="A137" s="218" t="s">
        <v>97</v>
      </c>
      <c r="B137" s="214"/>
      <c r="C137" s="219" t="s">
        <v>95</v>
      </c>
      <c r="D137" s="176">
        <f t="shared" ref="D137:O137" si="36">SUM(D133:D136)</f>
        <v>0</v>
      </c>
      <c r="E137" s="176">
        <f t="shared" si="36"/>
        <v>0</v>
      </c>
      <c r="F137" s="176">
        <f t="shared" si="36"/>
        <v>7046.3280000000004</v>
      </c>
      <c r="G137" s="176">
        <f t="shared" si="36"/>
        <v>-6785</v>
      </c>
      <c r="H137" s="176">
        <f t="shared" si="36"/>
        <v>6785</v>
      </c>
      <c r="I137" s="176">
        <f t="shared" si="36"/>
        <v>0</v>
      </c>
      <c r="J137" s="176">
        <f t="shared" si="36"/>
        <v>0</v>
      </c>
      <c r="K137" s="176">
        <f t="shared" si="36"/>
        <v>0</v>
      </c>
      <c r="L137" s="176">
        <f t="shared" si="36"/>
        <v>0</v>
      </c>
      <c r="M137" s="176">
        <f t="shared" si="36"/>
        <v>0</v>
      </c>
      <c r="N137" s="176">
        <f t="shared" si="36"/>
        <v>0</v>
      </c>
      <c r="O137" s="176">
        <f t="shared" si="36"/>
        <v>7046.3280000000004</v>
      </c>
      <c r="P137" s="176"/>
      <c r="Q137" s="176">
        <f>SUM(Q133:Q136)</f>
        <v>0</v>
      </c>
      <c r="R137" s="176">
        <f>SUM(R133:R136)</f>
        <v>0</v>
      </c>
      <c r="S137" s="176">
        <f>SUM(S133:S136)</f>
        <v>0</v>
      </c>
      <c r="T137" s="176">
        <f>SUM(T133:T136)</f>
        <v>0</v>
      </c>
      <c r="U137" s="176">
        <f>SUM(U133:U136)</f>
        <v>0</v>
      </c>
      <c r="V137" s="176"/>
      <c r="W137" s="273">
        <f>SUM(W133:W136)</f>
        <v>7046.3280000000004</v>
      </c>
      <c r="X137" s="273">
        <f>SUM(X133:X136)</f>
        <v>0</v>
      </c>
      <c r="Y137" s="29"/>
      <c r="Z137" s="29"/>
      <c r="AA137" s="29"/>
    </row>
    <row r="138" spans="1:27" ht="24.95" customHeight="1" x14ac:dyDescent="0.2">
      <c r="A138" s="40"/>
      <c r="B138" s="31"/>
      <c r="C138" s="41"/>
      <c r="D138" s="176"/>
      <c r="E138" s="176"/>
      <c r="F138" s="176"/>
      <c r="G138" s="176"/>
      <c r="H138" s="176"/>
      <c r="I138" s="176"/>
      <c r="J138" s="176"/>
      <c r="K138" s="176"/>
      <c r="M138" s="176"/>
      <c r="N138" s="176"/>
      <c r="O138" s="176"/>
      <c r="P138" s="176"/>
      <c r="Q138" s="176"/>
      <c r="R138" s="176"/>
      <c r="S138" s="176"/>
      <c r="T138" s="176"/>
      <c r="U138" s="176"/>
      <c r="V138" s="176"/>
      <c r="W138" s="178"/>
      <c r="X138" s="260"/>
      <c r="Y138" s="29"/>
      <c r="Z138" s="29"/>
      <c r="AA138" s="29"/>
    </row>
    <row r="139" spans="1:27" ht="24.95" customHeight="1" thickBot="1" x14ac:dyDescent="0.25">
      <c r="A139" s="40"/>
      <c r="B139" s="32"/>
      <c r="C139" s="34"/>
      <c r="D139" s="176"/>
      <c r="E139" s="176"/>
      <c r="F139" s="176"/>
      <c r="G139" s="176"/>
      <c r="H139" s="176"/>
      <c r="I139" s="176"/>
      <c r="J139" s="176"/>
      <c r="K139" s="176"/>
      <c r="L139" s="176"/>
      <c r="M139" s="176"/>
      <c r="N139" s="176"/>
      <c r="O139" s="176"/>
      <c r="P139" s="176"/>
      <c r="Q139" s="176"/>
      <c r="R139" s="176"/>
      <c r="S139" s="176"/>
      <c r="T139" s="176"/>
      <c r="U139" s="176"/>
      <c r="V139" s="176"/>
      <c r="W139" s="178"/>
      <c r="X139" s="260"/>
      <c r="Y139" s="29"/>
      <c r="Z139" s="29"/>
      <c r="AA139" s="29"/>
    </row>
    <row r="140" spans="1:27" ht="24.95" customHeight="1" thickTop="1" thickBot="1" x14ac:dyDescent="0.25">
      <c r="A140" s="46"/>
      <c r="B140" s="272" t="s">
        <v>533</v>
      </c>
      <c r="C140" s="44" t="s">
        <v>98</v>
      </c>
      <c r="D140" s="180">
        <f t="shared" ref="D140:O140" si="37">D131+D137</f>
        <v>0</v>
      </c>
      <c r="E140" s="180">
        <f t="shared" si="37"/>
        <v>0</v>
      </c>
      <c r="F140" s="180">
        <f t="shared" si="37"/>
        <v>7046.3280000000004</v>
      </c>
      <c r="G140" s="180">
        <f t="shared" si="37"/>
        <v>-6785</v>
      </c>
      <c r="H140" s="180">
        <f t="shared" si="37"/>
        <v>8305</v>
      </c>
      <c r="I140" s="180">
        <f t="shared" si="37"/>
        <v>0</v>
      </c>
      <c r="J140" s="180">
        <f t="shared" si="37"/>
        <v>0</v>
      </c>
      <c r="K140" s="180">
        <f t="shared" si="37"/>
        <v>0</v>
      </c>
      <c r="L140" s="180">
        <f t="shared" si="37"/>
        <v>0</v>
      </c>
      <c r="M140" s="180">
        <f t="shared" si="37"/>
        <v>0</v>
      </c>
      <c r="N140" s="180">
        <f t="shared" si="37"/>
        <v>0</v>
      </c>
      <c r="O140" s="180">
        <f t="shared" si="37"/>
        <v>8566.3280000000013</v>
      </c>
      <c r="P140" s="180"/>
      <c r="Q140" s="180">
        <f>Q131+Q137</f>
        <v>0</v>
      </c>
      <c r="R140" s="180">
        <f>R131+R137</f>
        <v>0</v>
      </c>
      <c r="S140" s="180">
        <f>S131+S137</f>
        <v>0</v>
      </c>
      <c r="T140" s="180">
        <f>T131+T137</f>
        <v>0</v>
      </c>
      <c r="U140" s="180">
        <f>U131+U137</f>
        <v>0</v>
      </c>
      <c r="V140" s="180"/>
      <c r="W140" s="181">
        <f>W131+W137</f>
        <v>8566.3280000000013</v>
      </c>
      <c r="X140" s="181">
        <f>X131+X137</f>
        <v>-52882.327000000005</v>
      </c>
      <c r="Y140" s="29"/>
      <c r="Z140" s="29"/>
      <c r="AA140" s="29"/>
    </row>
    <row r="141" spans="1:27" ht="24.95" customHeight="1" thickTop="1" thickBot="1" x14ac:dyDescent="0.25">
      <c r="A141" s="42"/>
      <c r="B141" s="43" t="s">
        <v>534</v>
      </c>
      <c r="C141" s="44" t="s">
        <v>166</v>
      </c>
      <c r="D141" s="212">
        <f t="shared" ref="D141:O141" si="38">D122+D140</f>
        <v>0</v>
      </c>
      <c r="E141" s="212">
        <f t="shared" si="38"/>
        <v>0</v>
      </c>
      <c r="F141" s="212">
        <f t="shared" si="38"/>
        <v>92899.006999999998</v>
      </c>
      <c r="G141" s="212">
        <f t="shared" si="38"/>
        <v>5595</v>
      </c>
      <c r="H141" s="212">
        <f t="shared" si="38"/>
        <v>26414</v>
      </c>
      <c r="I141" s="212">
        <f t="shared" si="38"/>
        <v>0</v>
      </c>
      <c r="J141" s="212">
        <f t="shared" si="38"/>
        <v>0</v>
      </c>
      <c r="K141" s="212">
        <f t="shared" si="38"/>
        <v>0</v>
      </c>
      <c r="L141" s="212">
        <f t="shared" si="38"/>
        <v>0</v>
      </c>
      <c r="M141" s="212">
        <f t="shared" si="38"/>
        <v>1800</v>
      </c>
      <c r="N141" s="212">
        <f t="shared" si="38"/>
        <v>0</v>
      </c>
      <c r="O141" s="212">
        <f t="shared" si="38"/>
        <v>126708.00700000001</v>
      </c>
      <c r="P141" s="212"/>
      <c r="Q141" s="212">
        <f>Q122+Q140</f>
        <v>0</v>
      </c>
      <c r="R141" s="212">
        <f>R122+R140</f>
        <v>298414</v>
      </c>
      <c r="S141" s="212">
        <f>S122+S140</f>
        <v>0</v>
      </c>
      <c r="T141" s="212">
        <f>T122+T140</f>
        <v>0</v>
      </c>
      <c r="U141" s="212">
        <f>U122+U140</f>
        <v>298414</v>
      </c>
      <c r="V141" s="212"/>
      <c r="W141" s="181">
        <f>O141+U141</f>
        <v>425122.00699999998</v>
      </c>
      <c r="X141" s="181">
        <f>X121+X140</f>
        <v>2635196.0010000002</v>
      </c>
      <c r="Y141" s="29"/>
      <c r="Z141" s="29"/>
      <c r="AA141" s="29"/>
    </row>
    <row r="142" spans="1:27" ht="24.95" hidden="1" customHeight="1" thickTop="1" x14ac:dyDescent="0.2">
      <c r="A142" s="215"/>
      <c r="B142" s="232"/>
      <c r="C142" s="233"/>
      <c r="D142" s="270"/>
      <c r="E142" s="270"/>
      <c r="F142" s="270"/>
      <c r="G142" s="270"/>
      <c r="H142" s="270"/>
      <c r="I142" s="270"/>
      <c r="J142" s="270"/>
      <c r="K142" s="270"/>
      <c r="L142" s="270"/>
      <c r="M142" s="270"/>
      <c r="N142" s="270"/>
      <c r="O142" s="270">
        <f t="shared" ref="O142:O148" si="39">SUM(D142:N142)</f>
        <v>0</v>
      </c>
      <c r="P142" s="270"/>
      <c r="Q142" s="270"/>
      <c r="R142" s="270"/>
      <c r="S142" s="270"/>
      <c r="T142" s="270"/>
      <c r="U142" s="270">
        <f t="shared" ref="U142:U148" si="40">SUM(Q142:T142)</f>
        <v>0</v>
      </c>
      <c r="V142" s="271"/>
      <c r="W142" s="356">
        <f t="shared" ref="W142:W149" si="41">O142+U142</f>
        <v>0</v>
      </c>
      <c r="X142" s="357"/>
      <c r="Y142" s="29"/>
      <c r="Z142" s="29"/>
      <c r="AA142" s="29"/>
    </row>
    <row r="143" spans="1:27" ht="24.95" hidden="1" customHeight="1" x14ac:dyDescent="0.2">
      <c r="A143" s="215"/>
      <c r="B143" s="232"/>
      <c r="C143" s="233"/>
      <c r="D143" s="270"/>
      <c r="E143" s="270"/>
      <c r="F143" s="270"/>
      <c r="G143" s="270"/>
      <c r="H143" s="270"/>
      <c r="I143" s="270"/>
      <c r="J143" s="270"/>
      <c r="K143" s="270"/>
      <c r="L143" s="270"/>
      <c r="M143" s="270"/>
      <c r="N143" s="270"/>
      <c r="O143" s="270">
        <f t="shared" si="39"/>
        <v>0</v>
      </c>
      <c r="P143" s="270"/>
      <c r="Q143" s="270"/>
      <c r="R143" s="270"/>
      <c r="S143" s="270"/>
      <c r="T143" s="270"/>
      <c r="U143" s="270">
        <f t="shared" si="40"/>
        <v>0</v>
      </c>
      <c r="V143" s="271"/>
      <c r="W143" s="356">
        <f t="shared" si="41"/>
        <v>0</v>
      </c>
      <c r="X143" s="357"/>
      <c r="Y143" s="29"/>
      <c r="Z143" s="29"/>
      <c r="AA143" s="29"/>
    </row>
    <row r="144" spans="1:27" ht="24.95" hidden="1" customHeight="1" x14ac:dyDescent="0.2">
      <c r="A144" s="215"/>
      <c r="B144" s="232"/>
      <c r="C144" s="233"/>
      <c r="D144" s="270"/>
      <c r="E144" s="270"/>
      <c r="F144" s="270"/>
      <c r="G144" s="270"/>
      <c r="H144" s="270"/>
      <c r="I144" s="270"/>
      <c r="J144" s="270"/>
      <c r="K144" s="270"/>
      <c r="L144" s="270"/>
      <c r="M144" s="270"/>
      <c r="N144" s="270"/>
      <c r="O144" s="270">
        <f t="shared" si="39"/>
        <v>0</v>
      </c>
      <c r="P144" s="270"/>
      <c r="Q144" s="270"/>
      <c r="R144" s="270"/>
      <c r="S144" s="270"/>
      <c r="T144" s="270"/>
      <c r="U144" s="270">
        <f t="shared" si="40"/>
        <v>0</v>
      </c>
      <c r="V144" s="271"/>
      <c r="W144" s="356">
        <f t="shared" si="41"/>
        <v>0</v>
      </c>
      <c r="X144" s="357"/>
      <c r="Y144" s="29"/>
      <c r="Z144" s="29"/>
      <c r="AA144" s="29"/>
    </row>
    <row r="145" spans="1:27" ht="24.95" hidden="1" customHeight="1" x14ac:dyDescent="0.2">
      <c r="A145" s="40"/>
      <c r="B145" s="48" t="s">
        <v>92</v>
      </c>
      <c r="C145" s="49" t="s">
        <v>23</v>
      </c>
      <c r="D145" s="161"/>
      <c r="E145" s="161"/>
      <c r="F145" s="161"/>
      <c r="G145" s="161"/>
      <c r="H145" s="161"/>
      <c r="I145" s="161"/>
      <c r="J145" s="161"/>
      <c r="K145" s="161"/>
      <c r="L145" s="161"/>
      <c r="M145" s="161"/>
      <c r="N145" s="161"/>
      <c r="O145" s="161">
        <f t="shared" si="39"/>
        <v>0</v>
      </c>
      <c r="P145" s="161"/>
      <c r="Q145" s="161"/>
      <c r="R145" s="161"/>
      <c r="S145" s="161"/>
      <c r="T145" s="161"/>
      <c r="U145" s="161">
        <f t="shared" si="40"/>
        <v>0</v>
      </c>
      <c r="V145" s="167"/>
      <c r="W145" s="178">
        <f t="shared" si="41"/>
        <v>0</v>
      </c>
      <c r="X145" s="289"/>
    </row>
    <row r="146" spans="1:27" ht="24.95" hidden="1" customHeight="1" x14ac:dyDescent="0.2">
      <c r="A146" s="40"/>
      <c r="B146" s="48" t="s">
        <v>25</v>
      </c>
      <c r="C146" s="49" t="s">
        <v>23</v>
      </c>
      <c r="D146" s="161"/>
      <c r="E146" s="161"/>
      <c r="F146" s="161"/>
      <c r="G146" s="161"/>
      <c r="H146" s="161"/>
      <c r="I146" s="161"/>
      <c r="J146" s="161"/>
      <c r="K146" s="161"/>
      <c r="L146" s="161"/>
      <c r="M146" s="161"/>
      <c r="N146" s="161"/>
      <c r="O146" s="161">
        <f t="shared" si="39"/>
        <v>0</v>
      </c>
      <c r="P146" s="161"/>
      <c r="Q146" s="161"/>
      <c r="R146" s="161"/>
      <c r="S146" s="161"/>
      <c r="T146" s="161"/>
      <c r="U146" s="161">
        <f t="shared" si="40"/>
        <v>0</v>
      </c>
      <c r="V146" s="167"/>
      <c r="W146" s="178">
        <f t="shared" si="41"/>
        <v>0</v>
      </c>
      <c r="X146" s="289"/>
    </row>
    <row r="147" spans="1:27" ht="24.95" hidden="1" customHeight="1" x14ac:dyDescent="0.2">
      <c r="A147" s="40"/>
      <c r="B147" s="48" t="s">
        <v>80</v>
      </c>
      <c r="C147" s="49" t="s">
        <v>23</v>
      </c>
      <c r="D147" s="161"/>
      <c r="E147" s="161"/>
      <c r="F147" s="161"/>
      <c r="G147" s="161"/>
      <c r="H147" s="161"/>
      <c r="I147" s="161"/>
      <c r="J147" s="161"/>
      <c r="K147" s="161"/>
      <c r="L147" s="161"/>
      <c r="M147" s="161"/>
      <c r="N147" s="161"/>
      <c r="O147" s="161">
        <f t="shared" si="39"/>
        <v>0</v>
      </c>
      <c r="P147" s="161"/>
      <c r="Q147" s="161"/>
      <c r="R147" s="161"/>
      <c r="S147" s="161"/>
      <c r="T147" s="161"/>
      <c r="U147" s="161">
        <f t="shared" si="40"/>
        <v>0</v>
      </c>
      <c r="V147" s="167"/>
      <c r="W147" s="178">
        <f t="shared" si="41"/>
        <v>0</v>
      </c>
      <c r="X147" s="289"/>
    </row>
    <row r="148" spans="1:27" ht="24.95" hidden="1" customHeight="1" x14ac:dyDescent="0.2">
      <c r="A148" s="40"/>
      <c r="B148" s="48"/>
      <c r="C148" s="41" t="s">
        <v>75</v>
      </c>
      <c r="D148" s="161"/>
      <c r="E148" s="161"/>
      <c r="F148" s="161"/>
      <c r="G148" s="161"/>
      <c r="H148" s="161"/>
      <c r="I148" s="161"/>
      <c r="J148" s="161"/>
      <c r="K148" s="161"/>
      <c r="L148" s="161"/>
      <c r="M148" s="161"/>
      <c r="N148" s="161"/>
      <c r="O148" s="161">
        <f t="shared" si="39"/>
        <v>0</v>
      </c>
      <c r="P148" s="161"/>
      <c r="Q148" s="161"/>
      <c r="R148" s="161"/>
      <c r="S148" s="161"/>
      <c r="T148" s="161"/>
      <c r="U148" s="161">
        <f t="shared" si="40"/>
        <v>0</v>
      </c>
      <c r="V148" s="167"/>
      <c r="W148" s="178">
        <f t="shared" si="41"/>
        <v>0</v>
      </c>
      <c r="X148" s="289"/>
    </row>
    <row r="149" spans="1:27" ht="24.95" hidden="1" customHeight="1" thickBot="1" x14ac:dyDescent="0.25">
      <c r="A149" s="40"/>
      <c r="B149" s="48"/>
      <c r="C149" s="49"/>
      <c r="D149" s="161"/>
      <c r="E149" s="161"/>
      <c r="F149" s="161"/>
      <c r="G149" s="161"/>
      <c r="H149" s="161"/>
      <c r="I149" s="161"/>
      <c r="J149" s="161"/>
      <c r="K149" s="161"/>
      <c r="L149" s="161"/>
      <c r="M149" s="161"/>
      <c r="N149" s="161"/>
      <c r="O149" s="161"/>
      <c r="P149" s="161"/>
      <c r="Q149" s="161"/>
      <c r="R149" s="161"/>
      <c r="S149" s="161"/>
      <c r="T149" s="161"/>
      <c r="U149" s="161"/>
      <c r="V149" s="167"/>
      <c r="W149" s="178">
        <f t="shared" si="41"/>
        <v>0</v>
      </c>
      <c r="X149" s="289"/>
    </row>
    <row r="150" spans="1:27" ht="24.95" hidden="1" customHeight="1" thickTop="1" thickBot="1" x14ac:dyDescent="0.25">
      <c r="A150" s="47"/>
      <c r="B150" s="43"/>
      <c r="C150" s="44" t="s">
        <v>32</v>
      </c>
      <c r="D150" s="169">
        <f t="shared" ref="D150:M150" si="42">SUM(D145:D149)</f>
        <v>0</v>
      </c>
      <c r="E150" s="169">
        <f t="shared" si="42"/>
        <v>0</v>
      </c>
      <c r="F150" s="169">
        <f t="shared" si="42"/>
        <v>0</v>
      </c>
      <c r="G150" s="169">
        <f t="shared" si="42"/>
        <v>0</v>
      </c>
      <c r="H150" s="169">
        <f t="shared" si="42"/>
        <v>0</v>
      </c>
      <c r="I150" s="169">
        <f t="shared" si="42"/>
        <v>0</v>
      </c>
      <c r="J150" s="169">
        <f t="shared" si="42"/>
        <v>0</v>
      </c>
      <c r="K150" s="169">
        <f t="shared" si="42"/>
        <v>0</v>
      </c>
      <c r="L150" s="169">
        <f t="shared" si="42"/>
        <v>0</v>
      </c>
      <c r="M150" s="169">
        <f t="shared" si="42"/>
        <v>0</v>
      </c>
      <c r="N150" s="169">
        <f t="shared" ref="N150:U150" si="43">SUM(N145:N149)</f>
        <v>0</v>
      </c>
      <c r="O150" s="169">
        <f t="shared" si="43"/>
        <v>0</v>
      </c>
      <c r="P150" s="169"/>
      <c r="Q150" s="169">
        <f>SUM(Q145:Q149)</f>
        <v>0</v>
      </c>
      <c r="R150" s="169">
        <f>SUM(R145:R149)</f>
        <v>0</v>
      </c>
      <c r="S150" s="169">
        <f t="shared" si="43"/>
        <v>0</v>
      </c>
      <c r="T150" s="169">
        <f t="shared" si="43"/>
        <v>0</v>
      </c>
      <c r="U150" s="169">
        <f t="shared" si="43"/>
        <v>0</v>
      </c>
      <c r="V150" s="286"/>
      <c r="W150" s="182">
        <f>O150+U150</f>
        <v>0</v>
      </c>
      <c r="X150" s="292">
        <f>SUM(X145:X149)</f>
        <v>0</v>
      </c>
    </row>
    <row r="151" spans="1:27" ht="9.9499999999999993" hidden="1" customHeight="1" thickTop="1" x14ac:dyDescent="0.2">
      <c r="A151" s="194"/>
      <c r="B151" s="195"/>
      <c r="C151" s="196"/>
      <c r="D151" s="197"/>
      <c r="E151" s="197"/>
      <c r="F151" s="197"/>
      <c r="G151" s="197"/>
      <c r="H151" s="197"/>
      <c r="I151" s="197"/>
      <c r="J151" s="197"/>
      <c r="K151" s="197"/>
      <c r="L151" s="197"/>
      <c r="M151" s="197"/>
      <c r="N151" s="197"/>
      <c r="O151" s="197"/>
      <c r="P151" s="197"/>
      <c r="Q151" s="197"/>
      <c r="R151" s="197"/>
      <c r="S151" s="197"/>
      <c r="T151" s="197"/>
      <c r="U151" s="197"/>
      <c r="V151" s="198"/>
      <c r="W151" s="281"/>
      <c r="X151" s="293"/>
    </row>
    <row r="152" spans="1:27" ht="24.95" hidden="1" customHeight="1" x14ac:dyDescent="0.2">
      <c r="A152" s="199"/>
      <c r="B152" s="200"/>
      <c r="C152" s="208" t="s">
        <v>75</v>
      </c>
      <c r="D152" s="201"/>
      <c r="E152" s="201"/>
      <c r="F152" s="201"/>
      <c r="G152" s="201"/>
      <c r="H152" s="201"/>
      <c r="I152" s="201"/>
      <c r="J152" s="201"/>
      <c r="K152" s="201"/>
      <c r="L152" s="201"/>
      <c r="M152" s="201"/>
      <c r="N152" s="201"/>
      <c r="O152" s="201">
        <f>SUM(D152:N152)</f>
        <v>0</v>
      </c>
      <c r="P152" s="201"/>
      <c r="Q152" s="201"/>
      <c r="R152" s="201"/>
      <c r="S152" s="201"/>
      <c r="T152" s="201"/>
      <c r="U152" s="201">
        <f>SUM(Q152:T152)</f>
        <v>0</v>
      </c>
      <c r="V152" s="202"/>
      <c r="W152" s="282">
        <f>O152+U152</f>
        <v>0</v>
      </c>
      <c r="X152" s="294"/>
    </row>
    <row r="153" spans="1:27" ht="9.9499999999999993" hidden="1" customHeight="1" thickBot="1" x14ac:dyDescent="0.25">
      <c r="A153" s="203"/>
      <c r="B153" s="204"/>
      <c r="C153" s="205"/>
      <c r="D153" s="206"/>
      <c r="E153" s="206"/>
      <c r="F153" s="206"/>
      <c r="G153" s="206"/>
      <c r="H153" s="206"/>
      <c r="I153" s="206"/>
      <c r="J153" s="206"/>
      <c r="K153" s="206"/>
      <c r="L153" s="206"/>
      <c r="M153" s="206"/>
      <c r="N153" s="206"/>
      <c r="O153" s="206"/>
      <c r="P153" s="206"/>
      <c r="Q153" s="206"/>
      <c r="R153" s="206"/>
      <c r="S153" s="206"/>
      <c r="T153" s="206"/>
      <c r="U153" s="206"/>
      <c r="V153" s="207"/>
      <c r="W153" s="283"/>
      <c r="X153" s="295"/>
    </row>
    <row r="154" spans="1:27" ht="24.95" hidden="1" customHeight="1" thickTop="1" thickBot="1" x14ac:dyDescent="0.25">
      <c r="A154" s="92"/>
      <c r="B154" s="92" t="s">
        <v>104</v>
      </c>
      <c r="C154" s="44" t="s">
        <v>166</v>
      </c>
      <c r="D154" s="212">
        <f t="shared" ref="D154:O154" si="44">D121+D150</f>
        <v>0</v>
      </c>
      <c r="E154" s="212">
        <f t="shared" si="44"/>
        <v>0</v>
      </c>
      <c r="F154" s="212">
        <f t="shared" si="44"/>
        <v>85852.679000000004</v>
      </c>
      <c r="G154" s="212">
        <f t="shared" si="44"/>
        <v>12380</v>
      </c>
      <c r="H154" s="212">
        <f t="shared" si="44"/>
        <v>18109</v>
      </c>
      <c r="I154" s="212">
        <f t="shared" si="44"/>
        <v>0</v>
      </c>
      <c r="J154" s="212">
        <f t="shared" si="44"/>
        <v>0</v>
      </c>
      <c r="K154" s="212">
        <f t="shared" si="44"/>
        <v>0</v>
      </c>
      <c r="L154" s="212">
        <f t="shared" si="44"/>
        <v>0</v>
      </c>
      <c r="M154" s="212">
        <f t="shared" si="44"/>
        <v>1800</v>
      </c>
      <c r="N154" s="212">
        <f t="shared" si="44"/>
        <v>0</v>
      </c>
      <c r="O154" s="212">
        <f t="shared" si="44"/>
        <v>118141.679</v>
      </c>
      <c r="P154" s="212"/>
      <c r="Q154" s="212">
        <f>Q121+Q150</f>
        <v>0</v>
      </c>
      <c r="R154" s="212">
        <f>R121+R150</f>
        <v>298414</v>
      </c>
      <c r="S154" s="212">
        <f>S121+S150</f>
        <v>0</v>
      </c>
      <c r="T154" s="212">
        <f>T121+T150</f>
        <v>0</v>
      </c>
      <c r="U154" s="212">
        <f>U121+U150</f>
        <v>298414</v>
      </c>
      <c r="V154" s="287"/>
      <c r="W154" s="181">
        <f>W121+W150+W152</f>
        <v>416555.679</v>
      </c>
      <c r="X154" s="296">
        <f>X141+X150+X152</f>
        <v>2635196.0010000002</v>
      </c>
      <c r="AA154" s="29"/>
    </row>
    <row r="155" spans="1:27" ht="24.95" hidden="1" customHeight="1" thickTop="1" x14ac:dyDescent="0.2">
      <c r="A155" s="189"/>
      <c r="B155" s="190"/>
      <c r="C155" s="136" t="s">
        <v>18</v>
      </c>
      <c r="D155" s="25">
        <f t="shared" ref="D155:L155" si="45">D154</f>
        <v>0</v>
      </c>
      <c r="E155" s="25">
        <f t="shared" si="45"/>
        <v>0</v>
      </c>
      <c r="F155" s="25">
        <f t="shared" si="45"/>
        <v>85852.679000000004</v>
      </c>
      <c r="G155" s="25">
        <f t="shared" si="45"/>
        <v>12380</v>
      </c>
      <c r="H155" s="25">
        <f t="shared" si="45"/>
        <v>18109</v>
      </c>
      <c r="I155" s="25">
        <f t="shared" si="45"/>
        <v>0</v>
      </c>
      <c r="J155" s="25">
        <f t="shared" si="45"/>
        <v>0</v>
      </c>
      <c r="K155" s="25">
        <f t="shared" si="45"/>
        <v>0</v>
      </c>
      <c r="L155" s="25">
        <f t="shared" si="45"/>
        <v>0</v>
      </c>
      <c r="M155" s="25">
        <f t="shared" ref="M155:U155" si="46">M154</f>
        <v>1800</v>
      </c>
      <c r="N155" s="25">
        <f t="shared" si="46"/>
        <v>0</v>
      </c>
      <c r="O155" s="25">
        <f t="shared" si="46"/>
        <v>118141.679</v>
      </c>
      <c r="P155" s="25"/>
      <c r="Q155" s="25">
        <f>Q154</f>
        <v>0</v>
      </c>
      <c r="R155" s="25">
        <f>R154</f>
        <v>298414</v>
      </c>
      <c r="S155" s="25">
        <f t="shared" si="46"/>
        <v>0</v>
      </c>
      <c r="T155" s="25">
        <f t="shared" si="46"/>
        <v>0</v>
      </c>
      <c r="U155" s="25">
        <f t="shared" si="46"/>
        <v>298414</v>
      </c>
      <c r="V155" s="25"/>
      <c r="W155" s="192">
        <f>O155+U155</f>
        <v>416555.679</v>
      </c>
      <c r="X155" s="297">
        <f>X154</f>
        <v>2635196.0010000002</v>
      </c>
    </row>
    <row r="156" spans="1:27" ht="20.100000000000001" hidden="1" customHeight="1" x14ac:dyDescent="0.2">
      <c r="A156" s="187">
        <v>1</v>
      </c>
      <c r="B156" s="424"/>
      <c r="C156" s="299"/>
      <c r="D156" s="300"/>
      <c r="E156" s="176"/>
      <c r="F156" s="176"/>
      <c r="G156" s="176"/>
      <c r="H156" s="184"/>
      <c r="I156" s="176"/>
      <c r="J156" s="176"/>
      <c r="K156" s="176"/>
      <c r="L156" s="176"/>
      <c r="M156" s="176"/>
      <c r="N156" s="176"/>
      <c r="O156" s="176">
        <f t="shared" ref="O156:O173" si="47">SUM(D156:N156)</f>
        <v>0</v>
      </c>
      <c r="P156" s="176"/>
      <c r="Q156" s="176"/>
      <c r="R156" s="176"/>
      <c r="S156" s="176"/>
      <c r="T156" s="176"/>
      <c r="U156" s="176">
        <f t="shared" ref="U156:U173" si="48">SUM(Q156:T156)</f>
        <v>0</v>
      </c>
      <c r="V156" s="177"/>
      <c r="W156" s="178">
        <f t="shared" ref="W156:W173" si="49">O156+U156</f>
        <v>0</v>
      </c>
      <c r="X156" s="183"/>
    </row>
    <row r="157" spans="1:27" ht="20.100000000000001" hidden="1" customHeight="1" x14ac:dyDescent="0.2">
      <c r="A157" s="420">
        <v>2</v>
      </c>
      <c r="B157" s="421"/>
      <c r="C157" s="39"/>
      <c r="D157" s="176"/>
      <c r="E157" s="176"/>
      <c r="F157" s="176"/>
      <c r="G157" s="176"/>
      <c r="H157" s="184"/>
      <c r="I157" s="176"/>
      <c r="J157" s="176"/>
      <c r="K157" s="176"/>
      <c r="L157" s="176"/>
      <c r="M157" s="176"/>
      <c r="N157" s="176"/>
      <c r="O157" s="176">
        <f t="shared" si="47"/>
        <v>0</v>
      </c>
      <c r="P157" s="176"/>
      <c r="Q157" s="176"/>
      <c r="R157" s="176"/>
      <c r="S157" s="176"/>
      <c r="T157" s="176"/>
      <c r="U157" s="176">
        <f t="shared" si="48"/>
        <v>0</v>
      </c>
      <c r="V157" s="177"/>
      <c r="W157" s="178">
        <f t="shared" si="49"/>
        <v>0</v>
      </c>
      <c r="X157" s="183"/>
    </row>
    <row r="158" spans="1:27" ht="20.100000000000001" hidden="1" customHeight="1" x14ac:dyDescent="0.2">
      <c r="A158" s="187">
        <v>3</v>
      </c>
      <c r="B158" s="425"/>
      <c r="C158" s="33"/>
      <c r="D158" s="176"/>
      <c r="E158" s="176"/>
      <c r="F158" s="176"/>
      <c r="G158" s="176"/>
      <c r="H158" s="184"/>
      <c r="I158" s="176"/>
      <c r="J158" s="176"/>
      <c r="K158" s="176"/>
      <c r="L158" s="176"/>
      <c r="M158" s="176"/>
      <c r="N158" s="176"/>
      <c r="O158" s="176">
        <f t="shared" si="47"/>
        <v>0</v>
      </c>
      <c r="P158" s="176"/>
      <c r="Q158" s="176"/>
      <c r="R158" s="176"/>
      <c r="S158" s="176"/>
      <c r="T158" s="176"/>
      <c r="U158" s="176">
        <f t="shared" si="48"/>
        <v>0</v>
      </c>
      <c r="V158" s="177"/>
      <c r="W158" s="178">
        <f t="shared" si="49"/>
        <v>0</v>
      </c>
      <c r="X158" s="183"/>
    </row>
    <row r="159" spans="1:27" ht="20.100000000000001" hidden="1" customHeight="1" x14ac:dyDescent="0.2">
      <c r="A159" s="420">
        <v>4</v>
      </c>
      <c r="B159" s="50"/>
      <c r="C159" s="33"/>
      <c r="D159" s="176"/>
      <c r="E159" s="176"/>
      <c r="F159" s="176"/>
      <c r="G159" s="176"/>
      <c r="H159" s="184"/>
      <c r="I159" s="176"/>
      <c r="J159" s="176"/>
      <c r="K159" s="176"/>
      <c r="L159" s="176"/>
      <c r="M159" s="176"/>
      <c r="N159" s="176"/>
      <c r="O159" s="176">
        <f t="shared" si="47"/>
        <v>0</v>
      </c>
      <c r="P159" s="176"/>
      <c r="Q159" s="176"/>
      <c r="R159" s="176"/>
      <c r="S159" s="176"/>
      <c r="T159" s="176"/>
      <c r="U159" s="176">
        <f t="shared" si="48"/>
        <v>0</v>
      </c>
      <c r="V159" s="177"/>
      <c r="W159" s="178">
        <f t="shared" si="49"/>
        <v>0</v>
      </c>
      <c r="X159" s="183"/>
    </row>
    <row r="160" spans="1:27" ht="20.100000000000001" hidden="1" customHeight="1" x14ac:dyDescent="0.2">
      <c r="A160" s="187">
        <v>5</v>
      </c>
      <c r="B160" s="50"/>
      <c r="C160" s="33"/>
      <c r="D160" s="176"/>
      <c r="E160" s="176"/>
      <c r="F160" s="176"/>
      <c r="G160" s="176"/>
      <c r="H160" s="184"/>
      <c r="I160" s="176"/>
      <c r="J160" s="176"/>
      <c r="K160" s="176"/>
      <c r="L160" s="176"/>
      <c r="M160" s="176"/>
      <c r="N160" s="176"/>
      <c r="O160" s="176">
        <f t="shared" si="47"/>
        <v>0</v>
      </c>
      <c r="P160" s="176"/>
      <c r="Q160" s="176"/>
      <c r="R160" s="176"/>
      <c r="S160" s="176"/>
      <c r="T160" s="176"/>
      <c r="U160" s="176">
        <f t="shared" si="48"/>
        <v>0</v>
      </c>
      <c r="V160" s="177"/>
      <c r="W160" s="178">
        <f t="shared" si="49"/>
        <v>0</v>
      </c>
      <c r="X160" s="183"/>
    </row>
    <row r="161" spans="1:24" ht="20.100000000000001" hidden="1" customHeight="1" x14ac:dyDescent="0.2">
      <c r="A161" s="420">
        <v>6</v>
      </c>
      <c r="B161" s="301"/>
      <c r="C161" s="476"/>
      <c r="D161" s="477"/>
      <c r="E161" s="176"/>
      <c r="F161" s="176"/>
      <c r="G161" s="176"/>
      <c r="H161" s="184"/>
      <c r="I161" s="176"/>
      <c r="J161" s="176"/>
      <c r="K161" s="176"/>
      <c r="L161" s="176"/>
      <c r="M161" s="176"/>
      <c r="N161" s="176"/>
      <c r="O161" s="176">
        <f t="shared" si="47"/>
        <v>0</v>
      </c>
      <c r="P161" s="176"/>
      <c r="Q161" s="176"/>
      <c r="R161" s="176"/>
      <c r="S161" s="176"/>
      <c r="T161" s="176"/>
      <c r="U161" s="176">
        <f t="shared" si="48"/>
        <v>0</v>
      </c>
      <c r="V161" s="177"/>
      <c r="W161" s="178">
        <f t="shared" si="49"/>
        <v>0</v>
      </c>
      <c r="X161" s="183"/>
    </row>
    <row r="162" spans="1:24" ht="20.100000000000001" hidden="1" customHeight="1" x14ac:dyDescent="0.2">
      <c r="A162" s="187">
        <v>7</v>
      </c>
      <c r="B162" s="301"/>
      <c r="C162" s="476"/>
      <c r="D162" s="477"/>
      <c r="E162" s="176"/>
      <c r="F162" s="176"/>
      <c r="G162" s="176"/>
      <c r="H162" s="184"/>
      <c r="I162" s="176"/>
      <c r="J162" s="176"/>
      <c r="K162" s="176"/>
      <c r="L162" s="176"/>
      <c r="M162" s="176"/>
      <c r="N162" s="176"/>
      <c r="O162" s="176">
        <f t="shared" si="47"/>
        <v>0</v>
      </c>
      <c r="P162" s="176"/>
      <c r="Q162" s="176"/>
      <c r="R162" s="176"/>
      <c r="S162" s="176"/>
      <c r="T162" s="176"/>
      <c r="U162" s="176">
        <f t="shared" si="48"/>
        <v>0</v>
      </c>
      <c r="V162" s="177"/>
      <c r="W162" s="178">
        <f t="shared" si="49"/>
        <v>0</v>
      </c>
      <c r="X162" s="183"/>
    </row>
    <row r="163" spans="1:24" ht="20.100000000000001" hidden="1" customHeight="1" x14ac:dyDescent="0.2">
      <c r="A163" s="420">
        <v>8</v>
      </c>
      <c r="B163" s="301"/>
      <c r="C163" s="476"/>
      <c r="D163" s="477"/>
      <c r="E163" s="176"/>
      <c r="F163" s="176"/>
      <c r="G163" s="176"/>
      <c r="H163" s="184"/>
      <c r="I163" s="176"/>
      <c r="J163" s="176"/>
      <c r="K163" s="176"/>
      <c r="L163" s="176"/>
      <c r="M163" s="176"/>
      <c r="N163" s="176"/>
      <c r="O163" s="176">
        <f t="shared" si="47"/>
        <v>0</v>
      </c>
      <c r="P163" s="176"/>
      <c r="Q163" s="176"/>
      <c r="R163" s="176"/>
      <c r="S163" s="176"/>
      <c r="T163" s="176"/>
      <c r="U163" s="176">
        <f t="shared" si="48"/>
        <v>0</v>
      </c>
      <c r="V163" s="177"/>
      <c r="W163" s="178">
        <f t="shared" si="49"/>
        <v>0</v>
      </c>
      <c r="X163" s="183"/>
    </row>
    <row r="164" spans="1:24" ht="20.100000000000001" hidden="1" customHeight="1" x14ac:dyDescent="0.2">
      <c r="A164" s="187">
        <v>9</v>
      </c>
      <c r="B164" s="301"/>
      <c r="C164" s="476"/>
      <c r="D164" s="477"/>
      <c r="E164" s="176"/>
      <c r="F164" s="176"/>
      <c r="G164" s="176"/>
      <c r="H164" s="184"/>
      <c r="I164" s="176"/>
      <c r="J164" s="176"/>
      <c r="K164" s="176"/>
      <c r="L164" s="176"/>
      <c r="M164" s="176"/>
      <c r="N164" s="176"/>
      <c r="O164" s="176">
        <f t="shared" si="47"/>
        <v>0</v>
      </c>
      <c r="P164" s="176"/>
      <c r="Q164" s="176"/>
      <c r="R164" s="176"/>
      <c r="S164" s="176"/>
      <c r="T164" s="176"/>
      <c r="U164" s="176">
        <f t="shared" si="48"/>
        <v>0</v>
      </c>
      <c r="V164" s="177"/>
      <c r="W164" s="178">
        <f t="shared" si="49"/>
        <v>0</v>
      </c>
      <c r="X164" s="183"/>
    </row>
    <row r="165" spans="1:24" ht="20.100000000000001" hidden="1" customHeight="1" x14ac:dyDescent="0.2">
      <c r="A165" s="420">
        <v>10</v>
      </c>
      <c r="B165" s="301"/>
      <c r="C165" s="476"/>
      <c r="D165" s="477"/>
      <c r="E165" s="176"/>
      <c r="F165" s="176"/>
      <c r="G165" s="176"/>
      <c r="H165" s="184"/>
      <c r="I165" s="176"/>
      <c r="J165" s="176"/>
      <c r="K165" s="176"/>
      <c r="L165" s="176"/>
      <c r="M165" s="176"/>
      <c r="N165" s="176"/>
      <c r="O165" s="176">
        <f t="shared" si="47"/>
        <v>0</v>
      </c>
      <c r="P165" s="176"/>
      <c r="Q165" s="176"/>
      <c r="R165" s="176"/>
      <c r="S165" s="176"/>
      <c r="T165" s="176"/>
      <c r="U165" s="176">
        <f t="shared" si="48"/>
        <v>0</v>
      </c>
      <c r="V165" s="177"/>
      <c r="W165" s="178">
        <f t="shared" si="49"/>
        <v>0</v>
      </c>
      <c r="X165" s="183"/>
    </row>
    <row r="166" spans="1:24" ht="20.100000000000001" hidden="1" customHeight="1" x14ac:dyDescent="0.2">
      <c r="A166" s="187"/>
      <c r="B166" s="301"/>
      <c r="C166" s="33"/>
      <c r="D166" s="176"/>
      <c r="E166" s="176"/>
      <c r="F166" s="176"/>
      <c r="G166" s="176"/>
      <c r="H166" s="184"/>
      <c r="I166" s="176"/>
      <c r="J166" s="176"/>
      <c r="K166" s="176"/>
      <c r="L166" s="176"/>
      <c r="M166" s="176"/>
      <c r="N166" s="176"/>
      <c r="O166" s="176">
        <f t="shared" si="47"/>
        <v>0</v>
      </c>
      <c r="P166" s="176"/>
      <c r="Q166" s="176"/>
      <c r="R166" s="176"/>
      <c r="S166" s="176"/>
      <c r="T166" s="176"/>
      <c r="U166" s="176">
        <f t="shared" si="48"/>
        <v>0</v>
      </c>
      <c r="V166" s="177"/>
      <c r="W166" s="178">
        <f t="shared" si="49"/>
        <v>0</v>
      </c>
      <c r="X166" s="183"/>
    </row>
    <row r="167" spans="1:24" ht="20.100000000000001" hidden="1" customHeight="1" x14ac:dyDescent="0.2">
      <c r="A167" s="187"/>
      <c r="B167" s="301"/>
      <c r="C167" s="33"/>
      <c r="D167" s="176"/>
      <c r="E167" s="176"/>
      <c r="F167" s="176"/>
      <c r="G167" s="176"/>
      <c r="H167" s="184"/>
      <c r="I167" s="176"/>
      <c r="J167" s="176"/>
      <c r="K167" s="176"/>
      <c r="L167" s="176"/>
      <c r="M167" s="176"/>
      <c r="N167" s="176"/>
      <c r="O167" s="176">
        <f t="shared" si="47"/>
        <v>0</v>
      </c>
      <c r="P167" s="176"/>
      <c r="Q167" s="176"/>
      <c r="R167" s="176"/>
      <c r="S167" s="176"/>
      <c r="T167" s="176"/>
      <c r="U167" s="176">
        <f t="shared" si="48"/>
        <v>0</v>
      </c>
      <c r="V167" s="177"/>
      <c r="W167" s="178">
        <f t="shared" si="49"/>
        <v>0</v>
      </c>
      <c r="X167" s="183"/>
    </row>
    <row r="168" spans="1:24" ht="20.100000000000001" hidden="1" customHeight="1" x14ac:dyDescent="0.2">
      <c r="A168" s="187"/>
      <c r="B168" s="301"/>
      <c r="C168" s="33"/>
      <c r="D168" s="176"/>
      <c r="E168" s="176"/>
      <c r="F168" s="176"/>
      <c r="G168" s="176"/>
      <c r="H168" s="184"/>
      <c r="I168" s="176"/>
      <c r="J168" s="176"/>
      <c r="K168" s="176"/>
      <c r="L168" s="176"/>
      <c r="M168" s="176"/>
      <c r="N168" s="176"/>
      <c r="O168" s="176">
        <f t="shared" si="47"/>
        <v>0</v>
      </c>
      <c r="P168" s="176"/>
      <c r="Q168" s="176"/>
      <c r="R168" s="176"/>
      <c r="S168" s="176"/>
      <c r="T168" s="176"/>
      <c r="U168" s="176">
        <f t="shared" si="48"/>
        <v>0</v>
      </c>
      <c r="V168" s="177"/>
      <c r="W168" s="178">
        <f t="shared" si="49"/>
        <v>0</v>
      </c>
      <c r="X168" s="183"/>
    </row>
    <row r="169" spans="1:24" ht="20.100000000000001" hidden="1" customHeight="1" x14ac:dyDescent="0.2">
      <c r="A169" s="40"/>
      <c r="B169" s="50"/>
      <c r="C169" s="33"/>
      <c r="D169" s="176"/>
      <c r="E169" s="176"/>
      <c r="F169" s="176"/>
      <c r="G169" s="176"/>
      <c r="H169" s="184"/>
      <c r="I169" s="176"/>
      <c r="J169" s="176"/>
      <c r="K169" s="176"/>
      <c r="L169" s="176"/>
      <c r="M169" s="176"/>
      <c r="N169" s="176"/>
      <c r="O169" s="176">
        <f t="shared" si="47"/>
        <v>0</v>
      </c>
      <c r="P169" s="176"/>
      <c r="Q169" s="176"/>
      <c r="R169" s="176"/>
      <c r="S169" s="176"/>
      <c r="T169" s="176"/>
      <c r="U169" s="176">
        <f t="shared" si="48"/>
        <v>0</v>
      </c>
      <c r="V169" s="177"/>
      <c r="W169" s="178">
        <f t="shared" si="49"/>
        <v>0</v>
      </c>
      <c r="X169" s="183"/>
    </row>
    <row r="170" spans="1:24" ht="20.100000000000001" hidden="1" customHeight="1" x14ac:dyDescent="0.2">
      <c r="A170" s="40"/>
      <c r="B170" s="50"/>
      <c r="C170" s="33"/>
      <c r="D170" s="176"/>
      <c r="E170" s="176"/>
      <c r="F170" s="176"/>
      <c r="G170" s="176"/>
      <c r="H170" s="184"/>
      <c r="I170" s="176"/>
      <c r="J170" s="176"/>
      <c r="K170" s="176"/>
      <c r="L170" s="176"/>
      <c r="M170" s="176"/>
      <c r="N170" s="176"/>
      <c r="O170" s="176">
        <f t="shared" si="47"/>
        <v>0</v>
      </c>
      <c r="P170" s="176"/>
      <c r="Q170" s="176"/>
      <c r="R170" s="176"/>
      <c r="S170" s="176"/>
      <c r="T170" s="176"/>
      <c r="U170" s="176">
        <f t="shared" si="48"/>
        <v>0</v>
      </c>
      <c r="V170" s="177"/>
      <c r="W170" s="178">
        <f t="shared" si="49"/>
        <v>0</v>
      </c>
      <c r="X170" s="183"/>
    </row>
    <row r="171" spans="1:24" ht="20.100000000000001" hidden="1" customHeight="1" x14ac:dyDescent="0.2">
      <c r="A171" s="40"/>
      <c r="B171" s="50"/>
      <c r="C171" s="33"/>
      <c r="D171" s="176"/>
      <c r="E171" s="176"/>
      <c r="F171" s="176"/>
      <c r="G171" s="176"/>
      <c r="H171" s="184"/>
      <c r="I171" s="176"/>
      <c r="J171" s="176"/>
      <c r="K171" s="176"/>
      <c r="L171" s="176"/>
      <c r="M171" s="176"/>
      <c r="N171" s="176"/>
      <c r="O171" s="176">
        <f t="shared" si="47"/>
        <v>0</v>
      </c>
      <c r="P171" s="176"/>
      <c r="Q171" s="176"/>
      <c r="R171" s="176"/>
      <c r="S171" s="176"/>
      <c r="T171" s="176"/>
      <c r="U171" s="176">
        <f t="shared" si="48"/>
        <v>0</v>
      </c>
      <c r="V171" s="177"/>
      <c r="W171" s="178">
        <f t="shared" si="49"/>
        <v>0</v>
      </c>
      <c r="X171" s="183"/>
    </row>
    <row r="172" spans="1:24" ht="20.100000000000001" hidden="1" customHeight="1" x14ac:dyDescent="0.2">
      <c r="A172" s="40"/>
      <c r="B172" s="50"/>
      <c r="C172" s="33"/>
      <c r="D172" s="176"/>
      <c r="E172" s="176"/>
      <c r="F172" s="176"/>
      <c r="G172" s="176"/>
      <c r="H172" s="184"/>
      <c r="I172" s="176"/>
      <c r="J172" s="176"/>
      <c r="K172" s="176"/>
      <c r="L172" s="176"/>
      <c r="M172" s="176"/>
      <c r="N172" s="176"/>
      <c r="O172" s="176">
        <f t="shared" si="47"/>
        <v>0</v>
      </c>
      <c r="P172" s="176"/>
      <c r="Q172" s="176"/>
      <c r="R172" s="176"/>
      <c r="S172" s="176"/>
      <c r="T172" s="176"/>
      <c r="U172" s="176">
        <f t="shared" si="48"/>
        <v>0</v>
      </c>
      <c r="V172" s="177"/>
      <c r="W172" s="178">
        <f t="shared" si="49"/>
        <v>0</v>
      </c>
      <c r="X172" s="183"/>
    </row>
    <row r="173" spans="1:24" ht="20.100000000000001" hidden="1" customHeight="1" x14ac:dyDescent="0.2">
      <c r="A173" s="40"/>
      <c r="B173" s="50"/>
      <c r="C173" s="33"/>
      <c r="D173" s="176"/>
      <c r="E173" s="176"/>
      <c r="F173" s="176"/>
      <c r="G173" s="176"/>
      <c r="H173" s="184"/>
      <c r="I173" s="176"/>
      <c r="J173" s="176"/>
      <c r="K173" s="176"/>
      <c r="L173" s="176"/>
      <c r="M173" s="176"/>
      <c r="N173" s="176"/>
      <c r="O173" s="176">
        <f t="shared" si="47"/>
        <v>0</v>
      </c>
      <c r="P173" s="176"/>
      <c r="Q173" s="176"/>
      <c r="R173" s="176"/>
      <c r="S173" s="176"/>
      <c r="T173" s="176"/>
      <c r="U173" s="176">
        <f t="shared" si="48"/>
        <v>0</v>
      </c>
      <c r="V173" s="177"/>
      <c r="W173" s="178">
        <f t="shared" si="49"/>
        <v>0</v>
      </c>
      <c r="X173" s="183"/>
    </row>
    <row r="174" spans="1:24" ht="20.100000000000001" hidden="1" customHeight="1" x14ac:dyDescent="0.2">
      <c r="A174" s="40"/>
      <c r="B174" s="50"/>
      <c r="C174" s="33"/>
      <c r="D174" s="176"/>
      <c r="E174" s="176"/>
      <c r="F174" s="176"/>
      <c r="G174" s="176"/>
      <c r="H174" s="184"/>
      <c r="I174" s="176"/>
      <c r="J174" s="176"/>
      <c r="K174" s="176"/>
      <c r="L174" s="176"/>
      <c r="M174" s="176"/>
      <c r="N174" s="176"/>
      <c r="O174" s="176"/>
      <c r="P174" s="176"/>
      <c r="Q174" s="176"/>
      <c r="R174" s="176"/>
      <c r="S174" s="176"/>
      <c r="T174" s="176"/>
      <c r="U174" s="176"/>
      <c r="V174" s="177"/>
      <c r="W174" s="178"/>
      <c r="X174" s="298"/>
    </row>
    <row r="175" spans="1:24" ht="20.100000000000001" hidden="1" customHeight="1" x14ac:dyDescent="0.2">
      <c r="A175" s="218" t="s">
        <v>96</v>
      </c>
      <c r="B175" s="214"/>
      <c r="C175" s="219" t="s">
        <v>94</v>
      </c>
      <c r="D175" s="176">
        <f t="shared" ref="D175:X175" si="50">SUM(D156:D174)</f>
        <v>0</v>
      </c>
      <c r="E175" s="176">
        <f t="shared" si="50"/>
        <v>0</v>
      </c>
      <c r="F175" s="176">
        <f t="shared" si="50"/>
        <v>0</v>
      </c>
      <c r="G175" s="176">
        <f t="shared" si="50"/>
        <v>0</v>
      </c>
      <c r="H175" s="176">
        <f t="shared" si="50"/>
        <v>0</v>
      </c>
      <c r="I175" s="176">
        <f t="shared" si="50"/>
        <v>0</v>
      </c>
      <c r="J175" s="176">
        <f t="shared" si="50"/>
        <v>0</v>
      </c>
      <c r="K175" s="176">
        <f t="shared" si="50"/>
        <v>0</v>
      </c>
      <c r="L175" s="176">
        <f t="shared" si="50"/>
        <v>0</v>
      </c>
      <c r="M175" s="176">
        <f t="shared" si="50"/>
        <v>0</v>
      </c>
      <c r="N175" s="176">
        <f t="shared" si="50"/>
        <v>0</v>
      </c>
      <c r="O175" s="176">
        <f t="shared" si="50"/>
        <v>0</v>
      </c>
      <c r="P175" s="176"/>
      <c r="Q175" s="176">
        <f t="shared" si="50"/>
        <v>0</v>
      </c>
      <c r="R175" s="176">
        <f t="shared" si="50"/>
        <v>0</v>
      </c>
      <c r="S175" s="176">
        <f t="shared" si="50"/>
        <v>0</v>
      </c>
      <c r="T175" s="176">
        <f t="shared" si="50"/>
        <v>0</v>
      </c>
      <c r="U175" s="176">
        <f t="shared" si="50"/>
        <v>0</v>
      </c>
      <c r="V175" s="176"/>
      <c r="W175" s="273">
        <f t="shared" si="50"/>
        <v>0</v>
      </c>
      <c r="X175" s="183">
        <f t="shared" si="50"/>
        <v>0</v>
      </c>
    </row>
    <row r="176" spans="1:24" ht="20.100000000000001" hidden="1" customHeight="1" x14ac:dyDescent="0.2">
      <c r="A176" s="40"/>
      <c r="B176" s="50"/>
      <c r="C176" s="33"/>
      <c r="D176" s="176"/>
      <c r="E176" s="176"/>
      <c r="F176" s="176"/>
      <c r="G176" s="176"/>
      <c r="H176" s="184"/>
      <c r="I176" s="176"/>
      <c r="J176" s="176"/>
      <c r="K176" s="176"/>
      <c r="L176" s="176"/>
      <c r="M176" s="176"/>
      <c r="N176" s="176"/>
      <c r="O176" s="176"/>
      <c r="P176" s="176"/>
      <c r="Q176" s="176"/>
      <c r="R176" s="176"/>
      <c r="S176" s="176"/>
      <c r="T176" s="176"/>
      <c r="U176" s="176"/>
      <c r="V176" s="177"/>
      <c r="W176" s="178"/>
      <c r="X176" s="298"/>
    </row>
    <row r="177" spans="1:25" ht="20.100000000000001" hidden="1" customHeight="1" x14ac:dyDescent="0.2">
      <c r="A177" s="187" t="s">
        <v>123</v>
      </c>
      <c r="B177" s="427"/>
      <c r="C177" s="28"/>
      <c r="D177" s="176"/>
      <c r="E177" s="176"/>
      <c r="F177" s="176"/>
      <c r="G177" s="176"/>
      <c r="H177" s="176"/>
      <c r="I177" s="176"/>
      <c r="J177" s="176"/>
      <c r="K177" s="176"/>
      <c r="M177" s="176"/>
      <c r="N177" s="176"/>
      <c r="O177" s="176">
        <f>SUM(D177:N177)</f>
        <v>0</v>
      </c>
      <c r="P177" s="176"/>
      <c r="Q177" s="176"/>
      <c r="R177" s="176"/>
      <c r="S177" s="176"/>
      <c r="T177" s="176"/>
      <c r="U177" s="176">
        <f>SUM(Q177:T177)</f>
        <v>0</v>
      </c>
      <c r="V177" s="176"/>
      <c r="W177" s="178">
        <f>O177+U177</f>
        <v>0</v>
      </c>
      <c r="X177" s="289"/>
    </row>
    <row r="178" spans="1:25" ht="20.100000000000001" hidden="1" customHeight="1" x14ac:dyDescent="0.2">
      <c r="A178" s="187" t="s">
        <v>123</v>
      </c>
      <c r="B178" s="237"/>
      <c r="C178" s="28"/>
      <c r="D178" s="176"/>
      <c r="E178" s="176"/>
      <c r="F178" s="176"/>
      <c r="G178" s="176"/>
      <c r="H178" s="176"/>
      <c r="I178" s="176"/>
      <c r="J178" s="176"/>
      <c r="K178" s="176"/>
      <c r="L178" s="176"/>
      <c r="M178" s="176"/>
      <c r="N178" s="176"/>
      <c r="O178" s="176">
        <f>SUM(D178:N178)</f>
        <v>0</v>
      </c>
      <c r="P178" s="176"/>
      <c r="Q178" s="176"/>
      <c r="R178" s="176"/>
      <c r="S178" s="176"/>
      <c r="T178" s="176"/>
      <c r="U178" s="176">
        <f>SUM(Q178:T178)</f>
        <v>0</v>
      </c>
      <c r="V178" s="176"/>
      <c r="W178" s="178">
        <f>O178+U178</f>
        <v>0</v>
      </c>
      <c r="X178" s="183"/>
    </row>
    <row r="179" spans="1:25" ht="20.100000000000001" hidden="1" customHeight="1" x14ac:dyDescent="0.2">
      <c r="A179" s="40"/>
      <c r="B179" s="31"/>
      <c r="C179" s="41"/>
      <c r="D179" s="176"/>
      <c r="E179" s="176"/>
      <c r="F179" s="176"/>
      <c r="G179" s="176"/>
      <c r="H179" s="176"/>
      <c r="I179" s="176"/>
      <c r="J179" s="176"/>
      <c r="K179" s="176"/>
      <c r="L179" s="176"/>
      <c r="M179" s="176"/>
      <c r="N179" s="176"/>
      <c r="O179" s="176">
        <f>SUM(D179:N179)</f>
        <v>0</v>
      </c>
      <c r="P179" s="176"/>
      <c r="Q179" s="176"/>
      <c r="R179" s="176"/>
      <c r="S179" s="176"/>
      <c r="T179" s="176"/>
      <c r="U179" s="176">
        <f>SUM(Q179:T179)</f>
        <v>0</v>
      </c>
      <c r="V179" s="176"/>
      <c r="W179" s="178">
        <f>O179+U179</f>
        <v>0</v>
      </c>
      <c r="X179" s="289"/>
    </row>
    <row r="180" spans="1:25" ht="20.100000000000001" hidden="1" customHeight="1" x14ac:dyDescent="0.2">
      <c r="A180" s="40"/>
      <c r="B180" s="126"/>
      <c r="C180" s="41"/>
      <c r="D180" s="176"/>
      <c r="E180" s="176"/>
      <c r="F180" s="176"/>
      <c r="G180" s="176"/>
      <c r="H180" s="176"/>
      <c r="I180" s="176"/>
      <c r="J180" s="176"/>
      <c r="K180" s="176"/>
      <c r="L180" s="176"/>
      <c r="M180" s="176"/>
      <c r="N180" s="176"/>
      <c r="O180" s="176">
        <f>SUM(D180:N180)</f>
        <v>0</v>
      </c>
      <c r="P180" s="176"/>
      <c r="Q180" s="176"/>
      <c r="R180" s="176"/>
      <c r="S180" s="176"/>
      <c r="T180" s="176"/>
      <c r="U180" s="176">
        <f>SUM(Q180:T180)</f>
        <v>0</v>
      </c>
      <c r="V180" s="176"/>
      <c r="W180" s="178">
        <f>O180+U180</f>
        <v>0</v>
      </c>
      <c r="X180" s="289"/>
    </row>
    <row r="181" spans="1:25" ht="20.100000000000001" hidden="1" customHeight="1" x14ac:dyDescent="0.2">
      <c r="A181" s="40"/>
      <c r="B181" s="126"/>
      <c r="C181" s="41"/>
      <c r="D181" s="176"/>
      <c r="E181" s="176"/>
      <c r="F181" s="176"/>
      <c r="G181" s="176"/>
      <c r="H181" s="176"/>
      <c r="I181" s="176"/>
      <c r="J181" s="176"/>
      <c r="K181" s="176"/>
      <c r="L181" s="176"/>
      <c r="M181" s="176"/>
      <c r="N181" s="176"/>
      <c r="O181" s="176"/>
      <c r="P181" s="176"/>
      <c r="Q181" s="176"/>
      <c r="R181" s="176"/>
      <c r="S181" s="176"/>
      <c r="T181" s="176"/>
      <c r="U181" s="176"/>
      <c r="V181" s="176"/>
      <c r="W181" s="178"/>
      <c r="X181" s="290"/>
    </row>
    <row r="182" spans="1:25" ht="20.100000000000001" hidden="1" customHeight="1" x14ac:dyDescent="0.2">
      <c r="A182" s="218" t="s">
        <v>97</v>
      </c>
      <c r="B182" s="214"/>
      <c r="C182" s="219" t="s">
        <v>95</v>
      </c>
      <c r="D182" s="176">
        <f t="shared" ref="D182:U182" si="51">SUM(D177:D181)</f>
        <v>0</v>
      </c>
      <c r="E182" s="176">
        <f t="shared" si="51"/>
        <v>0</v>
      </c>
      <c r="F182" s="176">
        <f t="shared" si="51"/>
        <v>0</v>
      </c>
      <c r="G182" s="176">
        <f t="shared" si="51"/>
        <v>0</v>
      </c>
      <c r="H182" s="176">
        <f t="shared" si="51"/>
        <v>0</v>
      </c>
      <c r="I182" s="176">
        <f t="shared" si="51"/>
        <v>0</v>
      </c>
      <c r="J182" s="176">
        <f t="shared" si="51"/>
        <v>0</v>
      </c>
      <c r="K182" s="176">
        <f t="shared" si="51"/>
        <v>0</v>
      </c>
      <c r="L182" s="176">
        <f t="shared" si="51"/>
        <v>0</v>
      </c>
      <c r="M182" s="176">
        <f t="shared" si="51"/>
        <v>0</v>
      </c>
      <c r="N182" s="176">
        <f>SUM(N177:N181)</f>
        <v>0</v>
      </c>
      <c r="O182" s="176">
        <f t="shared" si="51"/>
        <v>0</v>
      </c>
      <c r="P182" s="176"/>
      <c r="Q182" s="176">
        <f>SUM(Q177:Q181)</f>
        <v>0</v>
      </c>
      <c r="R182" s="176">
        <f>SUM(R177:R181)</f>
        <v>0</v>
      </c>
      <c r="S182" s="176">
        <f t="shared" si="51"/>
        <v>0</v>
      </c>
      <c r="T182" s="176">
        <f t="shared" si="51"/>
        <v>0</v>
      </c>
      <c r="U182" s="176">
        <f t="shared" si="51"/>
        <v>0</v>
      </c>
      <c r="V182" s="176"/>
      <c r="W182" s="273">
        <f>SUM(W177:W181)</f>
        <v>0</v>
      </c>
      <c r="X182" s="273">
        <f>SUM(X177:X181)</f>
        <v>0</v>
      </c>
    </row>
    <row r="183" spans="1:25" ht="20.100000000000001" hidden="1" customHeight="1" x14ac:dyDescent="0.2">
      <c r="A183" s="40"/>
      <c r="B183" s="126"/>
      <c r="C183" s="41"/>
      <c r="D183" s="176"/>
      <c r="E183" s="176"/>
      <c r="F183" s="176"/>
      <c r="G183" s="176"/>
      <c r="H183" s="176"/>
      <c r="I183" s="176"/>
      <c r="J183" s="176"/>
      <c r="K183" s="176"/>
      <c r="L183" s="176"/>
      <c r="M183" s="176"/>
      <c r="N183" s="176"/>
      <c r="O183" s="176"/>
      <c r="P183" s="176"/>
      <c r="Q183" s="176"/>
      <c r="R183" s="176"/>
      <c r="S183" s="176"/>
      <c r="T183" s="176"/>
      <c r="U183" s="176"/>
      <c r="V183" s="176"/>
      <c r="W183" s="178"/>
      <c r="X183" s="289"/>
    </row>
    <row r="184" spans="1:25" ht="20.100000000000001" hidden="1" customHeight="1" thickBot="1" x14ac:dyDescent="0.25">
      <c r="A184" s="40"/>
      <c r="B184" s="32"/>
      <c r="C184" s="34"/>
      <c r="D184" s="176"/>
      <c r="E184" s="176"/>
      <c r="F184" s="176"/>
      <c r="G184" s="176"/>
      <c r="H184" s="176"/>
      <c r="I184" s="176"/>
      <c r="J184" s="176"/>
      <c r="K184" s="176"/>
      <c r="L184" s="176"/>
      <c r="M184" s="176"/>
      <c r="N184" s="176"/>
      <c r="O184" s="176"/>
      <c r="P184" s="176"/>
      <c r="Q184" s="176"/>
      <c r="R184" s="176"/>
      <c r="S184" s="176"/>
      <c r="T184" s="176"/>
      <c r="U184" s="176"/>
      <c r="V184" s="176"/>
      <c r="W184" s="178"/>
      <c r="X184" s="289"/>
    </row>
    <row r="185" spans="1:25" ht="24.75" hidden="1" customHeight="1" thickTop="1" thickBot="1" x14ac:dyDescent="0.25">
      <c r="A185" s="46"/>
      <c r="B185" s="272">
        <v>41639</v>
      </c>
      <c r="C185" s="44" t="s">
        <v>98</v>
      </c>
      <c r="D185" s="180">
        <f t="shared" ref="D185:U185" si="52">D175+D182</f>
        <v>0</v>
      </c>
      <c r="E185" s="180">
        <f t="shared" si="52"/>
        <v>0</v>
      </c>
      <c r="F185" s="180">
        <f t="shared" si="52"/>
        <v>0</v>
      </c>
      <c r="G185" s="180">
        <f t="shared" si="52"/>
        <v>0</v>
      </c>
      <c r="H185" s="180">
        <f t="shared" si="52"/>
        <v>0</v>
      </c>
      <c r="I185" s="180">
        <f t="shared" si="52"/>
        <v>0</v>
      </c>
      <c r="J185" s="180">
        <f t="shared" si="52"/>
        <v>0</v>
      </c>
      <c r="K185" s="180">
        <f t="shared" si="52"/>
        <v>0</v>
      </c>
      <c r="L185" s="180">
        <f t="shared" si="52"/>
        <v>0</v>
      </c>
      <c r="M185" s="180">
        <f t="shared" si="52"/>
        <v>0</v>
      </c>
      <c r="N185" s="180">
        <f t="shared" si="52"/>
        <v>0</v>
      </c>
      <c r="O185" s="180">
        <f t="shared" si="52"/>
        <v>0</v>
      </c>
      <c r="P185" s="180"/>
      <c r="Q185" s="180">
        <f>Q175+Q182</f>
        <v>0</v>
      </c>
      <c r="R185" s="180">
        <f>R175+R182</f>
        <v>0</v>
      </c>
      <c r="S185" s="180">
        <f t="shared" si="52"/>
        <v>0</v>
      </c>
      <c r="T185" s="180">
        <f t="shared" si="52"/>
        <v>0</v>
      </c>
      <c r="U185" s="180">
        <f t="shared" si="52"/>
        <v>0</v>
      </c>
      <c r="V185" s="180"/>
      <c r="W185" s="181">
        <f>W175+W182</f>
        <v>0</v>
      </c>
      <c r="X185" s="291">
        <f>X175+X182</f>
        <v>0</v>
      </c>
    </row>
    <row r="186" spans="1:25" ht="24.75" hidden="1" customHeight="1" thickTop="1" thickBot="1" x14ac:dyDescent="0.25">
      <c r="A186" s="42"/>
      <c r="B186" s="43" t="s">
        <v>128</v>
      </c>
      <c r="C186" s="44" t="s">
        <v>166</v>
      </c>
      <c r="D186" s="212">
        <f t="shared" ref="D186:U186" si="53">D155+D185</f>
        <v>0</v>
      </c>
      <c r="E186" s="212">
        <f t="shared" si="53"/>
        <v>0</v>
      </c>
      <c r="F186" s="212">
        <f t="shared" si="53"/>
        <v>85852.679000000004</v>
      </c>
      <c r="G186" s="212">
        <f t="shared" si="53"/>
        <v>12380</v>
      </c>
      <c r="H186" s="212">
        <f t="shared" si="53"/>
        <v>18109</v>
      </c>
      <c r="I186" s="212">
        <f t="shared" si="53"/>
        <v>0</v>
      </c>
      <c r="J186" s="212">
        <f t="shared" si="53"/>
        <v>0</v>
      </c>
      <c r="K186" s="212">
        <f t="shared" si="53"/>
        <v>0</v>
      </c>
      <c r="L186" s="212">
        <f t="shared" si="53"/>
        <v>0</v>
      </c>
      <c r="M186" s="212">
        <f t="shared" si="53"/>
        <v>1800</v>
      </c>
      <c r="N186" s="212">
        <f t="shared" si="53"/>
        <v>0</v>
      </c>
      <c r="O186" s="212">
        <f t="shared" si="53"/>
        <v>118141.679</v>
      </c>
      <c r="P186" s="212"/>
      <c r="Q186" s="212">
        <f t="shared" si="53"/>
        <v>0</v>
      </c>
      <c r="R186" s="212">
        <f t="shared" si="53"/>
        <v>298414</v>
      </c>
      <c r="S186" s="212">
        <f t="shared" si="53"/>
        <v>0</v>
      </c>
      <c r="T186" s="212">
        <f t="shared" si="53"/>
        <v>0</v>
      </c>
      <c r="U186" s="212">
        <f t="shared" si="53"/>
        <v>298414</v>
      </c>
      <c r="V186" s="212"/>
      <c r="W186" s="181">
        <f>O186+U186</f>
        <v>416555.679</v>
      </c>
      <c r="X186" s="291">
        <f>X154+X185</f>
        <v>2635196.0010000002</v>
      </c>
    </row>
    <row r="187" spans="1:25" ht="24.95" customHeight="1" thickTop="1" x14ac:dyDescent="0.25">
      <c r="D187" s="175"/>
      <c r="E187" s="175"/>
      <c r="F187" s="175"/>
      <c r="G187" s="175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  <c r="R187" s="175"/>
      <c r="S187" s="175"/>
      <c r="T187" s="175"/>
      <c r="U187" s="175"/>
      <c r="V187" s="175"/>
      <c r="W187" s="175"/>
    </row>
    <row r="188" spans="1:25" ht="24.95" customHeight="1" thickBot="1" x14ac:dyDescent="0.3"/>
    <row r="189" spans="1:25" ht="24.95" customHeight="1" thickTop="1" thickBot="1" x14ac:dyDescent="0.3">
      <c r="C189" s="305" t="s">
        <v>107</v>
      </c>
      <c r="D189" s="304">
        <v>0</v>
      </c>
      <c r="E189" s="304">
        <v>0</v>
      </c>
      <c r="F189" s="304">
        <v>92899</v>
      </c>
      <c r="G189" s="304">
        <v>5595</v>
      </c>
      <c r="H189" s="304">
        <v>26414</v>
      </c>
      <c r="I189" s="304">
        <v>0</v>
      </c>
      <c r="J189" s="304">
        <v>0</v>
      </c>
      <c r="K189" s="304">
        <v>0</v>
      </c>
      <c r="L189" s="304">
        <v>0</v>
      </c>
      <c r="M189" s="304">
        <v>1800</v>
      </c>
      <c r="N189" s="304">
        <v>0</v>
      </c>
      <c r="O189" s="304">
        <v>126708</v>
      </c>
      <c r="P189" s="304"/>
      <c r="Q189" s="304">
        <v>0</v>
      </c>
      <c r="R189" s="304">
        <v>298414</v>
      </c>
      <c r="S189" s="304">
        <v>0</v>
      </c>
      <c r="T189" s="304">
        <v>0</v>
      </c>
      <c r="U189" s="304">
        <v>298414</v>
      </c>
      <c r="V189" s="304"/>
      <c r="W189" s="304">
        <v>425122</v>
      </c>
      <c r="X189" s="304">
        <v>2635196</v>
      </c>
      <c r="Y189" s="29"/>
    </row>
    <row r="190" spans="1:25" ht="24.95" customHeight="1" thickTop="1" x14ac:dyDescent="0.25"/>
    <row r="191" spans="1:25" ht="24.95" customHeight="1" x14ac:dyDescent="0.25"/>
    <row r="192" spans="1:25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  <row r="257" ht="24.95" customHeight="1" x14ac:dyDescent="0.25"/>
    <row r="258" ht="24.95" customHeight="1" x14ac:dyDescent="0.25"/>
    <row r="259" ht="24.95" customHeight="1" x14ac:dyDescent="0.25"/>
    <row r="260" ht="24.95" customHeight="1" x14ac:dyDescent="0.25"/>
    <row r="261" ht="24.95" customHeight="1" x14ac:dyDescent="0.25"/>
    <row r="262" ht="24.95" customHeight="1" x14ac:dyDescent="0.25"/>
    <row r="263" ht="24.95" customHeight="1" x14ac:dyDescent="0.25"/>
    <row r="264" ht="24.95" customHeight="1" x14ac:dyDescent="0.25"/>
    <row r="265" ht="24.95" customHeight="1" x14ac:dyDescent="0.25"/>
    <row r="266" ht="24.95" customHeight="1" x14ac:dyDescent="0.25"/>
    <row r="267" ht="24.95" customHeight="1" x14ac:dyDescent="0.25"/>
    <row r="268" ht="24.95" customHeight="1" x14ac:dyDescent="0.25"/>
    <row r="269" ht="24.95" customHeight="1" x14ac:dyDescent="0.25"/>
    <row r="270" ht="24.95" customHeight="1" x14ac:dyDescent="0.25"/>
    <row r="271" ht="24.95" customHeight="1" x14ac:dyDescent="0.25"/>
    <row r="272" ht="24.95" customHeight="1" x14ac:dyDescent="0.25"/>
    <row r="273" ht="24.95" customHeight="1" x14ac:dyDescent="0.25"/>
    <row r="274" ht="24.95" customHeight="1" x14ac:dyDescent="0.25"/>
    <row r="275" ht="24.95" customHeight="1" x14ac:dyDescent="0.25"/>
    <row r="276" ht="24.95" customHeight="1" x14ac:dyDescent="0.25"/>
    <row r="277" ht="24.95" customHeight="1" x14ac:dyDescent="0.25"/>
    <row r="278" ht="24.95" customHeight="1" x14ac:dyDescent="0.25"/>
    <row r="279" ht="24.95" customHeight="1" x14ac:dyDescent="0.25"/>
    <row r="280" ht="24.95" customHeight="1" x14ac:dyDescent="0.25"/>
    <row r="281" ht="24.95" customHeight="1" x14ac:dyDescent="0.25"/>
    <row r="282" ht="24.95" customHeight="1" x14ac:dyDescent="0.25"/>
    <row r="283" ht="24.95" customHeight="1" x14ac:dyDescent="0.25"/>
    <row r="284" ht="24.95" customHeight="1" x14ac:dyDescent="0.25"/>
    <row r="285" ht="24.95" customHeight="1" x14ac:dyDescent="0.25"/>
    <row r="286" ht="24.95" customHeight="1" x14ac:dyDescent="0.25"/>
    <row r="287" ht="24.95" customHeight="1" x14ac:dyDescent="0.25"/>
    <row r="288" ht="24.95" customHeight="1" x14ac:dyDescent="0.25"/>
    <row r="289" ht="24.95" customHeight="1" x14ac:dyDescent="0.25"/>
    <row r="290" ht="24.95" customHeight="1" x14ac:dyDescent="0.25"/>
    <row r="291" ht="24.95" customHeight="1" x14ac:dyDescent="0.25"/>
    <row r="292" ht="24.95" customHeight="1" x14ac:dyDescent="0.25"/>
    <row r="293" ht="24.95" customHeight="1" x14ac:dyDescent="0.25"/>
    <row r="294" ht="24.95" customHeight="1" x14ac:dyDescent="0.25"/>
    <row r="295" ht="24.95" customHeight="1" x14ac:dyDescent="0.25"/>
    <row r="296" ht="24.95" customHeight="1" x14ac:dyDescent="0.25"/>
    <row r="297" ht="24.95" customHeight="1" x14ac:dyDescent="0.25"/>
    <row r="298" ht="24.95" customHeight="1" x14ac:dyDescent="0.25"/>
    <row r="299" ht="24.95" customHeight="1" x14ac:dyDescent="0.25"/>
    <row r="483" spans="9:9" x14ac:dyDescent="0.25">
      <c r="I483" s="52">
        <f>-10437-1367-86-236+13-6357-200+31+71-310-1500-799-55-443-3970</f>
        <v>-25645</v>
      </c>
    </row>
  </sheetData>
  <mergeCells count="5">
    <mergeCell ref="A2:X2"/>
    <mergeCell ref="A4:X4"/>
    <mergeCell ref="D7:F7"/>
    <mergeCell ref="J7:K7"/>
    <mergeCell ref="Q7:T7"/>
  </mergeCells>
  <phoneticPr fontId="2" type="noConversion"/>
  <printOptions horizontalCentered="1" verticalCentered="1"/>
  <pageMargins left="0" right="0" top="0.31496062992125984" bottom="0.35433070866141736" header="7.874015748031496E-2" footer="7.874015748031496E-2"/>
  <pageSetup paperSize="9" scale="44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36"/>
  <sheetViews>
    <sheetView zoomScale="75" zoomScaleNormal="75" workbookViewId="0">
      <selection activeCell="D160" sqref="D160"/>
    </sheetView>
  </sheetViews>
  <sheetFormatPr defaultRowHeight="16.5" x14ac:dyDescent="0.25"/>
  <cols>
    <col min="1" max="1" width="5.5703125" style="93" customWidth="1"/>
    <col min="2" max="2" width="11.140625" style="1" hidden="1" customWidth="1"/>
    <col min="3" max="3" width="58.7109375" style="2" customWidth="1"/>
    <col min="4" max="4" width="13.28515625" style="2" customWidth="1"/>
    <col min="5" max="5" width="13.85546875" style="2" customWidth="1"/>
    <col min="6" max="6" width="12.7109375" style="2" customWidth="1"/>
    <col min="7" max="7" width="13.85546875" style="2" customWidth="1"/>
    <col min="8" max="8" width="12.28515625" style="2" customWidth="1"/>
    <col min="9" max="9" width="12.7109375" style="2" customWidth="1"/>
    <col min="10" max="11" width="12.28515625" style="2" customWidth="1"/>
    <col min="12" max="18" width="12.7109375" style="2" customWidth="1"/>
    <col min="19" max="19" width="1.7109375" style="2" customWidth="1"/>
    <col min="20" max="24" width="12.7109375" style="2" customWidth="1"/>
    <col min="25" max="25" width="18.28515625" style="53" customWidth="1"/>
    <col min="26" max="26" width="16.28515625" style="53" customWidth="1"/>
    <col min="27" max="29" width="10.42578125" style="53" customWidth="1"/>
    <col min="30" max="30" width="12.28515625" style="53" customWidth="1"/>
    <col min="31" max="31" width="14" style="53" customWidth="1"/>
    <col min="32" max="32" width="12.28515625" style="53" customWidth="1"/>
    <col min="33" max="34" width="10.42578125" style="53" customWidth="1"/>
    <col min="35" max="35" width="12.28515625" style="53" customWidth="1"/>
    <col min="36" max="36" width="9.140625" style="53"/>
    <col min="37" max="38" width="10.42578125" style="53" customWidth="1"/>
    <col min="39" max="39" width="12.28515625" style="53" customWidth="1"/>
    <col min="40" max="40" width="12.7109375" style="53" customWidth="1"/>
    <col min="41" max="16384" width="9.140625" style="2"/>
  </cols>
  <sheetData>
    <row r="1" spans="1:40" x14ac:dyDescent="0.25">
      <c r="Y1" s="193" t="s">
        <v>103</v>
      </c>
    </row>
    <row r="2" spans="1:40" ht="18.75" x14ac:dyDescent="0.2">
      <c r="A2" s="655" t="s">
        <v>0</v>
      </c>
      <c r="B2" s="655"/>
      <c r="C2" s="655"/>
      <c r="D2" s="655"/>
      <c r="E2" s="655"/>
      <c r="F2" s="655"/>
      <c r="G2" s="655"/>
      <c r="H2" s="655"/>
      <c r="I2" s="655"/>
      <c r="J2" s="655"/>
      <c r="K2" s="655"/>
      <c r="L2" s="655"/>
      <c r="M2" s="655"/>
      <c r="N2" s="655"/>
      <c r="O2" s="655"/>
      <c r="P2" s="655"/>
      <c r="Q2" s="655"/>
      <c r="R2" s="655"/>
      <c r="S2" s="655"/>
      <c r="T2" s="655"/>
      <c r="U2" s="655"/>
      <c r="V2" s="655"/>
      <c r="W2" s="655"/>
      <c r="X2" s="655"/>
      <c r="Y2" s="655"/>
    </row>
    <row r="3" spans="1:40" ht="18.75" x14ac:dyDescent="0.2">
      <c r="A3" s="486"/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</row>
    <row r="4" spans="1:40" ht="42" customHeight="1" x14ac:dyDescent="0.2">
      <c r="A4" s="656" t="s">
        <v>532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</row>
    <row r="5" spans="1:40" ht="24.95" customHeight="1" x14ac:dyDescent="0.2">
      <c r="A5" s="487"/>
      <c r="B5" s="486"/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/>
      <c r="W5" s="486"/>
      <c r="X5" s="486"/>
      <c r="Y5" s="486"/>
    </row>
    <row r="6" spans="1:40" ht="17.25" customHeight="1" thickBo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6" t="s">
        <v>1</v>
      </c>
    </row>
    <row r="7" spans="1:40" ht="17.25" thickBot="1" x14ac:dyDescent="0.3">
      <c r="A7" s="55"/>
      <c r="B7" s="8"/>
      <c r="C7" s="515"/>
      <c r="D7" s="665" t="s">
        <v>34</v>
      </c>
      <c r="E7" s="666"/>
      <c r="F7" s="666"/>
      <c r="G7" s="666"/>
      <c r="H7" s="666"/>
      <c r="I7" s="666"/>
      <c r="J7" s="666"/>
      <c r="K7" s="666"/>
      <c r="L7" s="666"/>
      <c r="M7" s="666"/>
      <c r="N7" s="666"/>
      <c r="O7" s="666"/>
      <c r="P7" s="666"/>
      <c r="Q7" s="666"/>
      <c r="R7" s="666"/>
      <c r="S7" s="666"/>
      <c r="T7" s="666"/>
      <c r="U7" s="666"/>
      <c r="V7" s="666"/>
      <c r="W7" s="666"/>
      <c r="X7" s="657"/>
      <c r="Y7" s="480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</row>
    <row r="8" spans="1:40" ht="17.25" customHeight="1" thickTop="1" x14ac:dyDescent="0.25">
      <c r="A8" s="57"/>
      <c r="B8" s="12"/>
      <c r="C8" s="13"/>
      <c r="D8" s="658" t="s">
        <v>189</v>
      </c>
      <c r="E8" s="659"/>
      <c r="F8" s="659"/>
      <c r="G8" s="659"/>
      <c r="H8" s="659"/>
      <c r="I8" s="659"/>
      <c r="J8" s="659"/>
      <c r="K8" s="660"/>
      <c r="L8" s="661" t="s">
        <v>190</v>
      </c>
      <c r="M8" s="662"/>
      <c r="N8" s="662"/>
      <c r="O8" s="662"/>
      <c r="P8" s="662"/>
      <c r="Q8" s="660"/>
      <c r="R8" s="503" t="s">
        <v>145</v>
      </c>
      <c r="S8" s="536"/>
      <c r="T8" s="661" t="s">
        <v>191</v>
      </c>
      <c r="U8" s="662"/>
      <c r="V8" s="662"/>
      <c r="W8" s="663"/>
      <c r="X8" s="507" t="s">
        <v>162</v>
      </c>
      <c r="Y8" s="101" t="s">
        <v>2</v>
      </c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56"/>
    </row>
    <row r="9" spans="1:40" x14ac:dyDescent="0.25">
      <c r="A9" s="18" t="s">
        <v>8</v>
      </c>
      <c r="B9" s="12"/>
      <c r="C9" s="13" t="s">
        <v>3</v>
      </c>
      <c r="D9" s="58"/>
      <c r="E9" s="210" t="s">
        <v>39</v>
      </c>
      <c r="F9" s="59"/>
      <c r="G9" s="59" t="s">
        <v>35</v>
      </c>
      <c r="H9" s="59" t="s">
        <v>131</v>
      </c>
      <c r="I9" s="59" t="s">
        <v>132</v>
      </c>
      <c r="J9" s="59" t="s">
        <v>132</v>
      </c>
      <c r="K9" s="210"/>
      <c r="L9" s="59"/>
      <c r="M9" s="59"/>
      <c r="N9" s="59" t="s">
        <v>4</v>
      </c>
      <c r="O9" s="59" t="s">
        <v>168</v>
      </c>
      <c r="P9" s="60" t="s">
        <v>169</v>
      </c>
      <c r="Q9" s="210" t="s">
        <v>4</v>
      </c>
      <c r="R9" s="504" t="s">
        <v>146</v>
      </c>
      <c r="S9" s="504"/>
      <c r="T9" s="17" t="s">
        <v>170</v>
      </c>
      <c r="U9" s="17" t="s">
        <v>171</v>
      </c>
      <c r="V9" s="17" t="s">
        <v>150</v>
      </c>
      <c r="W9" s="17" t="s">
        <v>172</v>
      </c>
      <c r="X9" s="508" t="s">
        <v>163</v>
      </c>
      <c r="Y9" s="102" t="s">
        <v>37</v>
      </c>
      <c r="Z9" s="4"/>
      <c r="AA9" s="4"/>
      <c r="AB9" s="4"/>
      <c r="AC9" s="4"/>
      <c r="AD9" s="4"/>
      <c r="AE9" s="4"/>
      <c r="AF9" s="4"/>
      <c r="AG9" s="4"/>
      <c r="AH9" s="654"/>
      <c r="AI9" s="654"/>
      <c r="AJ9" s="4"/>
      <c r="AK9" s="4"/>
      <c r="AL9" s="4"/>
      <c r="AM9" s="4"/>
      <c r="AN9" s="56"/>
    </row>
    <row r="10" spans="1:40" ht="16.5" customHeight="1" x14ac:dyDescent="0.25">
      <c r="A10" s="11"/>
      <c r="B10" s="12"/>
      <c r="C10" s="13" t="s">
        <v>9</v>
      </c>
      <c r="D10" s="59" t="s">
        <v>38</v>
      </c>
      <c r="E10" s="59" t="s">
        <v>84</v>
      </c>
      <c r="F10" s="59" t="s">
        <v>40</v>
      </c>
      <c r="G10" s="59" t="s">
        <v>41</v>
      </c>
      <c r="H10" s="59" t="s">
        <v>133</v>
      </c>
      <c r="I10" s="59" t="s">
        <v>86</v>
      </c>
      <c r="J10" s="59" t="s">
        <v>86</v>
      </c>
      <c r="K10" s="59" t="s">
        <v>44</v>
      </c>
      <c r="L10" s="59" t="s">
        <v>173</v>
      </c>
      <c r="M10" s="59" t="s">
        <v>174</v>
      </c>
      <c r="N10" s="59" t="s">
        <v>175</v>
      </c>
      <c r="O10" s="59" t="s">
        <v>176</v>
      </c>
      <c r="P10" s="59" t="s">
        <v>52</v>
      </c>
      <c r="Q10" s="59" t="s">
        <v>175</v>
      </c>
      <c r="R10" s="505" t="s">
        <v>42</v>
      </c>
      <c r="S10" s="505"/>
      <c r="T10" s="13" t="s">
        <v>177</v>
      </c>
      <c r="U10" s="13" t="s">
        <v>152</v>
      </c>
      <c r="V10" s="13" t="s">
        <v>154</v>
      </c>
      <c r="W10" s="13" t="s">
        <v>178</v>
      </c>
      <c r="X10" s="432" t="s">
        <v>42</v>
      </c>
      <c r="Y10" s="102" t="s">
        <v>12</v>
      </c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56"/>
    </row>
    <row r="11" spans="1:40" x14ac:dyDescent="0.25">
      <c r="A11" s="57"/>
      <c r="B11" s="12"/>
      <c r="C11" s="13" t="s">
        <v>13</v>
      </c>
      <c r="D11" s="59" t="s">
        <v>46</v>
      </c>
      <c r="E11" s="59" t="s">
        <v>51</v>
      </c>
      <c r="F11" s="59" t="s">
        <v>42</v>
      </c>
      <c r="G11" s="59" t="s">
        <v>47</v>
      </c>
      <c r="H11" s="59" t="s">
        <v>135</v>
      </c>
      <c r="I11" s="59" t="s">
        <v>136</v>
      </c>
      <c r="J11" s="59" t="s">
        <v>136</v>
      </c>
      <c r="K11" s="59"/>
      <c r="L11" s="59"/>
      <c r="M11" s="59"/>
      <c r="N11" s="59" t="s">
        <v>86</v>
      </c>
      <c r="O11" s="59" t="s">
        <v>48</v>
      </c>
      <c r="P11" s="59"/>
      <c r="Q11" s="59" t="s">
        <v>86</v>
      </c>
      <c r="R11" s="505" t="s">
        <v>12</v>
      </c>
      <c r="S11" s="505"/>
      <c r="T11" s="13" t="s">
        <v>179</v>
      </c>
      <c r="U11" s="13" t="s">
        <v>156</v>
      </c>
      <c r="V11" s="13" t="s">
        <v>180</v>
      </c>
      <c r="W11" s="13" t="s">
        <v>181</v>
      </c>
      <c r="X11" s="432" t="s">
        <v>12</v>
      </c>
      <c r="Y11" s="103" t="s">
        <v>209</v>
      </c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56"/>
    </row>
    <row r="12" spans="1:40" x14ac:dyDescent="0.25">
      <c r="A12" s="57"/>
      <c r="B12" s="12"/>
      <c r="C12" s="13"/>
      <c r="D12" s="61"/>
      <c r="E12" s="59" t="s">
        <v>85</v>
      </c>
      <c r="F12" s="59"/>
      <c r="G12" s="132"/>
      <c r="H12" s="62"/>
      <c r="I12" s="132" t="s">
        <v>182</v>
      </c>
      <c r="J12" s="132" t="s">
        <v>183</v>
      </c>
      <c r="K12" s="59"/>
      <c r="L12" s="62"/>
      <c r="M12" s="59"/>
      <c r="N12" s="59" t="s">
        <v>184</v>
      </c>
      <c r="O12" s="59" t="s">
        <v>185</v>
      </c>
      <c r="P12" s="59"/>
      <c r="Q12" s="59" t="s">
        <v>185</v>
      </c>
      <c r="R12" s="506" t="s">
        <v>207</v>
      </c>
      <c r="S12" s="506"/>
      <c r="T12" s="13" t="s">
        <v>186</v>
      </c>
      <c r="U12" s="13" t="s">
        <v>49</v>
      </c>
      <c r="V12" s="13" t="s">
        <v>187</v>
      </c>
      <c r="W12" s="13" t="s">
        <v>188</v>
      </c>
      <c r="X12" s="362" t="s">
        <v>208</v>
      </c>
      <c r="Y12" s="10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56"/>
    </row>
    <row r="13" spans="1:40" x14ac:dyDescent="0.25">
      <c r="A13" s="121"/>
      <c r="B13" s="114"/>
      <c r="C13" s="115"/>
      <c r="D13" s="116"/>
      <c r="E13" s="16"/>
      <c r="F13" s="16"/>
      <c r="G13" s="17"/>
      <c r="H13" s="122"/>
      <c r="I13" s="13"/>
      <c r="J13" s="17"/>
      <c r="K13" s="115"/>
      <c r="L13" s="122"/>
      <c r="M13" s="122"/>
      <c r="N13" s="122"/>
      <c r="O13" s="123"/>
      <c r="P13" s="115"/>
      <c r="Q13" s="115"/>
      <c r="R13" s="115"/>
      <c r="S13" s="115"/>
      <c r="T13" s="115"/>
      <c r="U13" s="115"/>
      <c r="V13" s="115"/>
      <c r="W13" s="124"/>
      <c r="X13" s="494"/>
      <c r="Y13" s="125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56"/>
    </row>
    <row r="14" spans="1:40" ht="18" customHeight="1" x14ac:dyDescent="0.25">
      <c r="A14" s="199">
        <v>1</v>
      </c>
      <c r="B14" s="228"/>
      <c r="C14" s="225">
        <v>2</v>
      </c>
      <c r="D14" s="225">
        <v>3</v>
      </c>
      <c r="E14" s="225">
        <v>4</v>
      </c>
      <c r="F14" s="225">
        <v>5</v>
      </c>
      <c r="G14" s="225">
        <v>6</v>
      </c>
      <c r="H14" s="225">
        <v>7</v>
      </c>
      <c r="I14" s="225">
        <v>8</v>
      </c>
      <c r="J14" s="225">
        <v>9</v>
      </c>
      <c r="K14" s="225">
        <v>10</v>
      </c>
      <c r="L14" s="225">
        <v>11</v>
      </c>
      <c r="M14" s="225">
        <v>12</v>
      </c>
      <c r="N14" s="225">
        <v>13</v>
      </c>
      <c r="O14" s="225">
        <v>14</v>
      </c>
      <c r="P14" s="225">
        <v>15</v>
      </c>
      <c r="Q14" s="225">
        <v>16</v>
      </c>
      <c r="R14" s="225">
        <v>17</v>
      </c>
      <c r="S14" s="225"/>
      <c r="T14" s="225">
        <v>18</v>
      </c>
      <c r="U14" s="225">
        <v>19</v>
      </c>
      <c r="V14" s="511">
        <v>20</v>
      </c>
      <c r="W14" s="225">
        <v>21</v>
      </c>
      <c r="X14" s="225">
        <v>22</v>
      </c>
      <c r="Y14" s="226">
        <v>23</v>
      </c>
      <c r="Z14" s="4"/>
      <c r="AA14" s="4"/>
      <c r="AB14" s="4"/>
      <c r="AC14" s="4"/>
      <c r="AD14" s="4"/>
      <c r="AE14" s="4"/>
      <c r="AF14" s="4"/>
      <c r="AG14" s="4"/>
      <c r="AH14" s="654"/>
      <c r="AI14" s="654"/>
      <c r="AJ14" s="4"/>
      <c r="AK14" s="4"/>
      <c r="AL14" s="4"/>
      <c r="AM14" s="4"/>
      <c r="AN14" s="4"/>
    </row>
    <row r="15" spans="1:40" s="67" customFormat="1" ht="19.5" hidden="1" customHeight="1" x14ac:dyDescent="0.3">
      <c r="A15" s="63"/>
      <c r="B15" s="156"/>
      <c r="C15" s="64" t="s">
        <v>74</v>
      </c>
      <c r="D15" s="157">
        <v>1393046</v>
      </c>
      <c r="E15" s="157">
        <v>412135</v>
      </c>
      <c r="F15" s="157">
        <v>565076</v>
      </c>
      <c r="G15" s="157">
        <v>140912</v>
      </c>
      <c r="H15" s="157">
        <v>0</v>
      </c>
      <c r="I15" s="157">
        <v>0</v>
      </c>
      <c r="J15" s="157">
        <v>0</v>
      </c>
      <c r="K15" s="157">
        <v>0</v>
      </c>
      <c r="L15" s="157">
        <v>132596</v>
      </c>
      <c r="M15" s="157">
        <v>3100</v>
      </c>
      <c r="N15" s="157">
        <v>0</v>
      </c>
      <c r="O15" s="157">
        <v>5000</v>
      </c>
      <c r="P15" s="157">
        <v>0</v>
      </c>
      <c r="Q15" s="157">
        <v>0</v>
      </c>
      <c r="R15" s="157">
        <f>SUM(D15:Q15)</f>
        <v>2651865</v>
      </c>
      <c r="S15" s="157"/>
      <c r="T15" s="157">
        <v>0</v>
      </c>
      <c r="U15" s="157">
        <v>0</v>
      </c>
      <c r="V15" s="158">
        <v>0</v>
      </c>
      <c r="W15" s="157">
        <v>0</v>
      </c>
      <c r="X15" s="158">
        <f>SUM(T15:W15)</f>
        <v>0</v>
      </c>
      <c r="Y15" s="159">
        <f>R15+X15</f>
        <v>2651865</v>
      </c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6"/>
    </row>
    <row r="16" spans="1:40" ht="20.100000000000001" hidden="1" customHeight="1" x14ac:dyDescent="0.25">
      <c r="A16" s="68"/>
      <c r="B16" s="140" t="s">
        <v>90</v>
      </c>
      <c r="C16" s="41" t="s">
        <v>114</v>
      </c>
      <c r="D16" s="71"/>
      <c r="E16" s="71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3"/>
      <c r="W16" s="72"/>
      <c r="X16" s="73"/>
      <c r="Y16" s="83">
        <f>SUM(D16:W16)</f>
        <v>0</v>
      </c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70"/>
    </row>
    <row r="17" spans="1:40" ht="20.100000000000001" hidden="1" customHeight="1" x14ac:dyDescent="0.25">
      <c r="A17" s="162"/>
      <c r="B17" s="27"/>
      <c r="C17" s="24" t="s">
        <v>18</v>
      </c>
      <c r="D17" s="157">
        <f t="shared" ref="D17:Y17" si="0">SUM(D15:D16)</f>
        <v>1393046</v>
      </c>
      <c r="E17" s="157">
        <f t="shared" si="0"/>
        <v>412135</v>
      </c>
      <c r="F17" s="157">
        <f t="shared" si="0"/>
        <v>565076</v>
      </c>
      <c r="G17" s="157">
        <f t="shared" si="0"/>
        <v>140912</v>
      </c>
      <c r="H17" s="157">
        <f t="shared" si="0"/>
        <v>0</v>
      </c>
      <c r="I17" s="157">
        <f t="shared" si="0"/>
        <v>0</v>
      </c>
      <c r="J17" s="157">
        <f t="shared" si="0"/>
        <v>0</v>
      </c>
      <c r="K17" s="157">
        <f t="shared" si="0"/>
        <v>0</v>
      </c>
      <c r="L17" s="157">
        <f t="shared" si="0"/>
        <v>132596</v>
      </c>
      <c r="M17" s="157">
        <f t="shared" si="0"/>
        <v>3100</v>
      </c>
      <c r="N17" s="157">
        <f t="shared" si="0"/>
        <v>0</v>
      </c>
      <c r="O17" s="157">
        <f t="shared" si="0"/>
        <v>5000</v>
      </c>
      <c r="P17" s="157">
        <f t="shared" si="0"/>
        <v>0</v>
      </c>
      <c r="Q17" s="157">
        <f t="shared" si="0"/>
        <v>0</v>
      </c>
      <c r="R17" s="157"/>
      <c r="S17" s="157"/>
      <c r="T17" s="157">
        <f t="shared" si="0"/>
        <v>0</v>
      </c>
      <c r="U17" s="157">
        <f t="shared" si="0"/>
        <v>0</v>
      </c>
      <c r="V17" s="158">
        <f t="shared" si="0"/>
        <v>0</v>
      </c>
      <c r="W17" s="157">
        <f t="shared" si="0"/>
        <v>0</v>
      </c>
      <c r="X17" s="158"/>
      <c r="Y17" s="159">
        <f t="shared" si="0"/>
        <v>2651865</v>
      </c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70"/>
    </row>
    <row r="18" spans="1:40" ht="30" hidden="1" customHeight="1" x14ac:dyDescent="0.25">
      <c r="A18" s="82"/>
      <c r="B18" s="140"/>
      <c r="C18" s="28"/>
      <c r="D18" s="72"/>
      <c r="E18" s="72"/>
      <c r="F18" s="73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>
        <f t="shared" ref="R18:R79" si="1">SUM(D18:Q18)</f>
        <v>0</v>
      </c>
      <c r="S18" s="72"/>
      <c r="T18" s="72"/>
      <c r="U18" s="72"/>
      <c r="V18" s="73"/>
      <c r="W18" s="72"/>
      <c r="X18" s="73">
        <f t="shared" ref="X18:X79" si="2">SUM(T18:W18)</f>
        <v>0</v>
      </c>
      <c r="Y18" s="83">
        <f t="shared" ref="Y18:Y79" si="3">R18+X18</f>
        <v>0</v>
      </c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70"/>
    </row>
    <row r="19" spans="1:40" ht="30" hidden="1" customHeight="1" x14ac:dyDescent="0.25">
      <c r="A19" s="82"/>
      <c r="B19" s="140"/>
      <c r="C19" s="28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>
        <f t="shared" si="1"/>
        <v>0</v>
      </c>
      <c r="S19" s="72"/>
      <c r="T19" s="72"/>
      <c r="U19" s="72"/>
      <c r="V19" s="73"/>
      <c r="W19" s="72"/>
      <c r="X19" s="73">
        <f t="shared" si="2"/>
        <v>0</v>
      </c>
      <c r="Y19" s="83">
        <f t="shared" si="3"/>
        <v>0</v>
      </c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70"/>
    </row>
    <row r="20" spans="1:40" ht="30" hidden="1" customHeight="1" x14ac:dyDescent="0.25">
      <c r="A20" s="82"/>
      <c r="B20" s="141"/>
      <c r="C20" s="28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>
        <f t="shared" si="1"/>
        <v>0</v>
      </c>
      <c r="S20" s="72"/>
      <c r="T20" s="72"/>
      <c r="U20" s="72"/>
      <c r="V20" s="73"/>
      <c r="W20" s="72"/>
      <c r="X20" s="73">
        <f t="shared" si="2"/>
        <v>0</v>
      </c>
      <c r="Y20" s="83">
        <f t="shared" si="3"/>
        <v>0</v>
      </c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70"/>
    </row>
    <row r="21" spans="1:40" ht="30" hidden="1" customHeight="1" x14ac:dyDescent="0.25">
      <c r="A21" s="82">
        <v>4</v>
      </c>
      <c r="B21" s="142"/>
      <c r="C21" s="33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>
        <f t="shared" si="1"/>
        <v>0</v>
      </c>
      <c r="S21" s="72"/>
      <c r="T21" s="72"/>
      <c r="U21" s="72"/>
      <c r="V21" s="73"/>
      <c r="W21" s="72"/>
      <c r="X21" s="73">
        <f t="shared" si="2"/>
        <v>0</v>
      </c>
      <c r="Y21" s="83">
        <f t="shared" si="3"/>
        <v>0</v>
      </c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70"/>
    </row>
    <row r="22" spans="1:40" ht="30" hidden="1" customHeight="1" x14ac:dyDescent="0.25">
      <c r="A22" s="82">
        <v>5</v>
      </c>
      <c r="B22" s="141"/>
      <c r="C22" s="28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>
        <f t="shared" si="1"/>
        <v>0</v>
      </c>
      <c r="S22" s="72"/>
      <c r="T22" s="72"/>
      <c r="U22" s="72"/>
      <c r="V22" s="73"/>
      <c r="W22" s="72"/>
      <c r="X22" s="73">
        <f t="shared" si="2"/>
        <v>0</v>
      </c>
      <c r="Y22" s="83">
        <f t="shared" si="3"/>
        <v>0</v>
      </c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70"/>
    </row>
    <row r="23" spans="1:40" ht="30" hidden="1" customHeight="1" x14ac:dyDescent="0.25">
      <c r="A23" s="82">
        <v>6</v>
      </c>
      <c r="B23" s="141"/>
      <c r="C23" s="28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>
        <f t="shared" si="1"/>
        <v>0</v>
      </c>
      <c r="S23" s="72"/>
      <c r="T23" s="72"/>
      <c r="U23" s="72"/>
      <c r="V23" s="73"/>
      <c r="W23" s="72"/>
      <c r="X23" s="73">
        <f t="shared" si="2"/>
        <v>0</v>
      </c>
      <c r="Y23" s="83">
        <f t="shared" si="3"/>
        <v>0</v>
      </c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70"/>
    </row>
    <row r="24" spans="1:40" ht="9.9499999999999993" hidden="1" customHeight="1" x14ac:dyDescent="0.25">
      <c r="A24" s="82"/>
      <c r="B24" s="141"/>
      <c r="C24" s="28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3"/>
      <c r="W24" s="72"/>
      <c r="X24" s="73"/>
      <c r="Y24" s="83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70"/>
    </row>
    <row r="25" spans="1:40" ht="30" hidden="1" customHeight="1" x14ac:dyDescent="0.25">
      <c r="A25" s="218" t="s">
        <v>96</v>
      </c>
      <c r="B25" s="214"/>
      <c r="C25" s="219" t="s">
        <v>94</v>
      </c>
      <c r="D25" s="72">
        <f>SUM(D18:D23)</f>
        <v>0</v>
      </c>
      <c r="E25" s="72">
        <f t="shared" ref="E25:W25" si="4">SUM(E18:E23)</f>
        <v>0</v>
      </c>
      <c r="F25" s="72">
        <f t="shared" si="4"/>
        <v>0</v>
      </c>
      <c r="G25" s="72">
        <f t="shared" si="4"/>
        <v>0</v>
      </c>
      <c r="H25" s="72">
        <f t="shared" si="4"/>
        <v>0</v>
      </c>
      <c r="I25" s="72">
        <f t="shared" si="4"/>
        <v>0</v>
      </c>
      <c r="J25" s="72"/>
      <c r="K25" s="72">
        <f t="shared" si="4"/>
        <v>0</v>
      </c>
      <c r="L25" s="72">
        <f t="shared" si="4"/>
        <v>0</v>
      </c>
      <c r="M25" s="72">
        <f t="shared" si="4"/>
        <v>0</v>
      </c>
      <c r="N25" s="72">
        <f t="shared" si="4"/>
        <v>0</v>
      </c>
      <c r="O25" s="72">
        <f t="shared" si="4"/>
        <v>0</v>
      </c>
      <c r="P25" s="72">
        <f t="shared" si="4"/>
        <v>0</v>
      </c>
      <c r="Q25" s="72">
        <f t="shared" si="4"/>
        <v>0</v>
      </c>
      <c r="R25" s="72">
        <f t="shared" si="1"/>
        <v>0</v>
      </c>
      <c r="S25" s="72"/>
      <c r="T25" s="72">
        <f t="shared" si="4"/>
        <v>0</v>
      </c>
      <c r="U25" s="72">
        <f t="shared" si="4"/>
        <v>0</v>
      </c>
      <c r="V25" s="73">
        <f t="shared" si="4"/>
        <v>0</v>
      </c>
      <c r="W25" s="72">
        <f t="shared" si="4"/>
        <v>0</v>
      </c>
      <c r="X25" s="73">
        <f t="shared" si="2"/>
        <v>0</v>
      </c>
      <c r="Y25" s="220">
        <f t="shared" si="3"/>
        <v>0</v>
      </c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70"/>
    </row>
    <row r="26" spans="1:40" ht="9.9499999999999993" hidden="1" customHeight="1" x14ac:dyDescent="0.25">
      <c r="A26" s="82"/>
      <c r="B26" s="141"/>
      <c r="C26" s="28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3"/>
      <c r="W26" s="72"/>
      <c r="X26" s="73"/>
      <c r="Y26" s="83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70"/>
    </row>
    <row r="27" spans="1:40" ht="30" hidden="1" customHeight="1" x14ac:dyDescent="0.25">
      <c r="A27" s="82"/>
      <c r="B27" s="141"/>
      <c r="C27" s="28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>
        <f t="shared" si="1"/>
        <v>0</v>
      </c>
      <c r="S27" s="72"/>
      <c r="T27" s="72"/>
      <c r="U27" s="72"/>
      <c r="V27" s="73"/>
      <c r="W27" s="72"/>
      <c r="X27" s="73">
        <f t="shared" si="2"/>
        <v>0</v>
      </c>
      <c r="Y27" s="83">
        <f t="shared" si="3"/>
        <v>0</v>
      </c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70"/>
    </row>
    <row r="28" spans="1:40" ht="30" hidden="1" customHeight="1" x14ac:dyDescent="0.25">
      <c r="A28" s="82"/>
      <c r="B28" s="140"/>
      <c r="C28" s="41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>
        <f t="shared" si="1"/>
        <v>0</v>
      </c>
      <c r="S28" s="72"/>
      <c r="T28" s="72"/>
      <c r="U28" s="72"/>
      <c r="V28" s="73"/>
      <c r="W28" s="72"/>
      <c r="X28" s="73">
        <f t="shared" si="2"/>
        <v>0</v>
      </c>
      <c r="Y28" s="83">
        <f t="shared" si="3"/>
        <v>0</v>
      </c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70"/>
    </row>
    <row r="29" spans="1:40" ht="30" hidden="1" customHeight="1" x14ac:dyDescent="0.25">
      <c r="A29" s="82"/>
      <c r="B29" s="141"/>
      <c r="C29" s="28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>
        <f t="shared" si="1"/>
        <v>0</v>
      </c>
      <c r="S29" s="72"/>
      <c r="T29" s="72"/>
      <c r="U29" s="72"/>
      <c r="V29" s="73"/>
      <c r="W29" s="72"/>
      <c r="X29" s="73">
        <f t="shared" si="2"/>
        <v>0</v>
      </c>
      <c r="Y29" s="83">
        <f t="shared" si="3"/>
        <v>0</v>
      </c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70"/>
    </row>
    <row r="30" spans="1:40" ht="9.9499999999999993" hidden="1" customHeight="1" x14ac:dyDescent="0.25">
      <c r="A30" s="82"/>
      <c r="B30" s="141"/>
      <c r="C30" s="28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3"/>
      <c r="W30" s="72"/>
      <c r="X30" s="73"/>
      <c r="Y30" s="83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70"/>
    </row>
    <row r="31" spans="1:40" ht="30" hidden="1" customHeight="1" x14ac:dyDescent="0.25">
      <c r="A31" s="218" t="s">
        <v>97</v>
      </c>
      <c r="B31" s="214"/>
      <c r="C31" s="219" t="s">
        <v>95</v>
      </c>
      <c r="D31" s="72">
        <f>SUM(D27:D29)</f>
        <v>0</v>
      </c>
      <c r="E31" s="72">
        <f t="shared" ref="E31:W31" si="5">SUM(E27:E29)</f>
        <v>0</v>
      </c>
      <c r="F31" s="72">
        <f t="shared" si="5"/>
        <v>0</v>
      </c>
      <c r="G31" s="72">
        <f t="shared" si="5"/>
        <v>0</v>
      </c>
      <c r="H31" s="72">
        <f t="shared" si="5"/>
        <v>0</v>
      </c>
      <c r="I31" s="72">
        <f t="shared" si="5"/>
        <v>0</v>
      </c>
      <c r="J31" s="72"/>
      <c r="K31" s="72">
        <f t="shared" si="5"/>
        <v>0</v>
      </c>
      <c r="L31" s="72">
        <f t="shared" si="5"/>
        <v>0</v>
      </c>
      <c r="M31" s="72">
        <f t="shared" si="5"/>
        <v>0</v>
      </c>
      <c r="N31" s="72">
        <f t="shared" si="5"/>
        <v>0</v>
      </c>
      <c r="O31" s="72">
        <f t="shared" si="5"/>
        <v>0</v>
      </c>
      <c r="P31" s="72">
        <f t="shared" si="5"/>
        <v>0</v>
      </c>
      <c r="Q31" s="72">
        <f t="shared" si="5"/>
        <v>0</v>
      </c>
      <c r="R31" s="72">
        <f t="shared" si="1"/>
        <v>0</v>
      </c>
      <c r="S31" s="72"/>
      <c r="T31" s="72">
        <f t="shared" si="5"/>
        <v>0</v>
      </c>
      <c r="U31" s="72">
        <f t="shared" si="5"/>
        <v>0</v>
      </c>
      <c r="V31" s="73">
        <f t="shared" si="5"/>
        <v>0</v>
      </c>
      <c r="W31" s="72">
        <f t="shared" si="5"/>
        <v>0</v>
      </c>
      <c r="X31" s="73">
        <f t="shared" si="2"/>
        <v>0</v>
      </c>
      <c r="Y31" s="220">
        <f t="shared" si="3"/>
        <v>0</v>
      </c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70"/>
    </row>
    <row r="32" spans="1:40" ht="9.9499999999999993" hidden="1" customHeight="1" x14ac:dyDescent="0.25">
      <c r="A32" s="82"/>
      <c r="B32" s="141"/>
      <c r="C32" s="28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3"/>
      <c r="W32" s="72"/>
      <c r="X32" s="73"/>
      <c r="Y32" s="83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70"/>
    </row>
    <row r="33" spans="1:72" ht="17.25" hidden="1" thickBot="1" x14ac:dyDescent="0.25">
      <c r="A33" s="82"/>
      <c r="B33" s="129"/>
      <c r="C33" s="165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3"/>
      <c r="W33" s="72"/>
      <c r="X33" s="73"/>
      <c r="Y33" s="83"/>
    </row>
    <row r="34" spans="1:72" ht="30" hidden="1" customHeight="1" thickTop="1" thickBot="1" x14ac:dyDescent="0.25">
      <c r="A34" s="138"/>
      <c r="B34" s="90"/>
      <c r="C34" s="44" t="s">
        <v>98</v>
      </c>
      <c r="D34" s="86">
        <f t="shared" ref="D34:W34" si="6">D25+D31</f>
        <v>0</v>
      </c>
      <c r="E34" s="86">
        <f t="shared" si="6"/>
        <v>0</v>
      </c>
      <c r="F34" s="86">
        <f t="shared" si="6"/>
        <v>0</v>
      </c>
      <c r="G34" s="86">
        <f t="shared" si="6"/>
        <v>0</v>
      </c>
      <c r="H34" s="86">
        <f t="shared" si="6"/>
        <v>0</v>
      </c>
      <c r="I34" s="86">
        <f t="shared" si="6"/>
        <v>0</v>
      </c>
      <c r="J34" s="86">
        <f t="shared" si="6"/>
        <v>0</v>
      </c>
      <c r="K34" s="86">
        <f t="shared" si="6"/>
        <v>0</v>
      </c>
      <c r="L34" s="86">
        <f t="shared" si="6"/>
        <v>0</v>
      </c>
      <c r="M34" s="86">
        <f t="shared" si="6"/>
        <v>0</v>
      </c>
      <c r="N34" s="86">
        <f t="shared" si="6"/>
        <v>0</v>
      </c>
      <c r="O34" s="86">
        <f t="shared" si="6"/>
        <v>0</v>
      </c>
      <c r="P34" s="86">
        <f t="shared" si="6"/>
        <v>0</v>
      </c>
      <c r="Q34" s="86">
        <f t="shared" si="6"/>
        <v>0</v>
      </c>
      <c r="R34" s="86">
        <f t="shared" si="1"/>
        <v>0</v>
      </c>
      <c r="S34" s="86"/>
      <c r="T34" s="86">
        <f t="shared" si="6"/>
        <v>0</v>
      </c>
      <c r="U34" s="86">
        <f t="shared" si="6"/>
        <v>0</v>
      </c>
      <c r="V34" s="87">
        <f t="shared" si="6"/>
        <v>0</v>
      </c>
      <c r="W34" s="86">
        <f t="shared" si="6"/>
        <v>0</v>
      </c>
      <c r="X34" s="86">
        <f t="shared" si="2"/>
        <v>0</v>
      </c>
      <c r="Y34" s="86">
        <f t="shared" si="3"/>
        <v>0</v>
      </c>
    </row>
    <row r="35" spans="1:72" ht="30" hidden="1" customHeight="1" thickTop="1" thickBot="1" x14ac:dyDescent="0.25">
      <c r="A35" s="138"/>
      <c r="B35" s="90"/>
      <c r="C35" s="44" t="s">
        <v>166</v>
      </c>
      <c r="D35" s="131">
        <f t="shared" ref="D35:W35" si="7">D17+D34</f>
        <v>1393046</v>
      </c>
      <c r="E35" s="131">
        <f t="shared" si="7"/>
        <v>412135</v>
      </c>
      <c r="F35" s="131">
        <f t="shared" si="7"/>
        <v>565076</v>
      </c>
      <c r="G35" s="131">
        <f t="shared" si="7"/>
        <v>140912</v>
      </c>
      <c r="H35" s="131">
        <f t="shared" si="7"/>
        <v>0</v>
      </c>
      <c r="I35" s="131">
        <f t="shared" si="7"/>
        <v>0</v>
      </c>
      <c r="J35" s="131">
        <f t="shared" si="7"/>
        <v>0</v>
      </c>
      <c r="K35" s="131">
        <f t="shared" si="7"/>
        <v>0</v>
      </c>
      <c r="L35" s="131">
        <f t="shared" si="7"/>
        <v>132596</v>
      </c>
      <c r="M35" s="131">
        <f t="shared" si="7"/>
        <v>3100</v>
      </c>
      <c r="N35" s="131">
        <f t="shared" si="7"/>
        <v>0</v>
      </c>
      <c r="O35" s="131">
        <f t="shared" si="7"/>
        <v>5000</v>
      </c>
      <c r="P35" s="131">
        <f t="shared" si="7"/>
        <v>0</v>
      </c>
      <c r="Q35" s="131">
        <f t="shared" si="7"/>
        <v>0</v>
      </c>
      <c r="R35" s="131">
        <f t="shared" si="1"/>
        <v>2651865</v>
      </c>
      <c r="S35" s="131"/>
      <c r="T35" s="131">
        <f t="shared" si="7"/>
        <v>0</v>
      </c>
      <c r="U35" s="131">
        <f t="shared" si="7"/>
        <v>0</v>
      </c>
      <c r="V35" s="377">
        <f t="shared" si="7"/>
        <v>0</v>
      </c>
      <c r="W35" s="131">
        <f t="shared" si="7"/>
        <v>0</v>
      </c>
      <c r="X35" s="377">
        <f t="shared" si="2"/>
        <v>0</v>
      </c>
      <c r="Y35" s="163">
        <f t="shared" si="3"/>
        <v>2651865</v>
      </c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</row>
    <row r="36" spans="1:72" ht="17.25" hidden="1" thickTop="1" x14ac:dyDescent="0.2">
      <c r="A36" s="26"/>
      <c r="B36" s="139" t="s">
        <v>71</v>
      </c>
      <c r="C36" s="94" t="s">
        <v>53</v>
      </c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>
        <f t="shared" si="1"/>
        <v>0</v>
      </c>
      <c r="S36" s="95"/>
      <c r="T36" s="95"/>
      <c r="U36" s="95"/>
      <c r="V36" s="99"/>
      <c r="W36" s="95"/>
      <c r="X36" s="99">
        <f t="shared" si="2"/>
        <v>0</v>
      </c>
      <c r="Y36" s="104">
        <f t="shared" si="3"/>
        <v>0</v>
      </c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</row>
    <row r="37" spans="1:72" hidden="1" x14ac:dyDescent="0.2">
      <c r="A37" s="26"/>
      <c r="B37" s="74" t="s">
        <v>76</v>
      </c>
      <c r="C37" s="96" t="s">
        <v>53</v>
      </c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>
        <f t="shared" si="1"/>
        <v>0</v>
      </c>
      <c r="S37" s="97"/>
      <c r="T37" s="97"/>
      <c r="U37" s="97"/>
      <c r="V37" s="100"/>
      <c r="W37" s="97"/>
      <c r="X37" s="100">
        <f t="shared" si="2"/>
        <v>0</v>
      </c>
      <c r="Y37" s="105">
        <f t="shared" si="3"/>
        <v>0</v>
      </c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</row>
    <row r="38" spans="1:72" hidden="1" x14ac:dyDescent="0.2">
      <c r="A38" s="26"/>
      <c r="B38" s="74" t="s">
        <v>91</v>
      </c>
      <c r="C38" s="96" t="s">
        <v>53</v>
      </c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>
        <f t="shared" si="1"/>
        <v>0</v>
      </c>
      <c r="S38" s="97"/>
      <c r="T38" s="97"/>
      <c r="U38" s="97"/>
      <c r="V38" s="100"/>
      <c r="W38" s="97"/>
      <c r="X38" s="100">
        <f t="shared" si="2"/>
        <v>0</v>
      </c>
      <c r="Y38" s="105">
        <f t="shared" si="3"/>
        <v>0</v>
      </c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</row>
    <row r="39" spans="1:72" ht="16.5" hidden="1" customHeight="1" x14ac:dyDescent="0.2">
      <c r="A39" s="26"/>
      <c r="B39" s="74" t="s">
        <v>92</v>
      </c>
      <c r="C39" s="96" t="s">
        <v>53</v>
      </c>
      <c r="D39" s="97"/>
      <c r="E39" s="97"/>
      <c r="F39" s="97">
        <v>3000</v>
      </c>
      <c r="G39" s="97"/>
      <c r="H39" s="97"/>
      <c r="I39" s="97">
        <v>95902</v>
      </c>
      <c r="J39" s="97"/>
      <c r="K39" s="97"/>
      <c r="L39" s="97"/>
      <c r="M39" s="97"/>
      <c r="N39" s="97"/>
      <c r="O39" s="97">
        <v>1000</v>
      </c>
      <c r="P39" s="97"/>
      <c r="Q39" s="97"/>
      <c r="R39" s="97">
        <f t="shared" si="1"/>
        <v>99902</v>
      </c>
      <c r="S39" s="97"/>
      <c r="T39" s="97"/>
      <c r="U39" s="97"/>
      <c r="V39" s="100"/>
      <c r="W39" s="97"/>
      <c r="X39" s="100">
        <f t="shared" si="2"/>
        <v>0</v>
      </c>
      <c r="Y39" s="105">
        <f t="shared" si="3"/>
        <v>99902</v>
      </c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</row>
    <row r="40" spans="1:72" hidden="1" x14ac:dyDescent="0.2">
      <c r="A40" s="26"/>
      <c r="B40" s="74" t="s">
        <v>54</v>
      </c>
      <c r="C40" s="96" t="s">
        <v>53</v>
      </c>
      <c r="D40" s="97"/>
      <c r="E40" s="97"/>
      <c r="F40" s="97">
        <f>275+75</f>
        <v>350</v>
      </c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>
        <f t="shared" si="1"/>
        <v>350</v>
      </c>
      <c r="S40" s="97"/>
      <c r="T40" s="97"/>
      <c r="U40" s="97"/>
      <c r="V40" s="100"/>
      <c r="W40" s="97"/>
      <c r="X40" s="100">
        <f t="shared" si="2"/>
        <v>0</v>
      </c>
      <c r="Y40" s="105">
        <f t="shared" si="3"/>
        <v>350</v>
      </c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</row>
    <row r="41" spans="1:72" hidden="1" x14ac:dyDescent="0.2">
      <c r="A41" s="26"/>
      <c r="B41" s="74" t="s">
        <v>55</v>
      </c>
      <c r="C41" s="96" t="s">
        <v>53</v>
      </c>
      <c r="D41" s="97">
        <f>93980</f>
        <v>93980</v>
      </c>
      <c r="E41" s="97">
        <f>25876</f>
        <v>25876</v>
      </c>
      <c r="F41" s="97">
        <v>227</v>
      </c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>
        <f t="shared" si="1"/>
        <v>120083</v>
      </c>
      <c r="S41" s="97"/>
      <c r="T41" s="97"/>
      <c r="U41" s="97"/>
      <c r="V41" s="100"/>
      <c r="W41" s="97"/>
      <c r="X41" s="100">
        <f t="shared" si="2"/>
        <v>0</v>
      </c>
      <c r="Y41" s="105">
        <f t="shared" si="3"/>
        <v>120083</v>
      </c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</row>
    <row r="42" spans="1:72" hidden="1" x14ac:dyDescent="0.2">
      <c r="A42" s="26"/>
      <c r="B42" s="74" t="s">
        <v>72</v>
      </c>
      <c r="C42" s="96" t="s">
        <v>53</v>
      </c>
      <c r="D42" s="97">
        <v>5512</v>
      </c>
      <c r="E42" s="97">
        <v>1937</v>
      </c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>
        <f t="shared" si="1"/>
        <v>7449</v>
      </c>
      <c r="S42" s="97"/>
      <c r="T42" s="97"/>
      <c r="U42" s="97"/>
      <c r="V42" s="100"/>
      <c r="W42" s="97"/>
      <c r="X42" s="100">
        <f t="shared" si="2"/>
        <v>0</v>
      </c>
      <c r="Y42" s="105">
        <f t="shared" si="3"/>
        <v>7449</v>
      </c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</row>
    <row r="43" spans="1:72" hidden="1" x14ac:dyDescent="0.2">
      <c r="A43" s="26"/>
      <c r="B43" s="74" t="s">
        <v>58</v>
      </c>
      <c r="C43" s="96" t="s">
        <v>53</v>
      </c>
      <c r="D43" s="97"/>
      <c r="E43" s="97"/>
      <c r="F43" s="97">
        <f>186+29</f>
        <v>215</v>
      </c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>
        <f t="shared" si="1"/>
        <v>215</v>
      </c>
      <c r="S43" s="97"/>
      <c r="T43" s="97"/>
      <c r="U43" s="97"/>
      <c r="V43" s="100"/>
      <c r="W43" s="97"/>
      <c r="X43" s="100">
        <f t="shared" si="2"/>
        <v>0</v>
      </c>
      <c r="Y43" s="105">
        <f t="shared" si="3"/>
        <v>215</v>
      </c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</row>
    <row r="44" spans="1:72" hidden="1" x14ac:dyDescent="0.2">
      <c r="A44" s="26"/>
      <c r="B44" s="74" t="s">
        <v>62</v>
      </c>
      <c r="C44" s="96" t="s">
        <v>53</v>
      </c>
      <c r="D44" s="97">
        <v>4116</v>
      </c>
      <c r="E44" s="97">
        <v>1111</v>
      </c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>
        <f t="shared" si="1"/>
        <v>5227</v>
      </c>
      <c r="S44" s="97"/>
      <c r="T44" s="97"/>
      <c r="U44" s="97"/>
      <c r="V44" s="100"/>
      <c r="W44" s="97"/>
      <c r="X44" s="100">
        <f t="shared" si="2"/>
        <v>0</v>
      </c>
      <c r="Y44" s="105">
        <f t="shared" si="3"/>
        <v>5227</v>
      </c>
      <c r="Z44" s="85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</row>
    <row r="45" spans="1:72" hidden="1" x14ac:dyDescent="0.2">
      <c r="A45" s="26"/>
      <c r="B45" s="74" t="s">
        <v>119</v>
      </c>
      <c r="C45" s="96" t="s">
        <v>53</v>
      </c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>
        <f t="shared" si="1"/>
        <v>0</v>
      </c>
      <c r="S45" s="97"/>
      <c r="T45" s="97"/>
      <c r="U45" s="97"/>
      <c r="V45" s="100"/>
      <c r="W45" s="97"/>
      <c r="X45" s="100">
        <f t="shared" si="2"/>
        <v>0</v>
      </c>
      <c r="Y45" s="105">
        <f t="shared" si="3"/>
        <v>0</v>
      </c>
      <c r="Z45" s="85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</row>
    <row r="46" spans="1:72" hidden="1" x14ac:dyDescent="0.2">
      <c r="A46" s="26"/>
      <c r="B46" s="74" t="s">
        <v>65</v>
      </c>
      <c r="C46" s="96" t="s">
        <v>53</v>
      </c>
      <c r="D46" s="97"/>
      <c r="E46" s="97"/>
      <c r="F46" s="97">
        <f>1803+344</f>
        <v>2147</v>
      </c>
      <c r="G46" s="97"/>
      <c r="H46" s="97"/>
      <c r="I46" s="97"/>
      <c r="J46" s="97"/>
      <c r="K46" s="97"/>
      <c r="L46" s="97">
        <f>2020+546</f>
        <v>2566</v>
      </c>
      <c r="M46" s="97">
        <f>2740+740</f>
        <v>3480</v>
      </c>
      <c r="N46" s="97"/>
      <c r="O46" s="97"/>
      <c r="P46" s="97"/>
      <c r="Q46" s="97"/>
      <c r="R46" s="97">
        <f t="shared" si="1"/>
        <v>8193</v>
      </c>
      <c r="S46" s="97"/>
      <c r="T46" s="97"/>
      <c r="U46" s="97"/>
      <c r="V46" s="100"/>
      <c r="W46" s="97"/>
      <c r="X46" s="100">
        <f t="shared" si="2"/>
        <v>0</v>
      </c>
      <c r="Y46" s="105">
        <f t="shared" si="3"/>
        <v>8193</v>
      </c>
      <c r="Z46" s="85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</row>
    <row r="47" spans="1:72" hidden="1" x14ac:dyDescent="0.2">
      <c r="A47" s="26"/>
      <c r="B47" s="74" t="s">
        <v>79</v>
      </c>
      <c r="C47" s="96" t="s">
        <v>53</v>
      </c>
      <c r="D47" s="97"/>
      <c r="E47" s="97"/>
      <c r="F47" s="97">
        <f>7393+1996</f>
        <v>9389</v>
      </c>
      <c r="G47" s="97"/>
      <c r="H47" s="97"/>
      <c r="I47" s="97"/>
      <c r="J47" s="97"/>
      <c r="K47" s="97"/>
      <c r="L47" s="97">
        <f>37076+10011</f>
        <v>47087</v>
      </c>
      <c r="M47" s="97"/>
      <c r="N47" s="97"/>
      <c r="O47" s="97"/>
      <c r="P47" s="97"/>
      <c r="Q47" s="97"/>
      <c r="R47" s="97">
        <f t="shared" si="1"/>
        <v>56476</v>
      </c>
      <c r="S47" s="97"/>
      <c r="T47" s="97"/>
      <c r="U47" s="97"/>
      <c r="V47" s="100"/>
      <c r="W47" s="97"/>
      <c r="X47" s="100">
        <f t="shared" si="2"/>
        <v>0</v>
      </c>
      <c r="Y47" s="105">
        <f t="shared" si="3"/>
        <v>56476</v>
      </c>
      <c r="Z47" s="85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</row>
    <row r="48" spans="1:72" hidden="1" x14ac:dyDescent="0.2">
      <c r="A48" s="26"/>
      <c r="B48" s="288" t="s">
        <v>120</v>
      </c>
      <c r="C48" s="96" t="s">
        <v>53</v>
      </c>
      <c r="D48" s="311"/>
      <c r="E48" s="311"/>
      <c r="F48" s="311">
        <f>351+95</f>
        <v>446</v>
      </c>
      <c r="G48" s="311"/>
      <c r="H48" s="311"/>
      <c r="I48" s="311"/>
      <c r="J48" s="311"/>
      <c r="K48" s="311"/>
      <c r="L48" s="311"/>
      <c r="M48" s="311"/>
      <c r="N48" s="311"/>
      <c r="O48" s="311"/>
      <c r="P48" s="311"/>
      <c r="Q48" s="311"/>
      <c r="R48" s="311">
        <f t="shared" si="1"/>
        <v>446</v>
      </c>
      <c r="S48" s="311"/>
      <c r="T48" s="311"/>
      <c r="U48" s="311"/>
      <c r="V48" s="312"/>
      <c r="W48" s="311"/>
      <c r="X48" s="312">
        <f t="shared" si="2"/>
        <v>0</v>
      </c>
      <c r="Y48" s="105">
        <f t="shared" si="3"/>
        <v>446</v>
      </c>
      <c r="Z48" s="85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</row>
    <row r="49" spans="1:72" hidden="1" x14ac:dyDescent="0.2">
      <c r="A49" s="26"/>
      <c r="B49" s="288" t="s">
        <v>99</v>
      </c>
      <c r="C49" s="96" t="s">
        <v>53</v>
      </c>
      <c r="D49" s="311"/>
      <c r="E49" s="311"/>
      <c r="F49" s="311">
        <f>57+16</f>
        <v>73</v>
      </c>
      <c r="G49" s="311"/>
      <c r="H49" s="311"/>
      <c r="I49" s="311"/>
      <c r="J49" s="311"/>
      <c r="K49" s="311"/>
      <c r="L49" s="311"/>
      <c r="M49" s="311"/>
      <c r="N49" s="311"/>
      <c r="O49" s="311"/>
      <c r="P49" s="311"/>
      <c r="Q49" s="311"/>
      <c r="R49" s="311">
        <f t="shared" si="1"/>
        <v>73</v>
      </c>
      <c r="S49" s="311"/>
      <c r="T49" s="311"/>
      <c r="U49" s="311"/>
      <c r="V49" s="312"/>
      <c r="W49" s="311"/>
      <c r="X49" s="312">
        <f t="shared" si="2"/>
        <v>0</v>
      </c>
      <c r="Y49" s="105">
        <f t="shared" si="3"/>
        <v>73</v>
      </c>
      <c r="Z49" s="85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</row>
    <row r="50" spans="1:72" hidden="1" x14ac:dyDescent="0.2">
      <c r="A50" s="26"/>
      <c r="B50" s="309" t="s">
        <v>121</v>
      </c>
      <c r="C50" s="310" t="s">
        <v>53</v>
      </c>
      <c r="D50" s="311"/>
      <c r="E50" s="311"/>
      <c r="F50" s="311"/>
      <c r="G50" s="311"/>
      <c r="H50" s="311"/>
      <c r="I50" s="311"/>
      <c r="J50" s="311"/>
      <c r="K50" s="311"/>
      <c r="L50" s="311"/>
      <c r="M50" s="311"/>
      <c r="N50" s="311"/>
      <c r="O50" s="311"/>
      <c r="P50" s="311"/>
      <c r="Q50" s="311"/>
      <c r="R50" s="311">
        <f t="shared" si="1"/>
        <v>0</v>
      </c>
      <c r="S50" s="311"/>
      <c r="T50" s="311"/>
      <c r="U50" s="311"/>
      <c r="V50" s="312"/>
      <c r="W50" s="311"/>
      <c r="X50" s="312">
        <f t="shared" si="2"/>
        <v>0</v>
      </c>
      <c r="Y50" s="313">
        <f t="shared" si="3"/>
        <v>0</v>
      </c>
      <c r="Z50" s="85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</row>
    <row r="51" spans="1:72" ht="17.25" hidden="1" thickBot="1" x14ac:dyDescent="0.25">
      <c r="A51" s="26"/>
      <c r="B51" s="488"/>
      <c r="C51" s="489"/>
      <c r="D51" s="490"/>
      <c r="E51" s="490"/>
      <c r="F51" s="490"/>
      <c r="G51" s="490"/>
      <c r="H51" s="490"/>
      <c r="I51" s="490"/>
      <c r="J51" s="490"/>
      <c r="K51" s="490"/>
      <c r="L51" s="490"/>
      <c r="M51" s="490"/>
      <c r="N51" s="490"/>
      <c r="O51" s="490"/>
      <c r="P51" s="490"/>
      <c r="Q51" s="490"/>
      <c r="R51" s="490"/>
      <c r="S51" s="490"/>
      <c r="T51" s="490"/>
      <c r="U51" s="490"/>
      <c r="V51" s="491"/>
      <c r="W51" s="490"/>
      <c r="X51" s="491"/>
      <c r="Y51" s="492"/>
      <c r="Z51" s="85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</row>
    <row r="52" spans="1:72" s="81" customFormat="1" ht="30" hidden="1" customHeight="1" thickTop="1" thickBot="1" x14ac:dyDescent="0.25">
      <c r="A52" s="138"/>
      <c r="B52" s="314"/>
      <c r="C52" s="315" t="s">
        <v>66</v>
      </c>
      <c r="D52" s="316">
        <f t="shared" ref="D52:I52" si="8">SUM(D36:D50)</f>
        <v>103608</v>
      </c>
      <c r="E52" s="316">
        <f t="shared" si="8"/>
        <v>28924</v>
      </c>
      <c r="F52" s="316">
        <f t="shared" si="8"/>
        <v>15847</v>
      </c>
      <c r="G52" s="316">
        <f t="shared" si="8"/>
        <v>0</v>
      </c>
      <c r="H52" s="316">
        <f t="shared" si="8"/>
        <v>0</v>
      </c>
      <c r="I52" s="316">
        <f t="shared" si="8"/>
        <v>95902</v>
      </c>
      <c r="J52" s="316"/>
      <c r="K52" s="316">
        <f t="shared" ref="K52:W52" si="9">SUM(K36:K50)</f>
        <v>0</v>
      </c>
      <c r="L52" s="316">
        <f t="shared" si="9"/>
        <v>49653</v>
      </c>
      <c r="M52" s="316">
        <f t="shared" si="9"/>
        <v>3480</v>
      </c>
      <c r="N52" s="316">
        <f t="shared" si="9"/>
        <v>0</v>
      </c>
      <c r="O52" s="316">
        <f t="shared" si="9"/>
        <v>1000</v>
      </c>
      <c r="P52" s="316">
        <f t="shared" si="9"/>
        <v>0</v>
      </c>
      <c r="Q52" s="316">
        <f t="shared" si="9"/>
        <v>0</v>
      </c>
      <c r="R52" s="316">
        <f t="shared" si="1"/>
        <v>298414</v>
      </c>
      <c r="S52" s="316"/>
      <c r="T52" s="316">
        <f t="shared" si="9"/>
        <v>0</v>
      </c>
      <c r="U52" s="316">
        <f t="shared" si="9"/>
        <v>0</v>
      </c>
      <c r="V52" s="512">
        <f t="shared" si="9"/>
        <v>0</v>
      </c>
      <c r="W52" s="316">
        <f t="shared" si="9"/>
        <v>0</v>
      </c>
      <c r="X52" s="512">
        <f t="shared" si="2"/>
        <v>0</v>
      </c>
      <c r="Y52" s="80">
        <f t="shared" si="3"/>
        <v>298414</v>
      </c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</row>
    <row r="53" spans="1:72" s="53" customFormat="1" ht="16.5" hidden="1" customHeight="1" thickTop="1" x14ac:dyDescent="0.2">
      <c r="A53" s="319"/>
      <c r="B53" s="320" t="s">
        <v>92</v>
      </c>
      <c r="C53" s="331" t="s">
        <v>122</v>
      </c>
      <c r="D53" s="321"/>
      <c r="E53" s="321"/>
      <c r="F53" s="321"/>
      <c r="G53" s="321"/>
      <c r="H53" s="321"/>
      <c r="I53" s="321"/>
      <c r="J53" s="321"/>
      <c r="K53" s="321"/>
      <c r="L53" s="321"/>
      <c r="M53" s="321"/>
      <c r="N53" s="321"/>
      <c r="O53" s="321"/>
      <c r="P53" s="321"/>
      <c r="Q53" s="321"/>
      <c r="R53" s="321">
        <f t="shared" si="1"/>
        <v>0</v>
      </c>
      <c r="S53" s="321"/>
      <c r="T53" s="321"/>
      <c r="U53" s="321"/>
      <c r="V53" s="322"/>
      <c r="W53" s="321"/>
      <c r="X53" s="322">
        <f t="shared" si="2"/>
        <v>0</v>
      </c>
      <c r="Y53" s="325">
        <f t="shared" si="3"/>
        <v>0</v>
      </c>
    </row>
    <row r="54" spans="1:72" s="53" customFormat="1" ht="16.5" hidden="1" customHeight="1" x14ac:dyDescent="0.2">
      <c r="A54" s="26"/>
      <c r="B54" s="74" t="s">
        <v>55</v>
      </c>
      <c r="C54" s="332" t="s">
        <v>122</v>
      </c>
      <c r="D54" s="323"/>
      <c r="E54" s="323"/>
      <c r="F54" s="323"/>
      <c r="G54" s="323"/>
      <c r="H54" s="323"/>
      <c r="I54" s="323"/>
      <c r="J54" s="323"/>
      <c r="K54" s="323"/>
      <c r="L54" s="323"/>
      <c r="M54" s="323"/>
      <c r="N54" s="323"/>
      <c r="O54" s="323"/>
      <c r="P54" s="323"/>
      <c r="Q54" s="323"/>
      <c r="R54" s="323">
        <f t="shared" si="1"/>
        <v>0</v>
      </c>
      <c r="S54" s="323"/>
      <c r="T54" s="323"/>
      <c r="U54" s="323"/>
      <c r="V54" s="324"/>
      <c r="W54" s="323"/>
      <c r="X54" s="324">
        <f t="shared" si="2"/>
        <v>0</v>
      </c>
      <c r="Y54" s="326">
        <f t="shared" si="3"/>
        <v>0</v>
      </c>
    </row>
    <row r="55" spans="1:72" s="53" customFormat="1" ht="16.5" hidden="1" customHeight="1" x14ac:dyDescent="0.2">
      <c r="A55" s="26"/>
      <c r="B55" s="74" t="s">
        <v>72</v>
      </c>
      <c r="C55" s="332" t="s">
        <v>122</v>
      </c>
      <c r="D55" s="323"/>
      <c r="E55" s="323"/>
      <c r="F55" s="323"/>
      <c r="G55" s="323"/>
      <c r="H55" s="323"/>
      <c r="I55" s="323"/>
      <c r="J55" s="323"/>
      <c r="K55" s="323"/>
      <c r="L55" s="323"/>
      <c r="M55" s="323"/>
      <c r="N55" s="323"/>
      <c r="O55" s="323"/>
      <c r="P55" s="323"/>
      <c r="Q55" s="323"/>
      <c r="R55" s="323">
        <f t="shared" si="1"/>
        <v>0</v>
      </c>
      <c r="S55" s="323"/>
      <c r="T55" s="323"/>
      <c r="U55" s="323"/>
      <c r="V55" s="324"/>
      <c r="W55" s="323"/>
      <c r="X55" s="324">
        <f t="shared" si="2"/>
        <v>0</v>
      </c>
      <c r="Y55" s="326">
        <f t="shared" si="3"/>
        <v>0</v>
      </c>
    </row>
    <row r="56" spans="1:72" s="53" customFormat="1" ht="16.5" hidden="1" customHeight="1" x14ac:dyDescent="0.2">
      <c r="A56" s="26"/>
      <c r="B56" s="74" t="s">
        <v>62</v>
      </c>
      <c r="C56" s="332" t="s">
        <v>122</v>
      </c>
      <c r="D56" s="323"/>
      <c r="E56" s="323"/>
      <c r="F56" s="323"/>
      <c r="G56" s="323"/>
      <c r="H56" s="323"/>
      <c r="I56" s="323"/>
      <c r="J56" s="323"/>
      <c r="K56" s="323"/>
      <c r="L56" s="323"/>
      <c r="M56" s="323"/>
      <c r="N56" s="323"/>
      <c r="O56" s="323"/>
      <c r="P56" s="323"/>
      <c r="Q56" s="323"/>
      <c r="R56" s="323">
        <f t="shared" si="1"/>
        <v>0</v>
      </c>
      <c r="S56" s="323"/>
      <c r="T56" s="323"/>
      <c r="U56" s="323"/>
      <c r="V56" s="324"/>
      <c r="W56" s="323"/>
      <c r="X56" s="324">
        <f t="shared" si="2"/>
        <v>0</v>
      </c>
      <c r="Y56" s="326">
        <f t="shared" si="3"/>
        <v>0</v>
      </c>
    </row>
    <row r="57" spans="1:72" s="53" customFormat="1" ht="16.5" hidden="1" customHeight="1" x14ac:dyDescent="0.2">
      <c r="A57" s="26"/>
      <c r="B57" s="74" t="s">
        <v>65</v>
      </c>
      <c r="C57" s="332" t="s">
        <v>122</v>
      </c>
      <c r="D57" s="323"/>
      <c r="E57" s="323"/>
      <c r="F57" s="323"/>
      <c r="G57" s="323"/>
      <c r="H57" s="323"/>
      <c r="I57" s="323"/>
      <c r="J57" s="323"/>
      <c r="K57" s="323"/>
      <c r="L57" s="323"/>
      <c r="M57" s="323"/>
      <c r="N57" s="323"/>
      <c r="O57" s="323"/>
      <c r="P57" s="323"/>
      <c r="Q57" s="323"/>
      <c r="R57" s="323">
        <f t="shared" si="1"/>
        <v>0</v>
      </c>
      <c r="S57" s="323"/>
      <c r="T57" s="323"/>
      <c r="U57" s="323"/>
      <c r="V57" s="324"/>
      <c r="W57" s="323"/>
      <c r="X57" s="324">
        <f t="shared" si="2"/>
        <v>0</v>
      </c>
      <c r="Y57" s="326">
        <f t="shared" si="3"/>
        <v>0</v>
      </c>
    </row>
    <row r="58" spans="1:72" s="53" customFormat="1" ht="16.5" hidden="1" customHeight="1" x14ac:dyDescent="0.2">
      <c r="A58" s="26"/>
      <c r="B58" s="74" t="s">
        <v>79</v>
      </c>
      <c r="C58" s="332" t="s">
        <v>122</v>
      </c>
      <c r="D58" s="323"/>
      <c r="E58" s="323"/>
      <c r="F58" s="323"/>
      <c r="G58" s="323"/>
      <c r="H58" s="323"/>
      <c r="I58" s="323"/>
      <c r="J58" s="323"/>
      <c r="K58" s="323"/>
      <c r="L58" s="323"/>
      <c r="M58" s="323"/>
      <c r="N58" s="323"/>
      <c r="O58" s="323"/>
      <c r="P58" s="323"/>
      <c r="Q58" s="323"/>
      <c r="R58" s="323">
        <f t="shared" si="1"/>
        <v>0</v>
      </c>
      <c r="S58" s="323"/>
      <c r="T58" s="323"/>
      <c r="U58" s="323"/>
      <c r="V58" s="324"/>
      <c r="W58" s="323"/>
      <c r="X58" s="324">
        <f t="shared" si="2"/>
        <v>0</v>
      </c>
      <c r="Y58" s="326">
        <f t="shared" si="3"/>
        <v>0</v>
      </c>
    </row>
    <row r="59" spans="1:72" s="53" customFormat="1" ht="16.5" hidden="1" customHeight="1" thickBot="1" x14ac:dyDescent="0.25">
      <c r="A59" s="26"/>
      <c r="B59" s="32"/>
      <c r="C59" s="332"/>
      <c r="D59" s="323"/>
      <c r="E59" s="323"/>
      <c r="F59" s="323"/>
      <c r="G59" s="323"/>
      <c r="H59" s="323"/>
      <c r="I59" s="323"/>
      <c r="J59" s="323"/>
      <c r="K59" s="323"/>
      <c r="L59" s="323"/>
      <c r="M59" s="323"/>
      <c r="N59" s="323"/>
      <c r="O59" s="323"/>
      <c r="P59" s="323"/>
      <c r="Q59" s="323"/>
      <c r="R59" s="323">
        <f t="shared" si="1"/>
        <v>0</v>
      </c>
      <c r="S59" s="323"/>
      <c r="T59" s="323"/>
      <c r="U59" s="323"/>
      <c r="V59" s="324"/>
      <c r="W59" s="323"/>
      <c r="X59" s="324">
        <f t="shared" si="2"/>
        <v>0</v>
      </c>
      <c r="Y59" s="326">
        <f t="shared" si="3"/>
        <v>0</v>
      </c>
    </row>
    <row r="60" spans="1:72" s="53" customFormat="1" ht="30" hidden="1" customHeight="1" thickTop="1" thickBot="1" x14ac:dyDescent="0.25">
      <c r="A60" s="138"/>
      <c r="B60" s="314"/>
      <c r="C60" s="315" t="s">
        <v>122</v>
      </c>
      <c r="D60" s="316">
        <f t="shared" ref="D60:N60" si="10">SUM(D53:D59)</f>
        <v>0</v>
      </c>
      <c r="E60" s="316">
        <f t="shared" si="10"/>
        <v>0</v>
      </c>
      <c r="F60" s="316">
        <f t="shared" si="10"/>
        <v>0</v>
      </c>
      <c r="G60" s="316">
        <f t="shared" si="10"/>
        <v>0</v>
      </c>
      <c r="H60" s="316">
        <f t="shared" si="10"/>
        <v>0</v>
      </c>
      <c r="I60" s="316">
        <f t="shared" si="10"/>
        <v>0</v>
      </c>
      <c r="J60" s="316">
        <f t="shared" si="10"/>
        <v>0</v>
      </c>
      <c r="K60" s="316">
        <f t="shared" si="10"/>
        <v>0</v>
      </c>
      <c r="L60" s="316">
        <f t="shared" si="10"/>
        <v>0</v>
      </c>
      <c r="M60" s="316">
        <f t="shared" si="10"/>
        <v>0</v>
      </c>
      <c r="N60" s="316">
        <f t="shared" si="10"/>
        <v>0</v>
      </c>
      <c r="O60" s="316">
        <f>SUM(O53:O59)</f>
        <v>0</v>
      </c>
      <c r="P60" s="316">
        <f t="shared" ref="P60:W60" si="11">SUM(P53:P59)</f>
        <v>0</v>
      </c>
      <c r="Q60" s="316">
        <f t="shared" si="11"/>
        <v>0</v>
      </c>
      <c r="R60" s="316">
        <f t="shared" si="1"/>
        <v>0</v>
      </c>
      <c r="S60" s="316"/>
      <c r="T60" s="316">
        <f>SUM(T53:T59)</f>
        <v>0</v>
      </c>
      <c r="U60" s="316">
        <f>SUM(U53:U59)</f>
        <v>0</v>
      </c>
      <c r="V60" s="512">
        <f t="shared" si="11"/>
        <v>0</v>
      </c>
      <c r="W60" s="316">
        <f t="shared" si="11"/>
        <v>0</v>
      </c>
      <c r="X60" s="512">
        <f t="shared" si="2"/>
        <v>0</v>
      </c>
      <c r="Y60" s="80">
        <f t="shared" si="3"/>
        <v>0</v>
      </c>
    </row>
    <row r="61" spans="1:72" s="53" customFormat="1" ht="16.5" hidden="1" customHeight="1" thickTop="1" thickBot="1" x14ac:dyDescent="0.25">
      <c r="A61" s="154"/>
      <c r="B61" s="327"/>
      <c r="C61" s="328"/>
      <c r="D61" s="329"/>
      <c r="E61" s="329"/>
      <c r="F61" s="329"/>
      <c r="G61" s="329"/>
      <c r="H61" s="329"/>
      <c r="I61" s="329"/>
      <c r="J61" s="329"/>
      <c r="K61" s="329"/>
      <c r="L61" s="329"/>
      <c r="M61" s="329"/>
      <c r="N61" s="329"/>
      <c r="O61" s="329"/>
      <c r="P61" s="329"/>
      <c r="Q61" s="329"/>
      <c r="R61" s="329"/>
      <c r="S61" s="329"/>
      <c r="T61" s="329"/>
      <c r="U61" s="329"/>
      <c r="V61" s="513"/>
      <c r="W61" s="329"/>
      <c r="X61" s="513"/>
      <c r="Y61" s="330"/>
    </row>
    <row r="62" spans="1:72" ht="30" hidden="1" customHeight="1" thickTop="1" thickBot="1" x14ac:dyDescent="0.35">
      <c r="A62" s="137"/>
      <c r="B62" s="493" t="s">
        <v>206</v>
      </c>
      <c r="C62" s="44" t="s">
        <v>192</v>
      </c>
      <c r="D62" s="86">
        <f>D35+D52+D60</f>
        <v>1496654</v>
      </c>
      <c r="E62" s="86">
        <f t="shared" ref="E62:N62" si="12">E35+E52+E60</f>
        <v>441059</v>
      </c>
      <c r="F62" s="86">
        <f t="shared" si="12"/>
        <v>580923</v>
      </c>
      <c r="G62" s="86">
        <f t="shared" si="12"/>
        <v>140912</v>
      </c>
      <c r="H62" s="86">
        <f t="shared" si="12"/>
        <v>0</v>
      </c>
      <c r="I62" s="86">
        <f t="shared" si="12"/>
        <v>95902</v>
      </c>
      <c r="J62" s="86">
        <f t="shared" si="12"/>
        <v>0</v>
      </c>
      <c r="K62" s="86">
        <f t="shared" si="12"/>
        <v>0</v>
      </c>
      <c r="L62" s="86">
        <f t="shared" si="12"/>
        <v>182249</v>
      </c>
      <c r="M62" s="86">
        <f t="shared" si="12"/>
        <v>6580</v>
      </c>
      <c r="N62" s="86">
        <f t="shared" si="12"/>
        <v>0</v>
      </c>
      <c r="O62" s="86">
        <f t="shared" ref="O62:W62" si="13">O35+O52+O60</f>
        <v>6000</v>
      </c>
      <c r="P62" s="86">
        <f t="shared" si="13"/>
        <v>0</v>
      </c>
      <c r="Q62" s="86">
        <f t="shared" si="13"/>
        <v>0</v>
      </c>
      <c r="R62" s="86">
        <f t="shared" si="1"/>
        <v>2950279</v>
      </c>
      <c r="S62" s="86"/>
      <c r="T62" s="86">
        <f>T35+T52+T60</f>
        <v>0</v>
      </c>
      <c r="U62" s="86">
        <f>U35+U52+U60</f>
        <v>0</v>
      </c>
      <c r="V62" s="87">
        <f t="shared" si="13"/>
        <v>0</v>
      </c>
      <c r="W62" s="551">
        <f t="shared" si="13"/>
        <v>0</v>
      </c>
      <c r="X62" s="551">
        <f t="shared" si="2"/>
        <v>0</v>
      </c>
      <c r="Y62" s="86">
        <f t="shared" si="3"/>
        <v>2950279</v>
      </c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</row>
    <row r="63" spans="1:72" ht="24" hidden="1" customHeight="1" x14ac:dyDescent="0.25">
      <c r="A63" s="135"/>
      <c r="B63" s="285"/>
      <c r="C63" s="136" t="s">
        <v>18</v>
      </c>
      <c r="D63" s="231">
        <f t="shared" ref="D63:L63" si="14">D62</f>
        <v>1496654</v>
      </c>
      <c r="E63" s="231">
        <f t="shared" si="14"/>
        <v>441059</v>
      </c>
      <c r="F63" s="231">
        <f t="shared" si="14"/>
        <v>580923</v>
      </c>
      <c r="G63" s="231">
        <f t="shared" si="14"/>
        <v>140912</v>
      </c>
      <c r="H63" s="231">
        <f t="shared" si="14"/>
        <v>0</v>
      </c>
      <c r="I63" s="231">
        <f t="shared" si="14"/>
        <v>95902</v>
      </c>
      <c r="J63" s="231">
        <f t="shared" si="14"/>
        <v>0</v>
      </c>
      <c r="K63" s="231">
        <f t="shared" si="14"/>
        <v>0</v>
      </c>
      <c r="L63" s="231">
        <f t="shared" si="14"/>
        <v>182249</v>
      </c>
      <c r="M63" s="231">
        <f t="shared" ref="M63:W63" si="15">M62</f>
        <v>6580</v>
      </c>
      <c r="N63" s="231">
        <f t="shared" si="15"/>
        <v>0</v>
      </c>
      <c r="O63" s="231">
        <f t="shared" si="15"/>
        <v>6000</v>
      </c>
      <c r="P63" s="231">
        <f t="shared" si="15"/>
        <v>0</v>
      </c>
      <c r="Q63" s="231">
        <f t="shared" si="15"/>
        <v>0</v>
      </c>
      <c r="R63" s="231">
        <f t="shared" si="1"/>
        <v>2950279</v>
      </c>
      <c r="S63" s="231"/>
      <c r="T63" s="231">
        <f>T62</f>
        <v>0</v>
      </c>
      <c r="U63" s="231">
        <f>U62</f>
        <v>0</v>
      </c>
      <c r="V63" s="274">
        <f t="shared" si="15"/>
        <v>0</v>
      </c>
      <c r="W63" s="157">
        <f t="shared" si="15"/>
        <v>0</v>
      </c>
      <c r="X63" s="459">
        <f t="shared" si="2"/>
        <v>0</v>
      </c>
      <c r="Y63" s="346">
        <f t="shared" si="3"/>
        <v>2950279</v>
      </c>
    </row>
    <row r="64" spans="1:72" ht="24" hidden="1" customHeight="1" x14ac:dyDescent="0.25">
      <c r="A64" s="18"/>
      <c r="B64" s="533"/>
      <c r="C64" s="41"/>
      <c r="D64" s="532"/>
      <c r="E64" s="532"/>
      <c r="F64" s="532"/>
      <c r="G64" s="531"/>
      <c r="H64" s="531"/>
      <c r="I64" s="531"/>
      <c r="J64" s="531"/>
      <c r="K64" s="531"/>
      <c r="L64" s="531"/>
      <c r="M64" s="531"/>
      <c r="N64" s="531"/>
      <c r="O64" s="531"/>
      <c r="P64" s="531"/>
      <c r="Q64" s="531"/>
      <c r="R64" s="531"/>
      <c r="S64" s="531"/>
      <c r="T64" s="531"/>
      <c r="U64" s="531"/>
      <c r="V64" s="553"/>
      <c r="W64" s="531"/>
      <c r="X64" s="545"/>
      <c r="Y64" s="279"/>
    </row>
    <row r="65" spans="1:25" ht="24" hidden="1" customHeight="1" x14ac:dyDescent="0.2">
      <c r="A65" s="82">
        <v>1</v>
      </c>
      <c r="B65" s="30" t="s">
        <v>288</v>
      </c>
      <c r="C65" s="33" t="s">
        <v>289</v>
      </c>
      <c r="D65" s="161">
        <f>11336+1359.481+614</f>
        <v>13309.481</v>
      </c>
      <c r="E65" s="161">
        <f>2920.428+436.801+258.845</f>
        <v>3616.0739999999996</v>
      </c>
      <c r="F65" s="161">
        <f>5029.634+1244.811</f>
        <v>6274.4449999999997</v>
      </c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>
        <f t="shared" si="1"/>
        <v>23200</v>
      </c>
      <c r="S65" s="161"/>
      <c r="T65" s="161"/>
      <c r="U65" s="161"/>
      <c r="V65" s="167"/>
      <c r="W65" s="161"/>
      <c r="X65" s="467">
        <f t="shared" si="2"/>
        <v>0</v>
      </c>
      <c r="Y65" s="279">
        <f t="shared" si="3"/>
        <v>23200</v>
      </c>
    </row>
    <row r="66" spans="1:25" ht="24" hidden="1" customHeight="1" x14ac:dyDescent="0.25">
      <c r="A66" s="18">
        <v>2</v>
      </c>
      <c r="B66" s="30" t="s">
        <v>294</v>
      </c>
      <c r="C66" s="41" t="s">
        <v>293</v>
      </c>
      <c r="D66" s="161">
        <v>7464.2550000000001</v>
      </c>
      <c r="E66" s="161">
        <v>2177.02</v>
      </c>
      <c r="F66" s="161">
        <v>393.32499999999999</v>
      </c>
      <c r="G66" s="161"/>
      <c r="H66" s="161"/>
      <c r="I66" s="161">
        <v>8.4</v>
      </c>
      <c r="J66" s="161"/>
      <c r="K66" s="161"/>
      <c r="L66" s="161"/>
      <c r="M66" s="161"/>
      <c r="N66" s="161"/>
      <c r="O66" s="161"/>
      <c r="P66" s="161"/>
      <c r="Q66" s="161"/>
      <c r="R66" s="161">
        <f t="shared" si="1"/>
        <v>10043</v>
      </c>
      <c r="S66" s="161"/>
      <c r="T66" s="161"/>
      <c r="U66" s="161"/>
      <c r="V66" s="167"/>
      <c r="W66" s="161"/>
      <c r="X66" s="467">
        <f t="shared" si="2"/>
        <v>0</v>
      </c>
      <c r="Y66" s="279">
        <f t="shared" si="3"/>
        <v>10043</v>
      </c>
    </row>
    <row r="67" spans="1:25" ht="24" hidden="1" customHeight="1" x14ac:dyDescent="0.2">
      <c r="A67" s="82">
        <v>3</v>
      </c>
      <c r="B67" s="30" t="s">
        <v>296</v>
      </c>
      <c r="C67" s="41" t="s">
        <v>290</v>
      </c>
      <c r="D67" s="161">
        <v>6389.335</v>
      </c>
      <c r="E67" s="161">
        <v>1544.643</v>
      </c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>
        <f t="shared" si="1"/>
        <v>7933.9780000000001</v>
      </c>
      <c r="S67" s="161"/>
      <c r="T67" s="161"/>
      <c r="U67" s="161"/>
      <c r="V67" s="167"/>
      <c r="W67" s="161"/>
      <c r="X67" s="467">
        <f t="shared" si="2"/>
        <v>0</v>
      </c>
      <c r="Y67" s="279">
        <f t="shared" si="3"/>
        <v>7933.9780000000001</v>
      </c>
    </row>
    <row r="68" spans="1:25" ht="24" hidden="1" customHeight="1" x14ac:dyDescent="0.25">
      <c r="A68" s="18">
        <v>4</v>
      </c>
      <c r="B68" s="533"/>
      <c r="C68" s="28"/>
      <c r="D68" s="166"/>
      <c r="E68" s="166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>
        <f t="shared" si="1"/>
        <v>0</v>
      </c>
      <c r="S68" s="161"/>
      <c r="T68" s="161"/>
      <c r="U68" s="161"/>
      <c r="V68" s="167"/>
      <c r="W68" s="161"/>
      <c r="X68" s="467">
        <f t="shared" si="2"/>
        <v>0</v>
      </c>
      <c r="Y68" s="279">
        <f t="shared" si="3"/>
        <v>0</v>
      </c>
    </row>
    <row r="69" spans="1:25" ht="24" hidden="1" customHeight="1" x14ac:dyDescent="0.2">
      <c r="A69" s="82">
        <v>5</v>
      </c>
      <c r="B69" s="533"/>
      <c r="C69" s="34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>
        <f t="shared" si="1"/>
        <v>0</v>
      </c>
      <c r="S69" s="161"/>
      <c r="T69" s="161"/>
      <c r="U69" s="161"/>
      <c r="V69" s="167"/>
      <c r="W69" s="161"/>
      <c r="X69" s="467">
        <f t="shared" si="2"/>
        <v>0</v>
      </c>
      <c r="Y69" s="279">
        <f t="shared" si="3"/>
        <v>0</v>
      </c>
    </row>
    <row r="70" spans="1:25" ht="24" hidden="1" customHeight="1" x14ac:dyDescent="0.25">
      <c r="A70" s="478">
        <v>6</v>
      </c>
      <c r="B70" s="533"/>
      <c r="C70" s="33"/>
      <c r="D70" s="355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61"/>
      <c r="R70" s="161">
        <f t="shared" si="1"/>
        <v>0</v>
      </c>
      <c r="S70" s="161"/>
      <c r="T70" s="161"/>
      <c r="U70" s="161"/>
      <c r="V70" s="167"/>
      <c r="W70" s="161"/>
      <c r="X70" s="467">
        <f t="shared" si="2"/>
        <v>0</v>
      </c>
      <c r="Y70" s="279">
        <f t="shared" si="3"/>
        <v>0</v>
      </c>
    </row>
    <row r="71" spans="1:25" ht="24" hidden="1" customHeight="1" x14ac:dyDescent="0.2">
      <c r="A71" s="235">
        <v>7</v>
      </c>
      <c r="B71" s="533"/>
      <c r="C71" s="28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>
        <f t="shared" si="1"/>
        <v>0</v>
      </c>
      <c r="S71" s="161"/>
      <c r="T71" s="161"/>
      <c r="U71" s="161"/>
      <c r="V71" s="167"/>
      <c r="W71" s="161"/>
      <c r="X71" s="467">
        <f t="shared" si="2"/>
        <v>0</v>
      </c>
      <c r="Y71" s="279">
        <f t="shared" si="3"/>
        <v>0</v>
      </c>
    </row>
    <row r="72" spans="1:25" ht="24" hidden="1" customHeight="1" x14ac:dyDescent="0.2">
      <c r="A72" s="82">
        <v>8</v>
      </c>
      <c r="B72" s="533"/>
      <c r="C72" s="41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>
        <f t="shared" si="1"/>
        <v>0</v>
      </c>
      <c r="S72" s="161"/>
      <c r="T72" s="161"/>
      <c r="U72" s="161"/>
      <c r="V72" s="167"/>
      <c r="W72" s="161"/>
      <c r="X72" s="467">
        <f t="shared" si="2"/>
        <v>0</v>
      </c>
      <c r="Y72" s="279">
        <f t="shared" si="3"/>
        <v>0</v>
      </c>
    </row>
    <row r="73" spans="1:25" ht="24" hidden="1" customHeight="1" x14ac:dyDescent="0.2">
      <c r="A73" s="235">
        <v>9</v>
      </c>
      <c r="B73" s="533"/>
      <c r="C73" s="4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>
        <f t="shared" si="1"/>
        <v>0</v>
      </c>
      <c r="S73" s="161"/>
      <c r="T73" s="161"/>
      <c r="U73" s="161"/>
      <c r="V73" s="167"/>
      <c r="W73" s="161"/>
      <c r="X73" s="467">
        <f t="shared" si="2"/>
        <v>0</v>
      </c>
      <c r="Y73" s="279">
        <f t="shared" si="3"/>
        <v>0</v>
      </c>
    </row>
    <row r="74" spans="1:25" ht="24" hidden="1" customHeight="1" x14ac:dyDescent="0.2">
      <c r="A74" s="82">
        <v>10</v>
      </c>
      <c r="B74" s="533"/>
      <c r="C74" s="4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>
        <f t="shared" si="1"/>
        <v>0</v>
      </c>
      <c r="S74" s="161"/>
      <c r="T74" s="161"/>
      <c r="U74" s="161"/>
      <c r="V74" s="167"/>
      <c r="W74" s="161"/>
      <c r="X74" s="467">
        <f t="shared" si="2"/>
        <v>0</v>
      </c>
      <c r="Y74" s="279">
        <f t="shared" si="3"/>
        <v>0</v>
      </c>
    </row>
    <row r="75" spans="1:25" ht="24" hidden="1" customHeight="1" x14ac:dyDescent="0.2">
      <c r="A75" s="82">
        <v>11</v>
      </c>
      <c r="B75" s="533"/>
      <c r="C75" s="33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>
        <f t="shared" si="1"/>
        <v>0</v>
      </c>
      <c r="S75" s="161"/>
      <c r="T75" s="161"/>
      <c r="U75" s="161"/>
      <c r="V75" s="167"/>
      <c r="W75" s="161"/>
      <c r="X75" s="467">
        <f t="shared" si="2"/>
        <v>0</v>
      </c>
      <c r="Y75" s="279">
        <f t="shared" si="3"/>
        <v>0</v>
      </c>
    </row>
    <row r="76" spans="1:25" ht="24" hidden="1" customHeight="1" x14ac:dyDescent="0.2">
      <c r="A76" s="82">
        <v>12</v>
      </c>
      <c r="B76" s="533"/>
      <c r="C76" s="28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>
        <f t="shared" si="1"/>
        <v>0</v>
      </c>
      <c r="S76" s="161"/>
      <c r="T76" s="161"/>
      <c r="U76" s="161"/>
      <c r="V76" s="167"/>
      <c r="W76" s="161"/>
      <c r="X76" s="467">
        <f t="shared" si="2"/>
        <v>0</v>
      </c>
      <c r="Y76" s="279">
        <f t="shared" si="3"/>
        <v>0</v>
      </c>
    </row>
    <row r="77" spans="1:25" ht="24" hidden="1" customHeight="1" x14ac:dyDescent="0.2">
      <c r="A77" s="82">
        <v>13</v>
      </c>
      <c r="B77" s="533"/>
      <c r="C77" s="28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>
        <f t="shared" si="1"/>
        <v>0</v>
      </c>
      <c r="S77" s="161"/>
      <c r="T77" s="161"/>
      <c r="U77" s="161"/>
      <c r="V77" s="167"/>
      <c r="W77" s="161"/>
      <c r="X77" s="467">
        <f t="shared" si="2"/>
        <v>0</v>
      </c>
      <c r="Y77" s="279">
        <f t="shared" si="3"/>
        <v>0</v>
      </c>
    </row>
    <row r="78" spans="1:25" ht="24" hidden="1" customHeight="1" x14ac:dyDescent="0.2">
      <c r="A78" s="82">
        <v>14</v>
      </c>
      <c r="B78" s="533"/>
      <c r="C78" s="4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>
        <f t="shared" si="1"/>
        <v>0</v>
      </c>
      <c r="S78" s="161"/>
      <c r="T78" s="161"/>
      <c r="U78" s="161"/>
      <c r="V78" s="167"/>
      <c r="W78" s="161"/>
      <c r="X78" s="467">
        <f t="shared" si="2"/>
        <v>0</v>
      </c>
      <c r="Y78" s="279">
        <f t="shared" si="3"/>
        <v>0</v>
      </c>
    </row>
    <row r="79" spans="1:25" ht="24" hidden="1" customHeight="1" x14ac:dyDescent="0.2">
      <c r="A79" s="82">
        <v>15</v>
      </c>
      <c r="B79" s="533"/>
      <c r="C79" s="28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>
        <f t="shared" si="1"/>
        <v>0</v>
      </c>
      <c r="S79" s="161"/>
      <c r="T79" s="161"/>
      <c r="U79" s="161"/>
      <c r="V79" s="167"/>
      <c r="W79" s="161"/>
      <c r="X79" s="467">
        <f t="shared" si="2"/>
        <v>0</v>
      </c>
      <c r="Y79" s="279">
        <f t="shared" si="3"/>
        <v>0</v>
      </c>
    </row>
    <row r="80" spans="1:25" ht="24" hidden="1" customHeight="1" x14ac:dyDescent="0.2">
      <c r="A80" s="82"/>
      <c r="B80" s="533"/>
      <c r="C80" s="28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7"/>
      <c r="W80" s="161"/>
      <c r="X80" s="467"/>
      <c r="Y80" s="279">
        <f t="shared" ref="Y80:Y152" si="16">R80+X80</f>
        <v>0</v>
      </c>
    </row>
    <row r="81" spans="1:25" ht="24" hidden="1" customHeight="1" x14ac:dyDescent="0.2">
      <c r="A81" s="82"/>
      <c r="B81" s="533"/>
      <c r="C81" s="28"/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7"/>
      <c r="W81" s="161"/>
      <c r="X81" s="467"/>
      <c r="Y81" s="279">
        <f t="shared" si="16"/>
        <v>0</v>
      </c>
    </row>
    <row r="82" spans="1:25" ht="9.9499999999999993" hidden="1" customHeight="1" x14ac:dyDescent="0.2">
      <c r="A82" s="82"/>
      <c r="B82" s="30"/>
      <c r="C82" s="28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>
        <f t="shared" ref="R82:R152" si="17">SUM(D82:Q82)</f>
        <v>0</v>
      </c>
      <c r="S82" s="161"/>
      <c r="T82" s="161"/>
      <c r="U82" s="161"/>
      <c r="V82" s="167"/>
      <c r="W82" s="161"/>
      <c r="X82" s="467"/>
      <c r="Y82" s="279">
        <f t="shared" si="16"/>
        <v>0</v>
      </c>
    </row>
    <row r="83" spans="1:25" ht="30" hidden="1" customHeight="1" x14ac:dyDescent="0.2">
      <c r="A83" s="218" t="s">
        <v>96</v>
      </c>
      <c r="B83" s="214"/>
      <c r="C83" s="219" t="s">
        <v>94</v>
      </c>
      <c r="D83" s="161">
        <f t="shared" ref="D83:Q83" si="18">SUM(D64:D82)</f>
        <v>27163.071</v>
      </c>
      <c r="E83" s="161">
        <f t="shared" si="18"/>
        <v>7337.7369999999992</v>
      </c>
      <c r="F83" s="161">
        <f t="shared" si="18"/>
        <v>6667.7699999999995</v>
      </c>
      <c r="G83" s="161">
        <f t="shared" si="18"/>
        <v>0</v>
      </c>
      <c r="H83" s="161">
        <f t="shared" si="18"/>
        <v>0</v>
      </c>
      <c r="I83" s="161">
        <f t="shared" si="18"/>
        <v>8.4</v>
      </c>
      <c r="J83" s="161">
        <f t="shared" si="18"/>
        <v>0</v>
      </c>
      <c r="K83" s="161">
        <f t="shared" si="18"/>
        <v>0</v>
      </c>
      <c r="L83" s="161">
        <f t="shared" si="18"/>
        <v>0</v>
      </c>
      <c r="M83" s="161">
        <f t="shared" si="18"/>
        <v>0</v>
      </c>
      <c r="N83" s="161">
        <f t="shared" si="18"/>
        <v>0</v>
      </c>
      <c r="O83" s="161">
        <f t="shared" si="18"/>
        <v>0</v>
      </c>
      <c r="P83" s="161">
        <f t="shared" si="18"/>
        <v>0</v>
      </c>
      <c r="Q83" s="161">
        <f t="shared" si="18"/>
        <v>0</v>
      </c>
      <c r="R83" s="161">
        <f t="shared" si="17"/>
        <v>41176.977999999996</v>
      </c>
      <c r="S83" s="161"/>
      <c r="T83" s="161">
        <f>SUM(T64:T82)</f>
        <v>0</v>
      </c>
      <c r="U83" s="161">
        <f>SUM(U64:U82)</f>
        <v>0</v>
      </c>
      <c r="V83" s="167">
        <f>SUM(V64:V82)</f>
        <v>0</v>
      </c>
      <c r="W83" s="161">
        <f>SUM(W64:W82)</f>
        <v>0</v>
      </c>
      <c r="X83" s="467">
        <f t="shared" ref="X83:X152" si="19">SUM(T83:W83)</f>
        <v>0</v>
      </c>
      <c r="Y83" s="349">
        <f t="shared" si="16"/>
        <v>41176.977999999996</v>
      </c>
    </row>
    <row r="84" spans="1:25" ht="9.9499999999999993" hidden="1" customHeight="1" x14ac:dyDescent="0.2">
      <c r="A84" s="82"/>
      <c r="B84" s="543"/>
      <c r="C84" s="28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>
        <f t="shared" si="17"/>
        <v>0</v>
      </c>
      <c r="S84" s="161"/>
      <c r="T84" s="161"/>
      <c r="U84" s="161"/>
      <c r="V84" s="167"/>
      <c r="W84" s="161"/>
      <c r="X84" s="467">
        <f t="shared" si="19"/>
        <v>0</v>
      </c>
      <c r="Y84" s="279">
        <f t="shared" si="16"/>
        <v>0</v>
      </c>
    </row>
    <row r="85" spans="1:25" ht="24" hidden="1" customHeight="1" x14ac:dyDescent="0.25">
      <c r="A85" s="18">
        <v>1</v>
      </c>
      <c r="B85" s="533" t="s">
        <v>270</v>
      </c>
      <c r="C85" s="344" t="s">
        <v>271</v>
      </c>
      <c r="D85" s="544"/>
      <c r="E85" s="544"/>
      <c r="F85" s="161">
        <f>-1529-413-429-116+429+116</f>
        <v>-1942</v>
      </c>
      <c r="G85" s="544"/>
      <c r="H85" s="544"/>
      <c r="I85" s="544"/>
      <c r="J85" s="544"/>
      <c r="K85" s="544"/>
      <c r="L85" s="544">
        <f>1529+413</f>
        <v>1942</v>
      </c>
      <c r="M85" s="544"/>
      <c r="N85" s="544"/>
      <c r="O85" s="544"/>
      <c r="P85" s="544"/>
      <c r="Q85" s="544"/>
      <c r="R85" s="544">
        <f t="shared" si="17"/>
        <v>0</v>
      </c>
      <c r="S85" s="544"/>
      <c r="T85" s="544"/>
      <c r="U85" s="544"/>
      <c r="V85" s="554"/>
      <c r="W85" s="544"/>
      <c r="X85" s="545">
        <f t="shared" si="19"/>
        <v>0</v>
      </c>
      <c r="Y85" s="279">
        <f t="shared" si="16"/>
        <v>0</v>
      </c>
    </row>
    <row r="86" spans="1:25" ht="24" hidden="1" customHeight="1" x14ac:dyDescent="0.2">
      <c r="A86" s="235">
        <v>2</v>
      </c>
      <c r="B86" s="30" t="s">
        <v>272</v>
      </c>
      <c r="C86" s="41" t="s">
        <v>273</v>
      </c>
      <c r="D86" s="161"/>
      <c r="E86" s="161"/>
      <c r="G86" s="161"/>
      <c r="H86" s="161"/>
      <c r="I86" s="161"/>
      <c r="J86" s="161"/>
      <c r="K86" s="161"/>
      <c r="L86" s="161">
        <f>271+73</f>
        <v>344</v>
      </c>
      <c r="M86" s="161">
        <f>-271-73</f>
        <v>-344</v>
      </c>
      <c r="N86" s="161"/>
      <c r="O86" s="161"/>
      <c r="P86" s="161"/>
      <c r="Q86" s="161"/>
      <c r="R86" s="161">
        <f t="shared" si="17"/>
        <v>0</v>
      </c>
      <c r="S86" s="161"/>
      <c r="T86" s="161"/>
      <c r="U86" s="161"/>
      <c r="V86" s="167"/>
      <c r="W86" s="161"/>
      <c r="X86" s="467">
        <f t="shared" si="19"/>
        <v>0</v>
      </c>
      <c r="Y86" s="279">
        <f t="shared" si="16"/>
        <v>0</v>
      </c>
    </row>
    <row r="87" spans="1:25" ht="24" hidden="1" customHeight="1" x14ac:dyDescent="0.2">
      <c r="A87" s="82">
        <v>3</v>
      </c>
      <c r="B87" s="534" t="s">
        <v>274</v>
      </c>
      <c r="C87" s="41" t="s">
        <v>275</v>
      </c>
      <c r="D87" s="161"/>
      <c r="E87" s="161"/>
      <c r="F87" s="161">
        <f>-1147-310</f>
        <v>-1457</v>
      </c>
      <c r="G87" s="161"/>
      <c r="H87" s="161"/>
      <c r="I87" s="161"/>
      <c r="J87" s="161"/>
      <c r="K87" s="161"/>
      <c r="L87" s="161">
        <f>360+97</f>
        <v>457</v>
      </c>
      <c r="M87" s="161">
        <f>787+213</f>
        <v>1000</v>
      </c>
      <c r="N87" s="161"/>
      <c r="O87" s="161"/>
      <c r="P87" s="161"/>
      <c r="Q87" s="161"/>
      <c r="R87" s="161">
        <f t="shared" si="17"/>
        <v>0</v>
      </c>
      <c r="S87" s="161"/>
      <c r="T87" s="161"/>
      <c r="U87" s="161"/>
      <c r="V87" s="167"/>
      <c r="W87" s="161"/>
      <c r="X87" s="467">
        <f t="shared" si="19"/>
        <v>0</v>
      </c>
      <c r="Y87" s="279">
        <f t="shared" si="16"/>
        <v>0</v>
      </c>
    </row>
    <row r="88" spans="1:25" ht="24" hidden="1" customHeight="1" x14ac:dyDescent="0.2">
      <c r="A88" s="235"/>
      <c r="B88" s="188" t="s">
        <v>276</v>
      </c>
      <c r="C88" s="41" t="s">
        <v>277</v>
      </c>
      <c r="D88" s="161">
        <f>2590+4595</f>
        <v>7185</v>
      </c>
      <c r="E88" s="161">
        <f>1870.02</f>
        <v>1870.02</v>
      </c>
      <c r="F88" s="161">
        <f>64.612+9.638+101.65+294+1530.04+255.53+4.47+1017.183+400.074</f>
        <v>3677.1970000000001</v>
      </c>
      <c r="G88" s="161"/>
      <c r="H88" s="161"/>
      <c r="I88" s="161">
        <f>60.189</f>
        <v>60.189</v>
      </c>
      <c r="J88" s="161">
        <f>54.787+99.386</f>
        <v>154.173</v>
      </c>
      <c r="K88" s="161"/>
      <c r="L88" s="161"/>
      <c r="M88" s="161"/>
      <c r="N88" s="161"/>
      <c r="O88" s="161"/>
      <c r="P88" s="161"/>
      <c r="Q88" s="161"/>
      <c r="R88" s="161">
        <f t="shared" si="17"/>
        <v>12946.579000000002</v>
      </c>
      <c r="S88" s="161"/>
      <c r="T88" s="161"/>
      <c r="U88" s="161"/>
      <c r="V88" s="167"/>
      <c r="W88" s="161"/>
      <c r="X88" s="467">
        <f t="shared" si="19"/>
        <v>0</v>
      </c>
      <c r="Y88" s="279">
        <f t="shared" si="16"/>
        <v>12946.579000000002</v>
      </c>
    </row>
    <row r="89" spans="1:25" ht="24" hidden="1" customHeight="1" x14ac:dyDescent="0.2">
      <c r="A89" s="82"/>
      <c r="B89" s="30" t="s">
        <v>278</v>
      </c>
      <c r="C89" s="28" t="s">
        <v>284</v>
      </c>
      <c r="D89" s="161">
        <f>2260+4560</f>
        <v>6820</v>
      </c>
      <c r="E89" s="161">
        <f>1780.38</f>
        <v>1780.38</v>
      </c>
      <c r="F89" s="161">
        <f>25.385+30.919+29+55.188+294+1540.98+285.6+24.676+705.778+398.187</f>
        <v>3389.7129999999997</v>
      </c>
      <c r="G89" s="161"/>
      <c r="H89" s="161"/>
      <c r="I89" s="161"/>
      <c r="J89" s="161">
        <f>49.927+97.848</f>
        <v>147.77500000000001</v>
      </c>
      <c r="K89" s="161"/>
      <c r="L89" s="161"/>
      <c r="M89" s="161"/>
      <c r="N89" s="161"/>
      <c r="O89" s="161"/>
      <c r="P89" s="161"/>
      <c r="Q89" s="161"/>
      <c r="R89" s="161">
        <f t="shared" si="17"/>
        <v>12137.868</v>
      </c>
      <c r="S89" s="161"/>
      <c r="T89" s="161"/>
      <c r="U89" s="161"/>
      <c r="V89" s="167"/>
      <c r="W89" s="161"/>
      <c r="X89" s="467">
        <f t="shared" si="19"/>
        <v>0</v>
      </c>
      <c r="Y89" s="279">
        <f t="shared" si="16"/>
        <v>12137.868</v>
      </c>
    </row>
    <row r="90" spans="1:25" ht="24" hidden="1" customHeight="1" x14ac:dyDescent="0.2">
      <c r="A90" s="235"/>
      <c r="B90" s="30" t="s">
        <v>283</v>
      </c>
      <c r="C90" s="28" t="s">
        <v>285</v>
      </c>
      <c r="D90" s="161"/>
      <c r="E90" s="161"/>
      <c r="F90" s="161">
        <v>-674</v>
      </c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>
        <f t="shared" si="17"/>
        <v>-674</v>
      </c>
      <c r="S90" s="161"/>
      <c r="T90" s="161"/>
      <c r="U90" s="161"/>
      <c r="V90" s="167"/>
      <c r="W90" s="161"/>
      <c r="X90" s="467">
        <f t="shared" si="19"/>
        <v>0</v>
      </c>
      <c r="Y90" s="279">
        <f t="shared" si="16"/>
        <v>-674</v>
      </c>
    </row>
    <row r="91" spans="1:25" ht="24" hidden="1" customHeight="1" x14ac:dyDescent="0.2">
      <c r="A91" s="82"/>
      <c r="B91" s="533" t="s">
        <v>279</v>
      </c>
      <c r="C91" s="41" t="s">
        <v>299</v>
      </c>
      <c r="D91" s="532">
        <f>-3500</f>
        <v>-3500</v>
      </c>
      <c r="E91" s="532">
        <f>3000</f>
        <v>3000</v>
      </c>
      <c r="F91" s="532">
        <f>-3000+3500</f>
        <v>500</v>
      </c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>
        <f t="shared" si="17"/>
        <v>0</v>
      </c>
      <c r="S91" s="161"/>
      <c r="T91" s="161"/>
      <c r="U91" s="161"/>
      <c r="V91" s="167"/>
      <c r="W91" s="161"/>
      <c r="X91" s="467">
        <f t="shared" si="19"/>
        <v>0</v>
      </c>
      <c r="Y91" s="279">
        <f t="shared" si="16"/>
        <v>0</v>
      </c>
    </row>
    <row r="92" spans="1:25" ht="24" hidden="1" customHeight="1" x14ac:dyDescent="0.2">
      <c r="A92" s="82"/>
      <c r="B92" s="32"/>
      <c r="C92" s="34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>
        <f t="shared" si="17"/>
        <v>0</v>
      </c>
      <c r="S92" s="161"/>
      <c r="T92" s="161"/>
      <c r="U92" s="161"/>
      <c r="V92" s="167"/>
      <c r="W92" s="161"/>
      <c r="X92" s="467">
        <f t="shared" si="19"/>
        <v>0</v>
      </c>
      <c r="Y92" s="279">
        <f t="shared" si="16"/>
        <v>0</v>
      </c>
    </row>
    <row r="93" spans="1:25" ht="24" hidden="1" customHeight="1" x14ac:dyDescent="0.2">
      <c r="A93" s="82"/>
      <c r="B93" s="32"/>
      <c r="C93" s="34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>
        <f t="shared" si="17"/>
        <v>0</v>
      </c>
      <c r="S93" s="161"/>
      <c r="T93" s="161"/>
      <c r="U93" s="161"/>
      <c r="V93" s="167"/>
      <c r="W93" s="161"/>
      <c r="X93" s="467">
        <f t="shared" si="19"/>
        <v>0</v>
      </c>
      <c r="Y93" s="279">
        <f t="shared" si="16"/>
        <v>0</v>
      </c>
    </row>
    <row r="94" spans="1:25" ht="24" hidden="1" customHeight="1" x14ac:dyDescent="0.2">
      <c r="A94" s="82"/>
      <c r="B94" s="32"/>
      <c r="C94" s="34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>
        <f t="shared" si="17"/>
        <v>0</v>
      </c>
      <c r="S94" s="161"/>
      <c r="T94" s="161"/>
      <c r="U94" s="161"/>
      <c r="V94" s="167"/>
      <c r="W94" s="161"/>
      <c r="X94" s="467">
        <f t="shared" si="19"/>
        <v>0</v>
      </c>
      <c r="Y94" s="279">
        <f t="shared" si="16"/>
        <v>0</v>
      </c>
    </row>
    <row r="95" spans="1:25" ht="24" hidden="1" customHeight="1" x14ac:dyDescent="0.2">
      <c r="A95" s="82"/>
      <c r="B95" s="31"/>
      <c r="C95" s="41"/>
      <c r="D95" s="166"/>
      <c r="E95" s="166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>
        <f t="shared" si="17"/>
        <v>0</v>
      </c>
      <c r="S95" s="161"/>
      <c r="T95" s="161"/>
      <c r="U95" s="161"/>
      <c r="V95" s="167"/>
      <c r="W95" s="161"/>
      <c r="X95" s="467">
        <f t="shared" si="19"/>
        <v>0</v>
      </c>
      <c r="Y95" s="279">
        <f t="shared" si="16"/>
        <v>0</v>
      </c>
    </row>
    <row r="96" spans="1:25" ht="24" hidden="1" customHeight="1" x14ac:dyDescent="0.2">
      <c r="A96" s="82"/>
      <c r="B96" s="31"/>
      <c r="C96" s="4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>
        <f t="shared" si="17"/>
        <v>0</v>
      </c>
      <c r="S96" s="161"/>
      <c r="T96" s="161"/>
      <c r="U96" s="161"/>
      <c r="V96" s="167"/>
      <c r="W96" s="161"/>
      <c r="X96" s="467">
        <f t="shared" si="19"/>
        <v>0</v>
      </c>
      <c r="Y96" s="279">
        <f t="shared" si="16"/>
        <v>0</v>
      </c>
    </row>
    <row r="97" spans="1:25" ht="24" hidden="1" customHeight="1" x14ac:dyDescent="0.2">
      <c r="A97" s="82"/>
      <c r="B97" s="31"/>
      <c r="C97" s="4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>
        <f t="shared" si="17"/>
        <v>0</v>
      </c>
      <c r="S97" s="161"/>
      <c r="T97" s="161"/>
      <c r="U97" s="161"/>
      <c r="V97" s="167"/>
      <c r="W97" s="161"/>
      <c r="X97" s="467">
        <f t="shared" si="19"/>
        <v>0</v>
      </c>
      <c r="Y97" s="279">
        <f t="shared" si="16"/>
        <v>0</v>
      </c>
    </row>
    <row r="98" spans="1:25" ht="24" hidden="1" customHeight="1" x14ac:dyDescent="0.2">
      <c r="A98" s="82"/>
      <c r="B98" s="31"/>
      <c r="C98" s="41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>
        <f t="shared" si="17"/>
        <v>0</v>
      </c>
      <c r="S98" s="161"/>
      <c r="T98" s="161"/>
      <c r="U98" s="161"/>
      <c r="V98" s="167"/>
      <c r="W98" s="161"/>
      <c r="X98" s="467">
        <f t="shared" si="19"/>
        <v>0</v>
      </c>
      <c r="Y98" s="279">
        <f t="shared" si="16"/>
        <v>0</v>
      </c>
    </row>
    <row r="99" spans="1:25" ht="24" hidden="1" customHeight="1" x14ac:dyDescent="0.2">
      <c r="A99" s="82"/>
      <c r="B99" s="106"/>
      <c r="C99" s="28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/>
      <c r="P99" s="161"/>
      <c r="Q99" s="161"/>
      <c r="R99" s="161">
        <f t="shared" si="17"/>
        <v>0</v>
      </c>
      <c r="S99" s="161"/>
      <c r="T99" s="161"/>
      <c r="U99" s="161"/>
      <c r="V99" s="167"/>
      <c r="W99" s="161"/>
      <c r="X99" s="467">
        <f t="shared" si="19"/>
        <v>0</v>
      </c>
      <c r="Y99" s="279">
        <f t="shared" si="16"/>
        <v>0</v>
      </c>
    </row>
    <row r="100" spans="1:25" ht="9.9499999999999993" hidden="1" customHeight="1" x14ac:dyDescent="0.2">
      <c r="A100" s="82"/>
      <c r="B100" s="126"/>
      <c r="C100" s="4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>
        <f t="shared" si="17"/>
        <v>0</v>
      </c>
      <c r="S100" s="161"/>
      <c r="T100" s="161"/>
      <c r="U100" s="161"/>
      <c r="V100" s="167"/>
      <c r="W100" s="161"/>
      <c r="X100" s="467">
        <f t="shared" si="19"/>
        <v>0</v>
      </c>
      <c r="Y100" s="279">
        <f t="shared" si="16"/>
        <v>0</v>
      </c>
    </row>
    <row r="101" spans="1:25" ht="30" hidden="1" customHeight="1" x14ac:dyDescent="0.2">
      <c r="A101" s="218" t="s">
        <v>97</v>
      </c>
      <c r="B101" s="214"/>
      <c r="C101" s="219" t="s">
        <v>95</v>
      </c>
      <c r="D101" s="161">
        <f t="shared" ref="D101:Q101" si="20">SUM(D85:D100)</f>
        <v>10505</v>
      </c>
      <c r="E101" s="161">
        <f t="shared" si="20"/>
        <v>6650.4</v>
      </c>
      <c r="F101" s="161">
        <f t="shared" si="20"/>
        <v>3493.91</v>
      </c>
      <c r="G101" s="161">
        <f t="shared" si="20"/>
        <v>0</v>
      </c>
      <c r="H101" s="161">
        <f t="shared" si="20"/>
        <v>0</v>
      </c>
      <c r="I101" s="161">
        <f t="shared" si="20"/>
        <v>60.189</v>
      </c>
      <c r="J101" s="161">
        <f t="shared" si="20"/>
        <v>301.94799999999998</v>
      </c>
      <c r="K101" s="161">
        <f t="shared" si="20"/>
        <v>0</v>
      </c>
      <c r="L101" s="161">
        <f t="shared" si="20"/>
        <v>2743</v>
      </c>
      <c r="M101" s="161">
        <f t="shared" si="20"/>
        <v>656</v>
      </c>
      <c r="N101" s="161">
        <f t="shared" si="20"/>
        <v>0</v>
      </c>
      <c r="O101" s="161">
        <f t="shared" si="20"/>
        <v>0</v>
      </c>
      <c r="P101" s="161">
        <f t="shared" si="20"/>
        <v>0</v>
      </c>
      <c r="Q101" s="161">
        <f t="shared" si="20"/>
        <v>0</v>
      </c>
      <c r="R101" s="161">
        <f t="shared" si="17"/>
        <v>24410.447</v>
      </c>
      <c r="S101" s="161"/>
      <c r="T101" s="161">
        <f>SUM(T85:T100)</f>
        <v>0</v>
      </c>
      <c r="U101" s="161">
        <f>SUM(U85:U100)</f>
        <v>0</v>
      </c>
      <c r="V101" s="167">
        <f>SUM(V85:V100)</f>
        <v>0</v>
      </c>
      <c r="W101" s="161">
        <f>SUM(W85:W100)</f>
        <v>0</v>
      </c>
      <c r="X101" s="467">
        <f t="shared" si="19"/>
        <v>0</v>
      </c>
      <c r="Y101" s="349">
        <f t="shared" si="16"/>
        <v>24410.447</v>
      </c>
    </row>
    <row r="102" spans="1:25" ht="9.9499999999999993" hidden="1" customHeight="1" x14ac:dyDescent="0.2">
      <c r="A102" s="82"/>
      <c r="B102" s="126"/>
      <c r="C102" s="41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>
        <f t="shared" si="17"/>
        <v>0</v>
      </c>
      <c r="S102" s="72"/>
      <c r="T102" s="72"/>
      <c r="U102" s="72"/>
      <c r="V102" s="73"/>
      <c r="W102" s="72"/>
      <c r="X102" s="216">
        <f t="shared" si="19"/>
        <v>0</v>
      </c>
      <c r="Y102" s="276">
        <f t="shared" si="16"/>
        <v>0</v>
      </c>
    </row>
    <row r="103" spans="1:25" ht="24" hidden="1" customHeight="1" x14ac:dyDescent="0.2">
      <c r="A103" s="82"/>
      <c r="B103" s="31"/>
      <c r="C103" s="41" t="s">
        <v>75</v>
      </c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>
        <f t="shared" si="17"/>
        <v>0</v>
      </c>
      <c r="S103" s="72"/>
      <c r="T103" s="72"/>
      <c r="U103" s="72"/>
      <c r="V103" s="73"/>
      <c r="W103" s="72"/>
      <c r="X103" s="216">
        <f t="shared" si="19"/>
        <v>0</v>
      </c>
      <c r="Y103" s="276">
        <f t="shared" si="16"/>
        <v>0</v>
      </c>
    </row>
    <row r="104" spans="1:25" ht="17.25" hidden="1" thickBot="1" x14ac:dyDescent="0.25">
      <c r="A104" s="82"/>
      <c r="B104" s="106"/>
      <c r="C104" s="107"/>
      <c r="D104" s="108"/>
      <c r="E104" s="108"/>
      <c r="F104" s="72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>
        <f t="shared" si="17"/>
        <v>0</v>
      </c>
      <c r="S104" s="108"/>
      <c r="T104" s="108"/>
      <c r="U104" s="108"/>
      <c r="V104" s="109"/>
      <c r="W104" s="108"/>
      <c r="X104" s="546">
        <f t="shared" si="19"/>
        <v>0</v>
      </c>
      <c r="Y104" s="277">
        <f t="shared" si="16"/>
        <v>0</v>
      </c>
    </row>
    <row r="105" spans="1:25" ht="30" hidden="1" customHeight="1" thickTop="1" thickBot="1" x14ac:dyDescent="0.25">
      <c r="A105" s="42"/>
      <c r="B105" s="345" t="s">
        <v>21</v>
      </c>
      <c r="C105" s="44" t="s">
        <v>98</v>
      </c>
      <c r="D105" s="86">
        <f t="shared" ref="D105:Q105" si="21">D83+D101</f>
        <v>37668.070999999996</v>
      </c>
      <c r="E105" s="86">
        <f t="shared" si="21"/>
        <v>13988.136999999999</v>
      </c>
      <c r="F105" s="86">
        <f t="shared" si="21"/>
        <v>10161.68</v>
      </c>
      <c r="G105" s="86">
        <f t="shared" si="21"/>
        <v>0</v>
      </c>
      <c r="H105" s="86">
        <f t="shared" si="21"/>
        <v>0</v>
      </c>
      <c r="I105" s="86">
        <f t="shared" si="21"/>
        <v>68.588999999999999</v>
      </c>
      <c r="J105" s="86">
        <f t="shared" si="21"/>
        <v>301.94799999999998</v>
      </c>
      <c r="K105" s="86">
        <f t="shared" si="21"/>
        <v>0</v>
      </c>
      <c r="L105" s="86">
        <f t="shared" si="21"/>
        <v>2743</v>
      </c>
      <c r="M105" s="86">
        <f t="shared" si="21"/>
        <v>656</v>
      </c>
      <c r="N105" s="86">
        <f t="shared" si="21"/>
        <v>0</v>
      </c>
      <c r="O105" s="86">
        <f t="shared" si="21"/>
        <v>0</v>
      </c>
      <c r="P105" s="86">
        <f t="shared" si="21"/>
        <v>0</v>
      </c>
      <c r="Q105" s="86">
        <f t="shared" si="21"/>
        <v>0</v>
      </c>
      <c r="R105" s="86">
        <f t="shared" si="17"/>
        <v>65587.424999999988</v>
      </c>
      <c r="S105" s="86"/>
      <c r="T105" s="86">
        <f>T83+T101</f>
        <v>0</v>
      </c>
      <c r="U105" s="86">
        <f>U83+U101</f>
        <v>0</v>
      </c>
      <c r="V105" s="87">
        <f>V83+V101</f>
        <v>0</v>
      </c>
      <c r="W105" s="547">
        <f>W83+W101</f>
        <v>0</v>
      </c>
      <c r="X105" s="548">
        <f t="shared" si="19"/>
        <v>0</v>
      </c>
      <c r="Y105" s="278">
        <f t="shared" si="16"/>
        <v>65587.424999999988</v>
      </c>
    </row>
    <row r="106" spans="1:25" ht="30" hidden="1" customHeight="1" thickTop="1" thickBot="1" x14ac:dyDescent="0.25">
      <c r="A106" s="42"/>
      <c r="B106" s="284" t="s">
        <v>211</v>
      </c>
      <c r="C106" s="44" t="s">
        <v>166</v>
      </c>
      <c r="D106" s="267">
        <f t="shared" ref="D106:Q106" si="22">D63+D105</f>
        <v>1534322.071</v>
      </c>
      <c r="E106" s="267">
        <f t="shared" si="22"/>
        <v>455047.13699999999</v>
      </c>
      <c r="F106" s="267">
        <f t="shared" si="22"/>
        <v>591084.68000000005</v>
      </c>
      <c r="G106" s="267">
        <f t="shared" si="22"/>
        <v>140912</v>
      </c>
      <c r="H106" s="267">
        <f t="shared" si="22"/>
        <v>0</v>
      </c>
      <c r="I106" s="267">
        <f t="shared" si="22"/>
        <v>95970.589000000007</v>
      </c>
      <c r="J106" s="267">
        <f t="shared" si="22"/>
        <v>301.94799999999998</v>
      </c>
      <c r="K106" s="267">
        <f t="shared" si="22"/>
        <v>0</v>
      </c>
      <c r="L106" s="267">
        <f t="shared" si="22"/>
        <v>184992</v>
      </c>
      <c r="M106" s="267">
        <f t="shared" si="22"/>
        <v>7236</v>
      </c>
      <c r="N106" s="267">
        <f t="shared" si="22"/>
        <v>0</v>
      </c>
      <c r="O106" s="267">
        <f t="shared" si="22"/>
        <v>6000</v>
      </c>
      <c r="P106" s="267">
        <f t="shared" si="22"/>
        <v>0</v>
      </c>
      <c r="Q106" s="267">
        <f t="shared" si="22"/>
        <v>0</v>
      </c>
      <c r="R106" s="267">
        <f>SUM(D106:Q106)</f>
        <v>3015866.4250000003</v>
      </c>
      <c r="S106" s="267"/>
      <c r="T106" s="267">
        <f>T63+T105</f>
        <v>0</v>
      </c>
      <c r="U106" s="267">
        <f>U63+U105</f>
        <v>0</v>
      </c>
      <c r="V106" s="267">
        <f>V63+V105</f>
        <v>0</v>
      </c>
      <c r="W106" s="338">
        <f>W63+W105</f>
        <v>0</v>
      </c>
      <c r="X106" s="461">
        <f t="shared" si="19"/>
        <v>0</v>
      </c>
      <c r="Y106" s="243">
        <f>R106+X106</f>
        <v>3015866.4250000003</v>
      </c>
    </row>
    <row r="107" spans="1:25" ht="29.25" hidden="1" customHeight="1" thickTop="1" x14ac:dyDescent="0.25">
      <c r="A107" s="135"/>
      <c r="B107" s="552" t="s">
        <v>301</v>
      </c>
      <c r="C107" s="136" t="s">
        <v>18</v>
      </c>
      <c r="D107" s="231">
        <f t="shared" ref="D107:W107" si="23">D106</f>
        <v>1534322.071</v>
      </c>
      <c r="E107" s="231">
        <f t="shared" si="23"/>
        <v>455047.13699999999</v>
      </c>
      <c r="F107" s="231">
        <f t="shared" si="23"/>
        <v>591084.68000000005</v>
      </c>
      <c r="G107" s="231">
        <f t="shared" si="23"/>
        <v>140912</v>
      </c>
      <c r="H107" s="231">
        <f t="shared" si="23"/>
        <v>0</v>
      </c>
      <c r="I107" s="231">
        <f t="shared" si="23"/>
        <v>95970.589000000007</v>
      </c>
      <c r="J107" s="231">
        <f t="shared" si="23"/>
        <v>301.94799999999998</v>
      </c>
      <c r="K107" s="231">
        <f t="shared" si="23"/>
        <v>0</v>
      </c>
      <c r="L107" s="231">
        <f t="shared" si="23"/>
        <v>184992</v>
      </c>
      <c r="M107" s="231">
        <f t="shared" si="23"/>
        <v>7236</v>
      </c>
      <c r="N107" s="231">
        <f t="shared" si="23"/>
        <v>0</v>
      </c>
      <c r="O107" s="231">
        <f t="shared" si="23"/>
        <v>6000</v>
      </c>
      <c r="P107" s="231">
        <f t="shared" si="23"/>
        <v>0</v>
      </c>
      <c r="Q107" s="231">
        <f t="shared" si="23"/>
        <v>0</v>
      </c>
      <c r="R107" s="231">
        <f t="shared" si="17"/>
        <v>3015866.4250000003</v>
      </c>
      <c r="S107" s="231"/>
      <c r="T107" s="231">
        <f>T106</f>
        <v>0</v>
      </c>
      <c r="U107" s="231">
        <f>U106</f>
        <v>0</v>
      </c>
      <c r="V107" s="274">
        <f t="shared" si="23"/>
        <v>0</v>
      </c>
      <c r="W107" s="231">
        <f t="shared" si="23"/>
        <v>0</v>
      </c>
      <c r="X107" s="274">
        <f t="shared" si="19"/>
        <v>0</v>
      </c>
      <c r="Y107" s="275">
        <f t="shared" si="16"/>
        <v>3015866.4250000003</v>
      </c>
    </row>
    <row r="108" spans="1:25" ht="30.75" hidden="1" customHeight="1" x14ac:dyDescent="0.2">
      <c r="A108" s="82">
        <v>1</v>
      </c>
      <c r="B108" s="567" t="s">
        <v>436</v>
      </c>
      <c r="C108" s="41" t="s">
        <v>406</v>
      </c>
      <c r="D108" s="161">
        <f>3937</f>
        <v>3937</v>
      </c>
      <c r="E108" s="161">
        <f>1063</f>
        <v>1063</v>
      </c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>
        <f t="shared" si="17"/>
        <v>5000</v>
      </c>
      <c r="S108" s="161"/>
      <c r="T108" s="161"/>
      <c r="U108" s="161"/>
      <c r="V108" s="167"/>
      <c r="W108" s="161"/>
      <c r="X108" s="167">
        <f t="shared" si="19"/>
        <v>0</v>
      </c>
      <c r="Y108" s="279">
        <f t="shared" si="16"/>
        <v>5000</v>
      </c>
    </row>
    <row r="109" spans="1:25" ht="30.75" hidden="1" customHeight="1" x14ac:dyDescent="0.2">
      <c r="A109" s="235">
        <v>2</v>
      </c>
      <c r="B109" s="567" t="s">
        <v>437</v>
      </c>
      <c r="C109" s="41" t="s">
        <v>411</v>
      </c>
      <c r="D109" s="161">
        <f>4589.7</f>
        <v>4589.7</v>
      </c>
      <c r="E109" s="161">
        <f>1239.219+0.3</f>
        <v>1239.519</v>
      </c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>
        <f t="shared" si="17"/>
        <v>5829.2190000000001</v>
      </c>
      <c r="S109" s="161"/>
      <c r="T109" s="161"/>
      <c r="U109" s="161"/>
      <c r="V109" s="167"/>
      <c r="W109" s="161"/>
      <c r="X109" s="167">
        <f t="shared" si="19"/>
        <v>0</v>
      </c>
      <c r="Y109" s="279">
        <f t="shared" si="16"/>
        <v>5829.2190000000001</v>
      </c>
    </row>
    <row r="110" spans="1:25" ht="30.75" hidden="1" customHeight="1" x14ac:dyDescent="0.2">
      <c r="A110" s="82">
        <v>3</v>
      </c>
      <c r="B110" s="569" t="s">
        <v>438</v>
      </c>
      <c r="C110" s="41" t="s">
        <v>415</v>
      </c>
      <c r="D110" s="161"/>
      <c r="E110" s="161"/>
      <c r="F110" s="161">
        <f>-685-185</f>
        <v>-870</v>
      </c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  <c r="Q110" s="161"/>
      <c r="R110" s="161">
        <f t="shared" si="17"/>
        <v>-870</v>
      </c>
      <c r="S110" s="161"/>
      <c r="T110" s="161"/>
      <c r="U110" s="161"/>
      <c r="V110" s="167"/>
      <c r="W110" s="161"/>
      <c r="X110" s="167">
        <f t="shared" si="19"/>
        <v>0</v>
      </c>
      <c r="Y110" s="279">
        <f t="shared" si="16"/>
        <v>-870</v>
      </c>
    </row>
    <row r="111" spans="1:25" ht="30.75" hidden="1" customHeight="1" x14ac:dyDescent="0.2">
      <c r="A111" s="235">
        <v>4</v>
      </c>
      <c r="B111" s="569" t="s">
        <v>454</v>
      </c>
      <c r="C111" s="41" t="s">
        <v>453</v>
      </c>
      <c r="D111" s="161"/>
      <c r="E111" s="161"/>
      <c r="F111" s="161">
        <f>-342-93</f>
        <v>-435</v>
      </c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  <c r="Q111" s="161"/>
      <c r="R111" s="161">
        <f t="shared" si="17"/>
        <v>-435</v>
      </c>
      <c r="S111" s="161"/>
      <c r="T111" s="161"/>
      <c r="U111" s="161"/>
      <c r="V111" s="167"/>
      <c r="W111" s="161"/>
      <c r="X111" s="167">
        <f t="shared" si="19"/>
        <v>0</v>
      </c>
      <c r="Y111" s="279">
        <f t="shared" si="16"/>
        <v>-435</v>
      </c>
    </row>
    <row r="112" spans="1:25" ht="30.75" hidden="1" customHeight="1" x14ac:dyDescent="0.2">
      <c r="A112" s="82">
        <v>5</v>
      </c>
      <c r="B112" s="568" t="s">
        <v>478</v>
      </c>
      <c r="C112" s="41" t="s">
        <v>477</v>
      </c>
      <c r="D112" s="161">
        <f>10143.2+1105.819+1425+25+10</f>
        <v>12709.019</v>
      </c>
      <c r="E112" s="161">
        <f>2849.547+355.3+210.548+9.18</f>
        <v>3424.5750000000003</v>
      </c>
      <c r="F112" s="161">
        <f>13.891+37+139.493+91+45+67+42+19.022+43+1788+905</f>
        <v>3190.4059999999999</v>
      </c>
      <c r="G112" s="161"/>
      <c r="H112" s="161"/>
      <c r="I112" s="161"/>
      <c r="J112" s="161"/>
      <c r="K112" s="161"/>
      <c r="L112" s="161"/>
      <c r="M112" s="161"/>
      <c r="N112" s="161"/>
      <c r="O112" s="161"/>
      <c r="P112" s="161"/>
      <c r="Q112" s="161"/>
      <c r="R112" s="161">
        <f t="shared" si="17"/>
        <v>19324</v>
      </c>
      <c r="S112" s="161"/>
      <c r="T112" s="161"/>
      <c r="U112" s="161"/>
      <c r="V112" s="167"/>
      <c r="W112" s="161"/>
      <c r="X112" s="167">
        <f t="shared" si="19"/>
        <v>0</v>
      </c>
      <c r="Y112" s="279">
        <f t="shared" si="16"/>
        <v>19324</v>
      </c>
    </row>
    <row r="113" spans="1:25" ht="30.75" hidden="1" customHeight="1" x14ac:dyDescent="0.2">
      <c r="A113" s="82"/>
      <c r="B113" s="569"/>
      <c r="C113" s="41"/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7"/>
      <c r="W113" s="161"/>
      <c r="X113" s="167"/>
      <c r="Y113" s="279"/>
    </row>
    <row r="114" spans="1:25" ht="30.75" hidden="1" customHeight="1" x14ac:dyDescent="0.2">
      <c r="A114" s="82"/>
      <c r="B114" s="569"/>
      <c r="C114" s="41"/>
      <c r="D114" s="161"/>
      <c r="E114" s="161"/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7"/>
      <c r="W114" s="161"/>
      <c r="X114" s="167"/>
      <c r="Y114" s="279"/>
    </row>
    <row r="115" spans="1:25" ht="30.75" hidden="1" customHeight="1" x14ac:dyDescent="0.2">
      <c r="A115" s="82"/>
      <c r="B115" s="569"/>
      <c r="C115" s="41"/>
      <c r="D115" s="161"/>
      <c r="E115" s="161"/>
      <c r="F115" s="161"/>
      <c r="G115" s="161"/>
      <c r="H115" s="161"/>
      <c r="I115" s="161"/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7"/>
      <c r="W115" s="161"/>
      <c r="X115" s="167"/>
      <c r="Y115" s="279"/>
    </row>
    <row r="116" spans="1:25" ht="24" hidden="1" customHeight="1" x14ac:dyDescent="0.2">
      <c r="A116" s="82"/>
      <c r="B116" s="31"/>
      <c r="C116" s="41"/>
      <c r="D116" s="161"/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7"/>
      <c r="W116" s="161"/>
      <c r="X116" s="167"/>
      <c r="Y116" s="279"/>
    </row>
    <row r="117" spans="1:25" ht="24" hidden="1" customHeight="1" x14ac:dyDescent="0.2">
      <c r="A117" s="218" t="s">
        <v>96</v>
      </c>
      <c r="B117" s="214"/>
      <c r="C117" s="219" t="s">
        <v>94</v>
      </c>
      <c r="D117" s="351">
        <f t="shared" ref="D117:W117" si="24">SUM(D108:D116)</f>
        <v>21235.719000000001</v>
      </c>
      <c r="E117" s="351">
        <f t="shared" si="24"/>
        <v>5727.094000000001</v>
      </c>
      <c r="F117" s="351">
        <f t="shared" si="24"/>
        <v>1885.4059999999999</v>
      </c>
      <c r="G117" s="351">
        <f t="shared" si="24"/>
        <v>0</v>
      </c>
      <c r="H117" s="351">
        <f t="shared" si="24"/>
        <v>0</v>
      </c>
      <c r="I117" s="351">
        <f t="shared" si="24"/>
        <v>0</v>
      </c>
      <c r="J117" s="351">
        <f t="shared" si="24"/>
        <v>0</v>
      </c>
      <c r="K117" s="351">
        <f t="shared" si="24"/>
        <v>0</v>
      </c>
      <c r="L117" s="351">
        <f t="shared" si="24"/>
        <v>0</v>
      </c>
      <c r="M117" s="351">
        <f t="shared" si="24"/>
        <v>0</v>
      </c>
      <c r="N117" s="351">
        <f t="shared" si="24"/>
        <v>0</v>
      </c>
      <c r="O117" s="351">
        <f t="shared" si="24"/>
        <v>0</v>
      </c>
      <c r="P117" s="351">
        <f t="shared" si="24"/>
        <v>0</v>
      </c>
      <c r="Q117" s="351">
        <f t="shared" si="24"/>
        <v>0</v>
      </c>
      <c r="R117" s="351">
        <f t="shared" si="17"/>
        <v>28848.219000000001</v>
      </c>
      <c r="S117" s="351"/>
      <c r="T117" s="351">
        <f t="shared" si="24"/>
        <v>0</v>
      </c>
      <c r="U117" s="351">
        <f t="shared" si="24"/>
        <v>0</v>
      </c>
      <c r="V117" s="555">
        <f t="shared" si="24"/>
        <v>0</v>
      </c>
      <c r="W117" s="351">
        <f t="shared" si="24"/>
        <v>0</v>
      </c>
      <c r="X117" s="351">
        <f t="shared" si="19"/>
        <v>0</v>
      </c>
      <c r="Y117" s="351">
        <f t="shared" si="16"/>
        <v>28848.219000000001</v>
      </c>
    </row>
    <row r="118" spans="1:25" ht="30.75" hidden="1" customHeight="1" x14ac:dyDescent="0.2">
      <c r="A118" s="82">
        <v>6</v>
      </c>
      <c r="B118" s="32" t="s">
        <v>325</v>
      </c>
      <c r="C118" s="41" t="s">
        <v>326</v>
      </c>
      <c r="D118" s="161">
        <f>31713.81</f>
        <v>31713.81</v>
      </c>
      <c r="E118" s="161">
        <f>4281.365</f>
        <v>4281.3649999999998</v>
      </c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/>
      <c r="R118" s="161">
        <f t="shared" si="17"/>
        <v>35995.175000000003</v>
      </c>
      <c r="S118" s="161"/>
      <c r="T118" s="161"/>
      <c r="U118" s="161"/>
      <c r="V118" s="167"/>
      <c r="W118" s="161"/>
      <c r="X118" s="167">
        <f t="shared" si="19"/>
        <v>0</v>
      </c>
      <c r="Y118" s="279">
        <f t="shared" si="16"/>
        <v>35995.175000000003</v>
      </c>
    </row>
    <row r="119" spans="1:25" ht="30.75" hidden="1" customHeight="1" x14ac:dyDescent="0.2">
      <c r="A119" s="82">
        <v>7</v>
      </c>
      <c r="B119" s="32" t="s">
        <v>327</v>
      </c>
      <c r="C119" s="41" t="s">
        <v>328</v>
      </c>
      <c r="D119" s="161"/>
      <c r="E119" s="161"/>
      <c r="F119" s="161">
        <f>-405-110-164-44-105-29</f>
        <v>-857</v>
      </c>
      <c r="G119" s="161"/>
      <c r="H119" s="161"/>
      <c r="I119" s="161"/>
      <c r="J119" s="161"/>
      <c r="K119" s="161"/>
      <c r="L119" s="161">
        <f>405+110-240-65+509+138</f>
        <v>857</v>
      </c>
      <c r="M119" s="161"/>
      <c r="N119" s="161"/>
      <c r="O119" s="161"/>
      <c r="P119" s="161"/>
      <c r="Q119" s="161"/>
      <c r="R119" s="161">
        <f t="shared" si="17"/>
        <v>0</v>
      </c>
      <c r="S119" s="161"/>
      <c r="T119" s="161"/>
      <c r="U119" s="161"/>
      <c r="V119" s="167"/>
      <c r="W119" s="161"/>
      <c r="X119" s="167">
        <f t="shared" si="19"/>
        <v>0</v>
      </c>
      <c r="Y119" s="279">
        <f t="shared" si="16"/>
        <v>0</v>
      </c>
    </row>
    <row r="120" spans="1:25" ht="30.75" hidden="1" customHeight="1" x14ac:dyDescent="0.2">
      <c r="A120" s="82">
        <v>8</v>
      </c>
      <c r="B120" s="239" t="s">
        <v>329</v>
      </c>
      <c r="C120" s="41" t="s">
        <v>330</v>
      </c>
      <c r="D120" s="161"/>
      <c r="E120" s="161"/>
      <c r="F120" s="161">
        <f>-571-155</f>
        <v>-726</v>
      </c>
      <c r="G120" s="161"/>
      <c r="H120" s="161"/>
      <c r="I120" s="161"/>
      <c r="J120" s="161"/>
      <c r="K120" s="161"/>
      <c r="L120" s="161">
        <f>571+155</f>
        <v>726</v>
      </c>
      <c r="M120" s="161"/>
      <c r="N120" s="161"/>
      <c r="O120" s="161"/>
      <c r="P120" s="161"/>
      <c r="Q120" s="161"/>
      <c r="R120" s="161">
        <f t="shared" si="17"/>
        <v>0</v>
      </c>
      <c r="S120" s="161"/>
      <c r="T120" s="161"/>
      <c r="U120" s="161"/>
      <c r="V120" s="167"/>
      <c r="W120" s="161"/>
      <c r="X120" s="167">
        <f t="shared" si="19"/>
        <v>0</v>
      </c>
      <c r="Y120" s="279">
        <f t="shared" si="16"/>
        <v>0</v>
      </c>
    </row>
    <row r="121" spans="1:25" ht="30.75" hidden="1" customHeight="1" x14ac:dyDescent="0.2">
      <c r="A121" s="82">
        <v>9</v>
      </c>
      <c r="B121" s="32" t="s">
        <v>331</v>
      </c>
      <c r="C121" s="41" t="s">
        <v>332</v>
      </c>
      <c r="D121" s="161"/>
      <c r="E121" s="161"/>
      <c r="F121" s="161">
        <f>-156-43</f>
        <v>-199</v>
      </c>
      <c r="G121" s="161"/>
      <c r="H121" s="161"/>
      <c r="I121" s="161"/>
      <c r="J121" s="161"/>
      <c r="K121" s="161"/>
      <c r="L121" s="161">
        <f>156+43</f>
        <v>199</v>
      </c>
      <c r="M121" s="161"/>
      <c r="N121" s="161"/>
      <c r="O121" s="161"/>
      <c r="P121" s="161"/>
      <c r="Q121" s="161"/>
      <c r="R121" s="161">
        <f t="shared" si="17"/>
        <v>0</v>
      </c>
      <c r="S121" s="161"/>
      <c r="T121" s="161"/>
      <c r="U121" s="161"/>
      <c r="V121" s="167"/>
      <c r="W121" s="161"/>
      <c r="X121" s="167">
        <f t="shared" si="19"/>
        <v>0</v>
      </c>
      <c r="Y121" s="279">
        <f t="shared" si="16"/>
        <v>0</v>
      </c>
    </row>
    <row r="122" spans="1:25" ht="30.75" hidden="1" customHeight="1" x14ac:dyDescent="0.2">
      <c r="A122" s="82">
        <v>10</v>
      </c>
      <c r="B122" s="239" t="s">
        <v>333</v>
      </c>
      <c r="C122" s="41" t="s">
        <v>334</v>
      </c>
      <c r="D122" s="161"/>
      <c r="E122" s="161"/>
      <c r="F122" s="161">
        <f>-1063-787-500</f>
        <v>-2350</v>
      </c>
      <c r="G122" s="161"/>
      <c r="H122" s="161"/>
      <c r="I122" s="161"/>
      <c r="J122" s="161"/>
      <c r="K122" s="161"/>
      <c r="L122" s="161">
        <f>1850+500</f>
        <v>2350</v>
      </c>
      <c r="M122" s="161"/>
      <c r="N122" s="161"/>
      <c r="O122" s="161"/>
      <c r="P122" s="161"/>
      <c r="Q122" s="161"/>
      <c r="R122" s="161">
        <f t="shared" si="17"/>
        <v>0</v>
      </c>
      <c r="S122" s="161"/>
      <c r="T122" s="161"/>
      <c r="U122" s="161"/>
      <c r="V122" s="167"/>
      <c r="W122" s="161"/>
      <c r="X122" s="167">
        <f t="shared" si="19"/>
        <v>0</v>
      </c>
      <c r="Y122" s="279">
        <f t="shared" si="16"/>
        <v>0</v>
      </c>
    </row>
    <row r="123" spans="1:25" ht="30.75" hidden="1" customHeight="1" x14ac:dyDescent="0.2">
      <c r="A123" s="82">
        <v>11</v>
      </c>
      <c r="B123" s="239" t="s">
        <v>335</v>
      </c>
      <c r="C123" s="41" t="s">
        <v>336</v>
      </c>
      <c r="D123" s="161"/>
      <c r="E123" s="161"/>
      <c r="F123" s="161">
        <f>-270-73</f>
        <v>-343</v>
      </c>
      <c r="G123" s="161"/>
      <c r="H123" s="161"/>
      <c r="I123" s="161"/>
      <c r="J123" s="161"/>
      <c r="K123" s="161"/>
      <c r="L123" s="161">
        <f>270+73</f>
        <v>343</v>
      </c>
      <c r="M123" s="161"/>
      <c r="N123" s="161"/>
      <c r="O123" s="161"/>
      <c r="P123" s="161"/>
      <c r="Q123" s="161"/>
      <c r="R123" s="161">
        <f t="shared" si="17"/>
        <v>0</v>
      </c>
      <c r="S123" s="161"/>
      <c r="T123" s="161"/>
      <c r="U123" s="161"/>
      <c r="V123" s="167"/>
      <c r="W123" s="161"/>
      <c r="X123" s="167">
        <f t="shared" si="19"/>
        <v>0</v>
      </c>
      <c r="Y123" s="279">
        <f t="shared" si="16"/>
        <v>0</v>
      </c>
    </row>
    <row r="124" spans="1:25" ht="30.75" hidden="1" customHeight="1" x14ac:dyDescent="0.2">
      <c r="A124" s="82">
        <v>12</v>
      </c>
      <c r="B124" s="239" t="s">
        <v>434</v>
      </c>
      <c r="C124" s="41" t="s">
        <v>326</v>
      </c>
      <c r="D124" s="161">
        <f>2410+32+74+620+663+906</f>
        <v>4705</v>
      </c>
      <c r="E124" s="161">
        <f>571.08+18+142+20+122.675</f>
        <v>873.755</v>
      </c>
      <c r="F124" s="161"/>
      <c r="G124" s="161"/>
      <c r="H124" s="161"/>
      <c r="I124" s="161"/>
      <c r="J124" s="161"/>
      <c r="K124" s="161"/>
      <c r="L124" s="161"/>
      <c r="M124" s="161"/>
      <c r="N124" s="161"/>
      <c r="O124" s="161"/>
      <c r="P124" s="161"/>
      <c r="Q124" s="161"/>
      <c r="R124" s="161">
        <f t="shared" si="17"/>
        <v>5578.7550000000001</v>
      </c>
      <c r="S124" s="161"/>
      <c r="T124" s="161"/>
      <c r="U124" s="161"/>
      <c r="V124" s="167"/>
      <c r="W124" s="161"/>
      <c r="X124" s="167">
        <f t="shared" ref="X124:X130" si="25">SUM(T124:W124)</f>
        <v>0</v>
      </c>
      <c r="Y124" s="279">
        <f t="shared" ref="Y124:Y130" si="26">R124+X124</f>
        <v>5578.7550000000001</v>
      </c>
    </row>
    <row r="125" spans="1:25" ht="24" hidden="1" customHeight="1" x14ac:dyDescent="0.2">
      <c r="A125" s="82">
        <v>13</v>
      </c>
      <c r="B125" s="239" t="s">
        <v>464</v>
      </c>
      <c r="C125" s="41" t="s">
        <v>465</v>
      </c>
      <c r="D125" s="161"/>
      <c r="E125" s="161"/>
      <c r="F125" s="161">
        <f>-612-165</f>
        <v>-777</v>
      </c>
      <c r="G125" s="161"/>
      <c r="H125" s="161"/>
      <c r="I125" s="161"/>
      <c r="J125" s="161"/>
      <c r="K125" s="161"/>
      <c r="L125" s="161">
        <f>612+165</f>
        <v>777</v>
      </c>
      <c r="M125" s="161"/>
      <c r="N125" s="161"/>
      <c r="O125" s="161"/>
      <c r="P125" s="161"/>
      <c r="Q125" s="161"/>
      <c r="R125" s="161">
        <f t="shared" si="17"/>
        <v>0</v>
      </c>
      <c r="S125" s="161"/>
      <c r="T125" s="161"/>
      <c r="U125" s="161"/>
      <c r="V125" s="167"/>
      <c r="W125" s="161"/>
      <c r="X125" s="167">
        <f t="shared" si="25"/>
        <v>0</v>
      </c>
      <c r="Y125" s="279">
        <f t="shared" si="26"/>
        <v>0</v>
      </c>
    </row>
    <row r="126" spans="1:25" ht="24" hidden="1" customHeight="1" x14ac:dyDescent="0.2">
      <c r="A126" s="82">
        <v>14</v>
      </c>
      <c r="B126" s="239" t="s">
        <v>471</v>
      </c>
      <c r="C126" s="41" t="s">
        <v>472</v>
      </c>
      <c r="D126" s="161">
        <f>2020+4545+100+20</f>
        <v>6685</v>
      </c>
      <c r="E126" s="161">
        <f>1719.09+31.86</f>
        <v>1750.9499999999998</v>
      </c>
      <c r="F126" s="161">
        <f>269.5+1721.803+252.965+364.418+339.984+4.615+6.35+13.267+6.542</f>
        <v>2979.4439999999995</v>
      </c>
      <c r="G126" s="161"/>
      <c r="H126" s="161"/>
      <c r="I126" s="161">
        <v>46.283999999999999</v>
      </c>
      <c r="J126" s="161">
        <f>21.76+137.086</f>
        <v>158.846</v>
      </c>
      <c r="K126" s="161"/>
      <c r="L126" s="161"/>
      <c r="M126" s="161"/>
      <c r="N126" s="161"/>
      <c r="O126" s="161"/>
      <c r="P126" s="161"/>
      <c r="Q126" s="161"/>
      <c r="R126" s="161">
        <f t="shared" si="17"/>
        <v>11620.523999999999</v>
      </c>
      <c r="S126" s="161"/>
      <c r="T126" s="161"/>
      <c r="U126" s="161"/>
      <c r="V126" s="167"/>
      <c r="W126" s="161"/>
      <c r="X126" s="167">
        <f t="shared" si="25"/>
        <v>0</v>
      </c>
      <c r="Y126" s="279">
        <f t="shared" si="26"/>
        <v>11620.523999999999</v>
      </c>
    </row>
    <row r="127" spans="1:25" ht="24" hidden="1" customHeight="1" x14ac:dyDescent="0.2">
      <c r="A127" s="82">
        <v>15</v>
      </c>
      <c r="B127" s="239" t="s">
        <v>466</v>
      </c>
      <c r="C127" s="41" t="s">
        <v>467</v>
      </c>
      <c r="D127" s="161"/>
      <c r="E127" s="161"/>
      <c r="F127" s="161">
        <f>-2215-598+142+39</f>
        <v>-2632</v>
      </c>
      <c r="G127" s="161"/>
      <c r="H127" s="161"/>
      <c r="I127" s="161"/>
      <c r="J127" s="161"/>
      <c r="K127" s="161"/>
      <c r="L127" s="161">
        <f>-1586-429+212+1232+2215+988</f>
        <v>2632</v>
      </c>
      <c r="M127" s="161"/>
      <c r="N127" s="161"/>
      <c r="O127" s="161"/>
      <c r="P127" s="161"/>
      <c r="Q127" s="161"/>
      <c r="R127" s="161">
        <f t="shared" si="17"/>
        <v>0</v>
      </c>
      <c r="S127" s="161"/>
      <c r="T127" s="161"/>
      <c r="U127" s="161"/>
      <c r="V127" s="167"/>
      <c r="W127" s="161"/>
      <c r="X127" s="167">
        <f t="shared" si="25"/>
        <v>0</v>
      </c>
      <c r="Y127" s="279">
        <f t="shared" si="26"/>
        <v>0</v>
      </c>
    </row>
    <row r="128" spans="1:25" ht="24" hidden="1" customHeight="1" x14ac:dyDescent="0.2">
      <c r="A128" s="82">
        <v>16</v>
      </c>
      <c r="B128" s="239" t="s">
        <v>468</v>
      </c>
      <c r="C128" s="41" t="s">
        <v>336</v>
      </c>
      <c r="D128" s="161"/>
      <c r="E128" s="161"/>
      <c r="F128" s="161"/>
      <c r="G128" s="161"/>
      <c r="H128" s="161"/>
      <c r="I128" s="161"/>
      <c r="J128" s="161"/>
      <c r="K128" s="161"/>
      <c r="L128" s="161">
        <f>-270-73</f>
        <v>-343</v>
      </c>
      <c r="M128" s="161">
        <f>270+73</f>
        <v>343</v>
      </c>
      <c r="N128" s="161"/>
      <c r="O128" s="161"/>
      <c r="P128" s="161"/>
      <c r="Q128" s="161"/>
      <c r="R128" s="161">
        <f t="shared" si="17"/>
        <v>0</v>
      </c>
      <c r="S128" s="161"/>
      <c r="T128" s="161"/>
      <c r="U128" s="161"/>
      <c r="V128" s="167"/>
      <c r="W128" s="161"/>
      <c r="X128" s="167">
        <f t="shared" si="25"/>
        <v>0</v>
      </c>
      <c r="Y128" s="279">
        <f t="shared" si="26"/>
        <v>0</v>
      </c>
    </row>
    <row r="129" spans="1:25" ht="24" hidden="1" customHeight="1" x14ac:dyDescent="0.2">
      <c r="A129" s="82">
        <v>17</v>
      </c>
      <c r="B129" s="239" t="s">
        <v>469</v>
      </c>
      <c r="C129" s="41" t="s">
        <v>470</v>
      </c>
      <c r="D129" s="161"/>
      <c r="E129" s="161"/>
      <c r="F129" s="161">
        <f>-337-91+85+23</f>
        <v>-320</v>
      </c>
      <c r="G129" s="161"/>
      <c r="H129" s="161"/>
      <c r="I129" s="161"/>
      <c r="J129" s="161"/>
      <c r="K129" s="161"/>
      <c r="L129" s="161">
        <f>-123-33+38+337+101</f>
        <v>320</v>
      </c>
      <c r="M129" s="161"/>
      <c r="N129" s="161"/>
      <c r="O129" s="161"/>
      <c r="P129" s="161"/>
      <c r="Q129" s="161"/>
      <c r="R129" s="161">
        <f t="shared" si="17"/>
        <v>0</v>
      </c>
      <c r="S129" s="161"/>
      <c r="T129" s="161"/>
      <c r="U129" s="161"/>
      <c r="V129" s="167"/>
      <c r="W129" s="161"/>
      <c r="X129" s="167">
        <f t="shared" si="25"/>
        <v>0</v>
      </c>
      <c r="Y129" s="279">
        <f t="shared" si="26"/>
        <v>0</v>
      </c>
    </row>
    <row r="130" spans="1:25" ht="24" hidden="1" customHeight="1" x14ac:dyDescent="0.2">
      <c r="A130" s="82">
        <v>18</v>
      </c>
      <c r="B130" s="563" t="s">
        <v>474</v>
      </c>
      <c r="C130" s="41" t="s">
        <v>475</v>
      </c>
      <c r="D130" s="161">
        <f>-2000-1464</f>
        <v>-3464</v>
      </c>
      <c r="E130" s="161"/>
      <c r="F130" s="161">
        <f>210+41+2248+43+70+850+2+52</f>
        <v>3516</v>
      </c>
      <c r="G130" s="161"/>
      <c r="H130" s="161"/>
      <c r="I130" s="161"/>
      <c r="J130" s="161"/>
      <c r="K130" s="161"/>
      <c r="L130" s="161"/>
      <c r="M130" s="161"/>
      <c r="N130" s="161"/>
      <c r="O130" s="161"/>
      <c r="P130" s="161"/>
      <c r="Q130" s="161"/>
      <c r="R130" s="161">
        <f t="shared" si="17"/>
        <v>52</v>
      </c>
      <c r="S130" s="161"/>
      <c r="T130" s="161"/>
      <c r="U130" s="161"/>
      <c r="V130" s="167"/>
      <c r="W130" s="161"/>
      <c r="X130" s="167">
        <f t="shared" si="25"/>
        <v>0</v>
      </c>
      <c r="Y130" s="279">
        <f t="shared" si="26"/>
        <v>52</v>
      </c>
    </row>
    <row r="131" spans="1:25" ht="24" hidden="1" customHeight="1" x14ac:dyDescent="0.2">
      <c r="A131" s="82"/>
      <c r="B131" s="239"/>
      <c r="C131" s="41"/>
      <c r="D131" s="161"/>
      <c r="E131" s="161"/>
      <c r="F131" s="161"/>
      <c r="G131" s="161"/>
      <c r="H131" s="161"/>
      <c r="I131" s="161"/>
      <c r="J131" s="161"/>
      <c r="K131" s="161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7"/>
      <c r="W131" s="161"/>
      <c r="X131" s="167"/>
      <c r="Y131" s="279"/>
    </row>
    <row r="132" spans="1:25" ht="24" hidden="1" customHeight="1" x14ac:dyDescent="0.2">
      <c r="A132" s="82"/>
      <c r="B132" s="31"/>
      <c r="C132" s="41"/>
      <c r="D132" s="161"/>
      <c r="E132" s="161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7"/>
      <c r="W132" s="161"/>
      <c r="X132" s="167"/>
      <c r="Y132" s="348"/>
    </row>
    <row r="133" spans="1:25" ht="24" hidden="1" customHeight="1" x14ac:dyDescent="0.2">
      <c r="A133" s="218" t="s">
        <v>97</v>
      </c>
      <c r="B133" s="214"/>
      <c r="C133" s="219" t="s">
        <v>95</v>
      </c>
      <c r="D133" s="161">
        <f t="shared" ref="D133:W133" si="27">SUM(D118:D132)</f>
        <v>39639.81</v>
      </c>
      <c r="E133" s="161">
        <f t="shared" si="27"/>
        <v>6906.07</v>
      </c>
      <c r="F133" s="161">
        <f t="shared" si="27"/>
        <v>-1708.5560000000005</v>
      </c>
      <c r="G133" s="161">
        <f t="shared" si="27"/>
        <v>0</v>
      </c>
      <c r="H133" s="161">
        <f t="shared" si="27"/>
        <v>0</v>
      </c>
      <c r="I133" s="161">
        <f t="shared" si="27"/>
        <v>46.283999999999999</v>
      </c>
      <c r="J133" s="161">
        <f t="shared" si="27"/>
        <v>158.846</v>
      </c>
      <c r="K133" s="161">
        <f t="shared" si="27"/>
        <v>0</v>
      </c>
      <c r="L133" s="161">
        <f t="shared" si="27"/>
        <v>7861</v>
      </c>
      <c r="M133" s="161">
        <f t="shared" si="27"/>
        <v>343</v>
      </c>
      <c r="N133" s="161">
        <f t="shared" si="27"/>
        <v>0</v>
      </c>
      <c r="O133" s="161">
        <f t="shared" si="27"/>
        <v>0</v>
      </c>
      <c r="P133" s="161">
        <f t="shared" si="27"/>
        <v>0</v>
      </c>
      <c r="Q133" s="161">
        <f t="shared" si="27"/>
        <v>0</v>
      </c>
      <c r="R133" s="161">
        <f t="shared" si="17"/>
        <v>53246.453999999991</v>
      </c>
      <c r="S133" s="161"/>
      <c r="T133" s="161">
        <f t="shared" si="27"/>
        <v>0</v>
      </c>
      <c r="U133" s="161">
        <f t="shared" si="27"/>
        <v>0</v>
      </c>
      <c r="V133" s="167">
        <f t="shared" si="27"/>
        <v>0</v>
      </c>
      <c r="W133" s="161">
        <f t="shared" si="27"/>
        <v>0</v>
      </c>
      <c r="X133" s="167">
        <f t="shared" si="19"/>
        <v>0</v>
      </c>
      <c r="Y133" s="349">
        <f t="shared" si="16"/>
        <v>53246.453999999991</v>
      </c>
    </row>
    <row r="134" spans="1:25" ht="24" hidden="1" customHeight="1" thickBot="1" x14ac:dyDescent="0.25">
      <c r="A134" s="82"/>
      <c r="B134" s="31"/>
      <c r="C134" s="41"/>
      <c r="D134" s="161"/>
      <c r="E134" s="161"/>
      <c r="F134" s="161"/>
      <c r="G134" s="161"/>
      <c r="H134" s="161"/>
      <c r="I134" s="161"/>
      <c r="J134" s="161"/>
      <c r="K134" s="161"/>
      <c r="L134" s="161"/>
      <c r="M134" s="161"/>
      <c r="N134" s="161"/>
      <c r="O134" s="161"/>
      <c r="P134" s="161"/>
      <c r="Q134" s="161"/>
      <c r="R134" s="161"/>
      <c r="S134" s="161"/>
      <c r="T134" s="161"/>
      <c r="U134" s="161"/>
      <c r="V134" s="167"/>
      <c r="W134" s="161"/>
      <c r="X134" s="167"/>
      <c r="Y134" s="348"/>
    </row>
    <row r="135" spans="1:25" ht="30" hidden="1" customHeight="1" thickTop="1" thickBot="1" x14ac:dyDescent="0.25">
      <c r="A135" s="42"/>
      <c r="B135" s="345" t="s">
        <v>301</v>
      </c>
      <c r="C135" s="44" t="s">
        <v>98</v>
      </c>
      <c r="D135" s="558">
        <f t="shared" ref="D135:W135" si="28">D117+D133</f>
        <v>60875.528999999995</v>
      </c>
      <c r="E135" s="558">
        <f t="shared" si="28"/>
        <v>12633.164000000001</v>
      </c>
      <c r="F135" s="558">
        <f t="shared" si="28"/>
        <v>176.84999999999945</v>
      </c>
      <c r="G135" s="558">
        <f t="shared" si="28"/>
        <v>0</v>
      </c>
      <c r="H135" s="558">
        <f t="shared" si="28"/>
        <v>0</v>
      </c>
      <c r="I135" s="558">
        <f t="shared" si="28"/>
        <v>46.283999999999999</v>
      </c>
      <c r="J135" s="558">
        <f t="shared" si="28"/>
        <v>158.846</v>
      </c>
      <c r="K135" s="558">
        <f t="shared" si="28"/>
        <v>0</v>
      </c>
      <c r="L135" s="558">
        <f t="shared" si="28"/>
        <v>7861</v>
      </c>
      <c r="M135" s="558">
        <f t="shared" si="28"/>
        <v>343</v>
      </c>
      <c r="N135" s="558">
        <f t="shared" si="28"/>
        <v>0</v>
      </c>
      <c r="O135" s="558">
        <f t="shared" si="28"/>
        <v>0</v>
      </c>
      <c r="P135" s="558">
        <f t="shared" si="28"/>
        <v>0</v>
      </c>
      <c r="Q135" s="558">
        <f t="shared" si="28"/>
        <v>0</v>
      </c>
      <c r="R135" s="558">
        <f t="shared" si="17"/>
        <v>82094.67300000001</v>
      </c>
      <c r="S135" s="558"/>
      <c r="T135" s="558">
        <f>T117+T133</f>
        <v>0</v>
      </c>
      <c r="U135" s="558">
        <f>U117+U133</f>
        <v>0</v>
      </c>
      <c r="V135" s="559">
        <f t="shared" si="28"/>
        <v>0</v>
      </c>
      <c r="W135" s="558">
        <f t="shared" si="28"/>
        <v>0</v>
      </c>
      <c r="X135" s="559">
        <f t="shared" si="19"/>
        <v>0</v>
      </c>
      <c r="Y135" s="560">
        <f t="shared" si="16"/>
        <v>82094.67300000001</v>
      </c>
    </row>
    <row r="136" spans="1:25" ht="30" hidden="1" customHeight="1" thickTop="1" thickBot="1" x14ac:dyDescent="0.25">
      <c r="A136" s="42"/>
      <c r="B136" s="549" t="s">
        <v>302</v>
      </c>
      <c r="C136" s="44" t="s">
        <v>166</v>
      </c>
      <c r="D136" s="561">
        <f t="shared" ref="D136:Q136" si="29">D107+D135</f>
        <v>1595197.6</v>
      </c>
      <c r="E136" s="572">
        <f t="shared" si="29"/>
        <v>467680.30099999998</v>
      </c>
      <c r="F136" s="561">
        <f t="shared" si="29"/>
        <v>591261.53</v>
      </c>
      <c r="G136" s="561">
        <f t="shared" si="29"/>
        <v>140912</v>
      </c>
      <c r="H136" s="561">
        <f t="shared" si="29"/>
        <v>0</v>
      </c>
      <c r="I136" s="561">
        <f t="shared" si="29"/>
        <v>96016.873000000007</v>
      </c>
      <c r="J136" s="561">
        <f t="shared" si="29"/>
        <v>460.79399999999998</v>
      </c>
      <c r="K136" s="561">
        <f t="shared" si="29"/>
        <v>0</v>
      </c>
      <c r="L136" s="561">
        <f t="shared" si="29"/>
        <v>192853</v>
      </c>
      <c r="M136" s="561">
        <f t="shared" si="29"/>
        <v>7579</v>
      </c>
      <c r="N136" s="561">
        <f t="shared" si="29"/>
        <v>0</v>
      </c>
      <c r="O136" s="561">
        <f t="shared" si="29"/>
        <v>6000</v>
      </c>
      <c r="P136" s="561">
        <f t="shared" si="29"/>
        <v>0</v>
      </c>
      <c r="Q136" s="561">
        <f t="shared" si="29"/>
        <v>0</v>
      </c>
      <c r="R136" s="572">
        <f t="shared" si="17"/>
        <v>3097961.0980000002</v>
      </c>
      <c r="S136" s="561"/>
      <c r="T136" s="561">
        <f>T107+T135</f>
        <v>0</v>
      </c>
      <c r="U136" s="561">
        <f>U107+U135</f>
        <v>0</v>
      </c>
      <c r="V136" s="561">
        <f>V107+V135</f>
        <v>0</v>
      </c>
      <c r="W136" s="562">
        <f>W107+W135</f>
        <v>0</v>
      </c>
      <c r="X136" s="561">
        <f t="shared" si="19"/>
        <v>0</v>
      </c>
      <c r="Y136" s="582">
        <f t="shared" si="16"/>
        <v>3097961.0980000002</v>
      </c>
    </row>
    <row r="137" spans="1:25" ht="24" hidden="1" customHeight="1" thickTop="1" x14ac:dyDescent="0.25">
      <c r="A137" s="135"/>
      <c r="B137" s="598" t="s">
        <v>483</v>
      </c>
      <c r="C137" s="136" t="s">
        <v>18</v>
      </c>
      <c r="D137" s="231">
        <f t="shared" ref="D137:W137" si="30">D136</f>
        <v>1595197.6</v>
      </c>
      <c r="E137" s="573">
        <f t="shared" si="30"/>
        <v>467680.30099999998</v>
      </c>
      <c r="F137" s="231">
        <f t="shared" si="30"/>
        <v>591261.53</v>
      </c>
      <c r="G137" s="231">
        <f t="shared" si="30"/>
        <v>140912</v>
      </c>
      <c r="H137" s="231">
        <f t="shared" si="30"/>
        <v>0</v>
      </c>
      <c r="I137" s="231">
        <f t="shared" si="30"/>
        <v>96016.873000000007</v>
      </c>
      <c r="J137" s="231">
        <f t="shared" si="30"/>
        <v>460.79399999999998</v>
      </c>
      <c r="K137" s="231">
        <f t="shared" si="30"/>
        <v>0</v>
      </c>
      <c r="L137" s="231">
        <f t="shared" si="30"/>
        <v>192853</v>
      </c>
      <c r="M137" s="231">
        <f t="shared" si="30"/>
        <v>7579</v>
      </c>
      <c r="N137" s="231">
        <f t="shared" si="30"/>
        <v>0</v>
      </c>
      <c r="O137" s="231">
        <f t="shared" si="30"/>
        <v>6000</v>
      </c>
      <c r="P137" s="231">
        <f t="shared" si="30"/>
        <v>0</v>
      </c>
      <c r="Q137" s="231">
        <f t="shared" si="30"/>
        <v>0</v>
      </c>
      <c r="R137" s="573">
        <f t="shared" si="17"/>
        <v>3097961.0980000002</v>
      </c>
      <c r="S137" s="231"/>
      <c r="T137" s="231">
        <f>T136</f>
        <v>0</v>
      </c>
      <c r="U137" s="231">
        <f>U136</f>
        <v>0</v>
      </c>
      <c r="V137" s="274">
        <f t="shared" si="30"/>
        <v>0</v>
      </c>
      <c r="W137" s="231">
        <f t="shared" si="30"/>
        <v>0</v>
      </c>
      <c r="X137" s="274">
        <f t="shared" si="19"/>
        <v>0</v>
      </c>
      <c r="Y137" s="583">
        <f t="shared" si="16"/>
        <v>3097961.0980000002</v>
      </c>
    </row>
    <row r="138" spans="1:25" ht="33.75" hidden="1" customHeight="1" x14ac:dyDescent="0.2">
      <c r="A138" s="235">
        <v>1</v>
      </c>
      <c r="B138" s="353" t="s">
        <v>519</v>
      </c>
      <c r="C138" s="28" t="s">
        <v>518</v>
      </c>
      <c r="D138" s="166">
        <v>2125.3000000000002</v>
      </c>
      <c r="E138" s="166">
        <f>573.831</f>
        <v>573.83100000000002</v>
      </c>
      <c r="F138" s="161"/>
      <c r="G138" s="161"/>
      <c r="H138" s="161"/>
      <c r="I138" s="161"/>
      <c r="J138" s="161"/>
      <c r="K138" s="161"/>
      <c r="L138" s="161"/>
      <c r="M138" s="161"/>
      <c r="N138" s="161"/>
      <c r="O138" s="161"/>
      <c r="P138" s="161"/>
      <c r="Q138" s="161"/>
      <c r="R138" s="166">
        <f t="shared" si="17"/>
        <v>2699.1310000000003</v>
      </c>
      <c r="S138" s="161"/>
      <c r="T138" s="161"/>
      <c r="U138" s="161"/>
      <c r="V138" s="167"/>
      <c r="W138" s="161"/>
      <c r="X138" s="167">
        <f t="shared" si="19"/>
        <v>0</v>
      </c>
      <c r="Y138" s="584">
        <f t="shared" si="16"/>
        <v>2699.1310000000003</v>
      </c>
    </row>
    <row r="139" spans="1:25" ht="33.75" hidden="1" customHeight="1" x14ac:dyDescent="0.2">
      <c r="A139" s="235"/>
      <c r="B139" s="353"/>
      <c r="C139" s="28"/>
      <c r="D139" s="166"/>
      <c r="E139" s="166"/>
      <c r="F139" s="161"/>
      <c r="G139" s="161"/>
      <c r="H139" s="161"/>
      <c r="I139" s="161"/>
      <c r="J139" s="161"/>
      <c r="K139" s="161"/>
      <c r="L139" s="161"/>
      <c r="M139" s="161"/>
      <c r="N139" s="161"/>
      <c r="O139" s="161"/>
      <c r="P139" s="161"/>
      <c r="Q139" s="161"/>
      <c r="R139" s="166">
        <f t="shared" si="17"/>
        <v>0</v>
      </c>
      <c r="S139" s="161"/>
      <c r="T139" s="161"/>
      <c r="U139" s="161"/>
      <c r="V139" s="167"/>
      <c r="W139" s="161"/>
      <c r="X139" s="167">
        <f t="shared" si="19"/>
        <v>0</v>
      </c>
      <c r="Y139" s="584">
        <f t="shared" si="16"/>
        <v>0</v>
      </c>
    </row>
    <row r="140" spans="1:25" ht="33.75" hidden="1" customHeight="1" x14ac:dyDescent="0.2">
      <c r="A140" s="82"/>
      <c r="B140" s="120"/>
      <c r="C140" s="28"/>
      <c r="D140" s="166"/>
      <c r="E140" s="166"/>
      <c r="F140" s="161"/>
      <c r="G140" s="161"/>
      <c r="H140" s="161"/>
      <c r="I140" s="161"/>
      <c r="J140" s="161"/>
      <c r="K140" s="161"/>
      <c r="L140" s="161"/>
      <c r="M140" s="161"/>
      <c r="N140" s="161"/>
      <c r="O140" s="161"/>
      <c r="P140" s="161"/>
      <c r="Q140" s="161"/>
      <c r="R140" s="166">
        <f t="shared" si="17"/>
        <v>0</v>
      </c>
      <c r="S140" s="161"/>
      <c r="T140" s="161"/>
      <c r="U140" s="161"/>
      <c r="V140" s="167"/>
      <c r="W140" s="161"/>
      <c r="X140" s="167">
        <f t="shared" si="19"/>
        <v>0</v>
      </c>
      <c r="Y140" s="584">
        <f t="shared" si="16"/>
        <v>0</v>
      </c>
    </row>
    <row r="141" spans="1:25" ht="24" hidden="1" customHeight="1" x14ac:dyDescent="0.2">
      <c r="A141" s="82"/>
      <c r="B141" s="240"/>
      <c r="C141" s="33"/>
      <c r="D141" s="161"/>
      <c r="E141" s="166"/>
      <c r="F141" s="161"/>
      <c r="G141" s="161"/>
      <c r="H141" s="161"/>
      <c r="I141" s="161"/>
      <c r="J141" s="161"/>
      <c r="K141" s="161"/>
      <c r="L141" s="161"/>
      <c r="M141" s="161"/>
      <c r="N141" s="161"/>
      <c r="O141" s="161"/>
      <c r="P141" s="161"/>
      <c r="Q141" s="161"/>
      <c r="R141" s="166">
        <f t="shared" si="17"/>
        <v>0</v>
      </c>
      <c r="S141" s="161"/>
      <c r="T141" s="161"/>
      <c r="U141" s="161"/>
      <c r="V141" s="167"/>
      <c r="W141" s="161"/>
      <c r="X141" s="167">
        <f t="shared" si="19"/>
        <v>0</v>
      </c>
      <c r="Y141" s="584">
        <f t="shared" si="16"/>
        <v>0</v>
      </c>
    </row>
    <row r="142" spans="1:25" ht="24" hidden="1" customHeight="1" x14ac:dyDescent="0.2">
      <c r="A142" s="82"/>
      <c r="B142" s="30"/>
      <c r="C142" s="28"/>
      <c r="D142" s="161"/>
      <c r="E142" s="166"/>
      <c r="F142" s="161"/>
      <c r="G142" s="161"/>
      <c r="H142" s="161"/>
      <c r="I142" s="161"/>
      <c r="J142" s="161"/>
      <c r="K142" s="161"/>
      <c r="L142" s="161"/>
      <c r="M142" s="161"/>
      <c r="N142" s="161"/>
      <c r="O142" s="161"/>
      <c r="P142" s="161"/>
      <c r="Q142" s="161"/>
      <c r="R142" s="166">
        <f t="shared" si="17"/>
        <v>0</v>
      </c>
      <c r="S142" s="161"/>
      <c r="T142" s="161"/>
      <c r="U142" s="161"/>
      <c r="V142" s="167"/>
      <c r="W142" s="161"/>
      <c r="X142" s="167">
        <f t="shared" si="19"/>
        <v>0</v>
      </c>
      <c r="Y142" s="584">
        <f t="shared" si="16"/>
        <v>0</v>
      </c>
    </row>
    <row r="143" spans="1:25" ht="9.9499999999999993" hidden="1" customHeight="1" x14ac:dyDescent="0.2">
      <c r="A143" s="82"/>
      <c r="B143" s="30"/>
      <c r="C143" s="28"/>
      <c r="D143" s="161"/>
      <c r="E143" s="166"/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  <c r="Q143" s="161"/>
      <c r="R143" s="166">
        <f t="shared" si="17"/>
        <v>0</v>
      </c>
      <c r="S143" s="161"/>
      <c r="T143" s="161"/>
      <c r="U143" s="161"/>
      <c r="V143" s="167"/>
      <c r="W143" s="161"/>
      <c r="X143" s="167"/>
      <c r="Y143" s="584"/>
    </row>
    <row r="144" spans="1:25" ht="20.100000000000001" hidden="1" customHeight="1" x14ac:dyDescent="0.2">
      <c r="A144" s="218" t="s">
        <v>96</v>
      </c>
      <c r="B144" s="214"/>
      <c r="C144" s="219" t="s">
        <v>94</v>
      </c>
      <c r="D144" s="161">
        <f t="shared" ref="D144:W144" si="31">SUM(D138:D143)</f>
        <v>2125.3000000000002</v>
      </c>
      <c r="E144" s="166">
        <f t="shared" si="31"/>
        <v>573.83100000000002</v>
      </c>
      <c r="F144" s="161">
        <f t="shared" si="31"/>
        <v>0</v>
      </c>
      <c r="G144" s="161">
        <f t="shared" si="31"/>
        <v>0</v>
      </c>
      <c r="H144" s="161">
        <f t="shared" si="31"/>
        <v>0</v>
      </c>
      <c r="I144" s="161">
        <f t="shared" si="31"/>
        <v>0</v>
      </c>
      <c r="J144" s="161">
        <f t="shared" si="31"/>
        <v>0</v>
      </c>
      <c r="K144" s="161">
        <f t="shared" si="31"/>
        <v>0</v>
      </c>
      <c r="L144" s="161">
        <f t="shared" si="31"/>
        <v>0</v>
      </c>
      <c r="M144" s="161">
        <f t="shared" si="31"/>
        <v>0</v>
      </c>
      <c r="N144" s="161">
        <f t="shared" si="31"/>
        <v>0</v>
      </c>
      <c r="O144" s="161">
        <f t="shared" si="31"/>
        <v>0</v>
      </c>
      <c r="P144" s="161">
        <f t="shared" si="31"/>
        <v>0</v>
      </c>
      <c r="Q144" s="161">
        <f t="shared" si="31"/>
        <v>0</v>
      </c>
      <c r="R144" s="166">
        <f t="shared" si="17"/>
        <v>2699.1310000000003</v>
      </c>
      <c r="S144" s="161"/>
      <c r="T144" s="161">
        <f t="shared" si="31"/>
        <v>0</v>
      </c>
      <c r="U144" s="161">
        <f t="shared" si="31"/>
        <v>0</v>
      </c>
      <c r="V144" s="167">
        <f t="shared" si="31"/>
        <v>0</v>
      </c>
      <c r="W144" s="161">
        <f t="shared" si="31"/>
        <v>0</v>
      </c>
      <c r="X144" s="167">
        <f t="shared" si="19"/>
        <v>0</v>
      </c>
      <c r="Y144" s="584">
        <f t="shared" si="16"/>
        <v>2699.1310000000003</v>
      </c>
    </row>
    <row r="145" spans="1:26" ht="9.9499999999999993" hidden="1" customHeight="1" x14ac:dyDescent="0.2">
      <c r="A145" s="82"/>
      <c r="B145" s="45"/>
      <c r="C145" s="28"/>
      <c r="D145" s="161"/>
      <c r="E145" s="166"/>
      <c r="F145" s="161"/>
      <c r="G145" s="161"/>
      <c r="H145" s="161"/>
      <c r="I145" s="161"/>
      <c r="J145" s="161"/>
      <c r="K145" s="161"/>
      <c r="L145" s="161"/>
      <c r="M145" s="161"/>
      <c r="N145" s="161"/>
      <c r="O145" s="161"/>
      <c r="P145" s="161"/>
      <c r="Q145" s="161"/>
      <c r="R145" s="166">
        <f t="shared" si="17"/>
        <v>0</v>
      </c>
      <c r="S145" s="161"/>
      <c r="T145" s="161"/>
      <c r="U145" s="161"/>
      <c r="V145" s="167"/>
      <c r="W145" s="161"/>
      <c r="X145" s="167"/>
      <c r="Y145" s="584"/>
    </row>
    <row r="146" spans="1:26" ht="33.75" hidden="1" customHeight="1" x14ac:dyDescent="0.2">
      <c r="A146" s="235">
        <v>3</v>
      </c>
      <c r="B146" s="237" t="s">
        <v>512</v>
      </c>
      <c r="C146" s="41" t="s">
        <v>513</v>
      </c>
      <c r="D146" s="161"/>
      <c r="E146" s="166"/>
      <c r="F146" s="161">
        <f>233+63</f>
        <v>296</v>
      </c>
      <c r="G146" s="161"/>
      <c r="H146" s="161"/>
      <c r="I146" s="161"/>
      <c r="J146" s="161"/>
      <c r="K146" s="161"/>
      <c r="L146" s="161">
        <f>-233-63</f>
        <v>-296</v>
      </c>
      <c r="M146" s="161"/>
      <c r="N146" s="161"/>
      <c r="O146" s="161"/>
      <c r="P146" s="161"/>
      <c r="Q146" s="161"/>
      <c r="R146" s="166">
        <f t="shared" si="17"/>
        <v>0</v>
      </c>
      <c r="S146" s="161"/>
      <c r="T146" s="161"/>
      <c r="U146" s="161"/>
      <c r="V146" s="167"/>
      <c r="W146" s="161"/>
      <c r="X146" s="167">
        <f t="shared" si="19"/>
        <v>0</v>
      </c>
      <c r="Y146" s="584">
        <f t="shared" si="16"/>
        <v>0</v>
      </c>
    </row>
    <row r="147" spans="1:26" ht="33.75" hidden="1" customHeight="1" x14ac:dyDescent="0.2">
      <c r="A147" s="235">
        <v>4</v>
      </c>
      <c r="B147" s="237" t="s">
        <v>514</v>
      </c>
      <c r="C147" s="41" t="s">
        <v>515</v>
      </c>
      <c r="D147" s="161">
        <f>3461+40</f>
        <v>3501</v>
      </c>
      <c r="E147" s="166">
        <f>469.778+3</f>
        <v>472.77800000000002</v>
      </c>
      <c r="F147" s="161"/>
      <c r="G147" s="161"/>
      <c r="H147" s="161"/>
      <c r="I147" s="161"/>
      <c r="J147" s="161"/>
      <c r="K147" s="161"/>
      <c r="L147" s="161"/>
      <c r="M147" s="161"/>
      <c r="N147" s="161"/>
      <c r="O147" s="161"/>
      <c r="P147" s="161"/>
      <c r="Q147" s="161"/>
      <c r="R147" s="166">
        <f t="shared" si="17"/>
        <v>3973.7780000000002</v>
      </c>
      <c r="S147" s="161"/>
      <c r="T147" s="161"/>
      <c r="U147" s="161"/>
      <c r="V147" s="167"/>
      <c r="W147" s="161"/>
      <c r="X147" s="167">
        <f t="shared" si="19"/>
        <v>0</v>
      </c>
      <c r="Y147" s="584">
        <f t="shared" si="16"/>
        <v>3973.7780000000002</v>
      </c>
    </row>
    <row r="148" spans="1:26" ht="33.75" hidden="1" customHeight="1" x14ac:dyDescent="0.2">
      <c r="A148" s="235"/>
      <c r="B148" s="237"/>
      <c r="C148" s="41"/>
      <c r="D148" s="161"/>
      <c r="E148" s="166"/>
      <c r="F148" s="161"/>
      <c r="G148" s="161"/>
      <c r="H148" s="161"/>
      <c r="I148" s="161"/>
      <c r="J148" s="161"/>
      <c r="K148" s="161"/>
      <c r="L148" s="161"/>
      <c r="M148" s="161"/>
      <c r="N148" s="161"/>
      <c r="O148" s="161"/>
      <c r="P148" s="161"/>
      <c r="Q148" s="161"/>
      <c r="R148" s="166">
        <f t="shared" si="17"/>
        <v>0</v>
      </c>
      <c r="S148" s="161"/>
      <c r="T148" s="161"/>
      <c r="U148" s="161"/>
      <c r="V148" s="167"/>
      <c r="W148" s="161"/>
      <c r="X148" s="167">
        <f t="shared" si="19"/>
        <v>0</v>
      </c>
      <c r="Y148" s="584">
        <f t="shared" si="16"/>
        <v>0</v>
      </c>
    </row>
    <row r="149" spans="1:26" ht="24" hidden="1" customHeight="1" x14ac:dyDescent="0.2">
      <c r="A149" s="235"/>
      <c r="B149" s="237"/>
      <c r="C149" s="41"/>
      <c r="D149" s="161"/>
      <c r="E149" s="166"/>
      <c r="F149" s="161"/>
      <c r="G149" s="161"/>
      <c r="H149" s="161"/>
      <c r="I149" s="161"/>
      <c r="J149" s="161"/>
      <c r="K149" s="161"/>
      <c r="L149" s="161"/>
      <c r="M149" s="161"/>
      <c r="N149" s="161"/>
      <c r="O149" s="161"/>
      <c r="P149" s="161"/>
      <c r="Q149" s="161"/>
      <c r="R149" s="166">
        <f t="shared" si="17"/>
        <v>0</v>
      </c>
      <c r="S149" s="161"/>
      <c r="T149" s="161"/>
      <c r="U149" s="161"/>
      <c r="V149" s="167"/>
      <c r="W149" s="161"/>
      <c r="X149" s="167">
        <f t="shared" si="19"/>
        <v>0</v>
      </c>
      <c r="Y149" s="584">
        <f t="shared" si="16"/>
        <v>0</v>
      </c>
    </row>
    <row r="150" spans="1:26" ht="24" hidden="1" customHeight="1" x14ac:dyDescent="0.2">
      <c r="A150" s="235"/>
      <c r="B150" s="237"/>
      <c r="C150" s="41"/>
      <c r="D150" s="161"/>
      <c r="E150" s="166"/>
      <c r="F150" s="161"/>
      <c r="G150" s="161"/>
      <c r="H150" s="161"/>
      <c r="I150" s="161"/>
      <c r="J150" s="161"/>
      <c r="K150" s="161"/>
      <c r="L150" s="161"/>
      <c r="M150" s="161"/>
      <c r="N150" s="161"/>
      <c r="O150" s="161"/>
      <c r="P150" s="161"/>
      <c r="Q150" s="161"/>
      <c r="R150" s="166">
        <f t="shared" si="17"/>
        <v>0</v>
      </c>
      <c r="S150" s="161"/>
      <c r="T150" s="161"/>
      <c r="U150" s="161"/>
      <c r="V150" s="167"/>
      <c r="W150" s="161"/>
      <c r="X150" s="167">
        <f t="shared" si="19"/>
        <v>0</v>
      </c>
      <c r="Y150" s="584">
        <f t="shared" si="16"/>
        <v>0</v>
      </c>
    </row>
    <row r="151" spans="1:26" ht="24" hidden="1" customHeight="1" x14ac:dyDescent="0.2">
      <c r="A151" s="235"/>
      <c r="B151" s="237"/>
      <c r="C151" s="41"/>
      <c r="D151" s="161"/>
      <c r="E151" s="166"/>
      <c r="F151" s="161"/>
      <c r="G151" s="161"/>
      <c r="H151" s="161"/>
      <c r="I151" s="161"/>
      <c r="J151" s="161"/>
      <c r="K151" s="161"/>
      <c r="L151" s="161"/>
      <c r="M151" s="161"/>
      <c r="N151" s="161"/>
      <c r="O151" s="161"/>
      <c r="P151" s="161"/>
      <c r="Q151" s="161"/>
      <c r="R151" s="166">
        <f t="shared" si="17"/>
        <v>0</v>
      </c>
      <c r="S151" s="161"/>
      <c r="T151" s="161"/>
      <c r="U151" s="161"/>
      <c r="V151" s="167"/>
      <c r="W151" s="161"/>
      <c r="X151" s="167">
        <f t="shared" si="19"/>
        <v>0</v>
      </c>
      <c r="Y151" s="584">
        <f t="shared" si="16"/>
        <v>0</v>
      </c>
    </row>
    <row r="152" spans="1:26" ht="20.100000000000001" hidden="1" customHeight="1" x14ac:dyDescent="0.2">
      <c r="A152" s="82"/>
      <c r="B152" s="32"/>
      <c r="C152" s="34"/>
      <c r="D152" s="161"/>
      <c r="E152" s="166"/>
      <c r="F152" s="161"/>
      <c r="G152" s="161"/>
      <c r="H152" s="161"/>
      <c r="I152" s="161"/>
      <c r="J152" s="161"/>
      <c r="K152" s="161"/>
      <c r="L152" s="161"/>
      <c r="M152" s="161"/>
      <c r="N152" s="161"/>
      <c r="O152" s="161"/>
      <c r="P152" s="161"/>
      <c r="Q152" s="161"/>
      <c r="R152" s="166">
        <f t="shared" si="17"/>
        <v>0</v>
      </c>
      <c r="S152" s="161"/>
      <c r="T152" s="161"/>
      <c r="U152" s="161"/>
      <c r="V152" s="167"/>
      <c r="W152" s="161"/>
      <c r="X152" s="167">
        <f t="shared" si="19"/>
        <v>0</v>
      </c>
      <c r="Y152" s="584">
        <f t="shared" si="16"/>
        <v>0</v>
      </c>
    </row>
    <row r="153" spans="1:26" ht="9.9499999999999993" hidden="1" customHeight="1" x14ac:dyDescent="0.2">
      <c r="A153" s="82"/>
      <c r="B153" s="126"/>
      <c r="C153" s="41"/>
      <c r="D153" s="161"/>
      <c r="E153" s="166"/>
      <c r="F153" s="161"/>
      <c r="G153" s="161"/>
      <c r="H153" s="161"/>
      <c r="I153" s="161"/>
      <c r="J153" s="161"/>
      <c r="K153" s="161"/>
      <c r="L153" s="161"/>
      <c r="M153" s="161"/>
      <c r="N153" s="161"/>
      <c r="O153" s="161"/>
      <c r="P153" s="161"/>
      <c r="Q153" s="161"/>
      <c r="R153" s="166">
        <f t="shared" ref="R153:R221" si="32">SUM(D153:Q153)</f>
        <v>0</v>
      </c>
      <c r="S153" s="161"/>
      <c r="T153" s="161"/>
      <c r="U153" s="161"/>
      <c r="V153" s="167"/>
      <c r="W153" s="161"/>
      <c r="X153" s="167"/>
      <c r="Y153" s="584"/>
    </row>
    <row r="154" spans="1:26" ht="20.100000000000001" hidden="1" customHeight="1" x14ac:dyDescent="0.2">
      <c r="A154" s="218" t="s">
        <v>97</v>
      </c>
      <c r="B154" s="214"/>
      <c r="C154" s="219" t="s">
        <v>95</v>
      </c>
      <c r="D154" s="161">
        <f t="shared" ref="D154:W154" si="33">SUM(D146:D153)</f>
        <v>3501</v>
      </c>
      <c r="E154" s="166">
        <f t="shared" si="33"/>
        <v>472.77800000000002</v>
      </c>
      <c r="F154" s="161">
        <f t="shared" si="33"/>
        <v>296</v>
      </c>
      <c r="G154" s="161">
        <f t="shared" si="33"/>
        <v>0</v>
      </c>
      <c r="H154" s="161">
        <f t="shared" si="33"/>
        <v>0</v>
      </c>
      <c r="I154" s="161">
        <f t="shared" si="33"/>
        <v>0</v>
      </c>
      <c r="J154" s="161">
        <f t="shared" si="33"/>
        <v>0</v>
      </c>
      <c r="K154" s="161">
        <f t="shared" si="33"/>
        <v>0</v>
      </c>
      <c r="L154" s="161">
        <f t="shared" si="33"/>
        <v>-296</v>
      </c>
      <c r="M154" s="161">
        <f t="shared" si="33"/>
        <v>0</v>
      </c>
      <c r="N154" s="161">
        <f t="shared" si="33"/>
        <v>0</v>
      </c>
      <c r="O154" s="161">
        <f t="shared" si="33"/>
        <v>0</v>
      </c>
      <c r="P154" s="161">
        <f t="shared" si="33"/>
        <v>0</v>
      </c>
      <c r="Q154" s="161">
        <f t="shared" si="33"/>
        <v>0</v>
      </c>
      <c r="R154" s="166">
        <f t="shared" si="32"/>
        <v>3973.7780000000002</v>
      </c>
      <c r="S154" s="161"/>
      <c r="T154" s="161">
        <f t="shared" si="33"/>
        <v>0</v>
      </c>
      <c r="U154" s="161">
        <f t="shared" si="33"/>
        <v>0</v>
      </c>
      <c r="V154" s="167">
        <f t="shared" si="33"/>
        <v>0</v>
      </c>
      <c r="W154" s="161">
        <f t="shared" si="33"/>
        <v>0</v>
      </c>
      <c r="X154" s="167">
        <f t="shared" ref="X154:X221" si="34">SUM(T154:W154)</f>
        <v>0</v>
      </c>
      <c r="Y154" s="584">
        <f t="shared" ref="Y154:Y221" si="35">R154+X154</f>
        <v>3973.7780000000002</v>
      </c>
    </row>
    <row r="155" spans="1:26" ht="9.9499999999999993" hidden="1" customHeight="1" x14ac:dyDescent="0.2">
      <c r="A155" s="82"/>
      <c r="B155" s="126"/>
      <c r="C155" s="41"/>
      <c r="D155" s="161"/>
      <c r="E155" s="166"/>
      <c r="F155" s="161"/>
      <c r="G155" s="161"/>
      <c r="H155" s="161"/>
      <c r="I155" s="161"/>
      <c r="J155" s="161"/>
      <c r="K155" s="161"/>
      <c r="L155" s="161"/>
      <c r="M155" s="161"/>
      <c r="N155" s="161"/>
      <c r="O155" s="161"/>
      <c r="P155" s="161"/>
      <c r="Q155" s="161"/>
      <c r="R155" s="166">
        <f t="shared" si="32"/>
        <v>0</v>
      </c>
      <c r="S155" s="161"/>
      <c r="T155" s="161"/>
      <c r="U155" s="161"/>
      <c r="V155" s="167"/>
      <c r="W155" s="161"/>
      <c r="X155" s="167"/>
      <c r="Y155" s="584"/>
    </row>
    <row r="156" spans="1:26" ht="24" hidden="1" customHeight="1" thickBot="1" x14ac:dyDescent="0.25">
      <c r="A156" s="82"/>
      <c r="B156" s="89"/>
      <c r="C156" s="41"/>
      <c r="D156" s="161"/>
      <c r="E156" s="166"/>
      <c r="F156" s="161"/>
      <c r="G156" s="161"/>
      <c r="H156" s="161"/>
      <c r="I156" s="161"/>
      <c r="J156" s="161"/>
      <c r="K156" s="161"/>
      <c r="L156" s="161"/>
      <c r="M156" s="161"/>
      <c r="N156" s="161"/>
      <c r="O156" s="161"/>
      <c r="P156" s="161"/>
      <c r="Q156" s="161"/>
      <c r="R156" s="166">
        <f t="shared" si="32"/>
        <v>0</v>
      </c>
      <c r="S156" s="161"/>
      <c r="T156" s="161"/>
      <c r="U156" s="161"/>
      <c r="V156" s="167"/>
      <c r="W156" s="161"/>
      <c r="X156" s="167"/>
      <c r="Y156" s="584"/>
    </row>
    <row r="157" spans="1:26" ht="30" hidden="1" customHeight="1" thickTop="1" thickBot="1" x14ac:dyDescent="0.25">
      <c r="A157" s="42"/>
      <c r="B157" s="272" t="s">
        <v>484</v>
      </c>
      <c r="C157" s="44" t="s">
        <v>98</v>
      </c>
      <c r="D157" s="168">
        <f t="shared" ref="D157:W157" si="36">D144+D154</f>
        <v>5626.3</v>
      </c>
      <c r="E157" s="556">
        <f t="shared" si="36"/>
        <v>1046.6089999999999</v>
      </c>
      <c r="F157" s="168">
        <f t="shared" si="36"/>
        <v>296</v>
      </c>
      <c r="G157" s="168">
        <f t="shared" si="36"/>
        <v>0</v>
      </c>
      <c r="H157" s="168">
        <f t="shared" si="36"/>
        <v>0</v>
      </c>
      <c r="I157" s="168">
        <f t="shared" si="36"/>
        <v>0</v>
      </c>
      <c r="J157" s="168">
        <f t="shared" si="36"/>
        <v>0</v>
      </c>
      <c r="K157" s="168">
        <f t="shared" si="36"/>
        <v>0</v>
      </c>
      <c r="L157" s="168">
        <f t="shared" si="36"/>
        <v>-296</v>
      </c>
      <c r="M157" s="168">
        <f t="shared" si="36"/>
        <v>0</v>
      </c>
      <c r="N157" s="168">
        <f t="shared" si="36"/>
        <v>0</v>
      </c>
      <c r="O157" s="168">
        <f t="shared" si="36"/>
        <v>0</v>
      </c>
      <c r="P157" s="168">
        <f t="shared" si="36"/>
        <v>0</v>
      </c>
      <c r="Q157" s="168">
        <f t="shared" si="36"/>
        <v>0</v>
      </c>
      <c r="R157" s="556">
        <f t="shared" si="32"/>
        <v>6672.9089999999997</v>
      </c>
      <c r="S157" s="168"/>
      <c r="T157" s="168">
        <f>T144+T154</f>
        <v>0</v>
      </c>
      <c r="U157" s="168">
        <f>U144+U154</f>
        <v>0</v>
      </c>
      <c r="V157" s="171">
        <f t="shared" si="36"/>
        <v>0</v>
      </c>
      <c r="W157" s="168">
        <f t="shared" si="36"/>
        <v>0</v>
      </c>
      <c r="X157" s="171">
        <f t="shared" si="34"/>
        <v>0</v>
      </c>
      <c r="Y157" s="585">
        <f t="shared" si="35"/>
        <v>6672.9089999999997</v>
      </c>
    </row>
    <row r="158" spans="1:26" ht="30" hidden="1" customHeight="1" thickTop="1" thickBot="1" x14ac:dyDescent="0.25">
      <c r="A158" s="42"/>
      <c r="B158" s="629" t="s">
        <v>483</v>
      </c>
      <c r="C158" s="44" t="s">
        <v>166</v>
      </c>
      <c r="D158" s="594">
        <f t="shared" ref="D158:W158" si="37">D137+D157</f>
        <v>1600823.9000000001</v>
      </c>
      <c r="E158" s="626">
        <f t="shared" si="37"/>
        <v>468726.91</v>
      </c>
      <c r="F158" s="594">
        <f t="shared" si="37"/>
        <v>591557.53</v>
      </c>
      <c r="G158" s="594">
        <f t="shared" si="37"/>
        <v>140912</v>
      </c>
      <c r="H158" s="594">
        <f t="shared" si="37"/>
        <v>0</v>
      </c>
      <c r="I158" s="594">
        <f t="shared" si="37"/>
        <v>96016.873000000007</v>
      </c>
      <c r="J158" s="594">
        <f t="shared" si="37"/>
        <v>460.79399999999998</v>
      </c>
      <c r="K158" s="594">
        <f t="shared" si="37"/>
        <v>0</v>
      </c>
      <c r="L158" s="594">
        <f t="shared" si="37"/>
        <v>192557</v>
      </c>
      <c r="M158" s="594">
        <f t="shared" si="37"/>
        <v>7579</v>
      </c>
      <c r="N158" s="594">
        <f t="shared" si="37"/>
        <v>0</v>
      </c>
      <c r="O158" s="594">
        <f t="shared" si="37"/>
        <v>6000</v>
      </c>
      <c r="P158" s="594">
        <f t="shared" si="37"/>
        <v>0</v>
      </c>
      <c r="Q158" s="594">
        <f t="shared" si="37"/>
        <v>0</v>
      </c>
      <c r="R158" s="626">
        <f t="shared" si="32"/>
        <v>3104634.0070000002</v>
      </c>
      <c r="S158" s="594"/>
      <c r="T158" s="594">
        <f>T137+T157</f>
        <v>0</v>
      </c>
      <c r="U158" s="594">
        <f>U137+U157</f>
        <v>0</v>
      </c>
      <c r="V158" s="594">
        <f t="shared" si="37"/>
        <v>0</v>
      </c>
      <c r="W158" s="627">
        <f t="shared" si="37"/>
        <v>0</v>
      </c>
      <c r="X158" s="594">
        <f t="shared" si="34"/>
        <v>0</v>
      </c>
      <c r="Y158" s="625">
        <f t="shared" si="35"/>
        <v>3104634.0070000002</v>
      </c>
      <c r="Z158" s="134">
        <f>Y158-W158</f>
        <v>3104634.0070000002</v>
      </c>
    </row>
    <row r="159" spans="1:26" ht="24.95" customHeight="1" x14ac:dyDescent="0.25">
      <c r="A159" s="628"/>
      <c r="B159" s="552" t="s">
        <v>534</v>
      </c>
      <c r="C159" s="136" t="s">
        <v>18</v>
      </c>
      <c r="D159" s="231">
        <f t="shared" ref="D159:W159" si="38">D158</f>
        <v>1600823.9000000001</v>
      </c>
      <c r="E159" s="573">
        <f t="shared" si="38"/>
        <v>468726.91</v>
      </c>
      <c r="F159" s="231">
        <f t="shared" si="38"/>
        <v>591557.53</v>
      </c>
      <c r="G159" s="231">
        <f t="shared" si="38"/>
        <v>140912</v>
      </c>
      <c r="H159" s="231">
        <f t="shared" si="38"/>
        <v>0</v>
      </c>
      <c r="I159" s="231">
        <f t="shared" si="38"/>
        <v>96016.873000000007</v>
      </c>
      <c r="J159" s="231">
        <f t="shared" si="38"/>
        <v>460.79399999999998</v>
      </c>
      <c r="K159" s="231">
        <f t="shared" si="38"/>
        <v>0</v>
      </c>
      <c r="L159" s="231">
        <f t="shared" si="38"/>
        <v>192557</v>
      </c>
      <c r="M159" s="231">
        <f t="shared" si="38"/>
        <v>7579</v>
      </c>
      <c r="N159" s="231">
        <f t="shared" si="38"/>
        <v>0</v>
      </c>
      <c r="O159" s="231">
        <f t="shared" si="38"/>
        <v>6000</v>
      </c>
      <c r="P159" s="231">
        <f t="shared" si="38"/>
        <v>0</v>
      </c>
      <c r="Q159" s="231">
        <f t="shared" si="38"/>
        <v>0</v>
      </c>
      <c r="R159" s="573">
        <f t="shared" si="32"/>
        <v>3104634.0070000002</v>
      </c>
      <c r="S159" s="231"/>
      <c r="T159" s="231">
        <f>T158</f>
        <v>0</v>
      </c>
      <c r="U159" s="231">
        <f>U158</f>
        <v>0</v>
      </c>
      <c r="V159" s="274">
        <f t="shared" si="38"/>
        <v>0</v>
      </c>
      <c r="W159" s="231">
        <f t="shared" si="38"/>
        <v>0</v>
      </c>
      <c r="X159" s="274">
        <f t="shared" si="34"/>
        <v>0</v>
      </c>
      <c r="Y159" s="583">
        <f t="shared" si="35"/>
        <v>3104634.0070000002</v>
      </c>
      <c r="Z159" s="134"/>
    </row>
    <row r="160" spans="1:26" ht="24.95" customHeight="1" x14ac:dyDescent="0.25">
      <c r="A160" s="637"/>
      <c r="B160" s="190"/>
      <c r="C160" s="638"/>
      <c r="D160" s="639"/>
      <c r="E160" s="640"/>
      <c r="F160" s="639"/>
      <c r="G160" s="639"/>
      <c r="H160" s="639"/>
      <c r="I160" s="639"/>
      <c r="J160" s="639"/>
      <c r="K160" s="639"/>
      <c r="L160" s="639"/>
      <c r="M160" s="639"/>
      <c r="N160" s="639"/>
      <c r="O160" s="639"/>
      <c r="P160" s="639"/>
      <c r="Q160" s="639"/>
      <c r="R160" s="640"/>
      <c r="S160" s="639"/>
      <c r="T160" s="639"/>
      <c r="U160" s="639"/>
      <c r="V160" s="641"/>
      <c r="W160" s="639"/>
      <c r="X160" s="641"/>
      <c r="Y160" s="642"/>
      <c r="Z160" s="134"/>
    </row>
    <row r="161" spans="1:26" ht="24" customHeight="1" x14ac:dyDescent="0.2">
      <c r="A161" s="235">
        <v>1</v>
      </c>
      <c r="B161" s="634" t="s">
        <v>585</v>
      </c>
      <c r="C161" s="28" t="s">
        <v>411</v>
      </c>
      <c r="D161" s="166">
        <f>389.165</f>
        <v>389.16500000000002</v>
      </c>
      <c r="E161" s="166">
        <f>285.552</f>
        <v>285.55200000000002</v>
      </c>
      <c r="F161" s="161"/>
      <c r="G161" s="161"/>
      <c r="H161" s="161"/>
      <c r="I161" s="161"/>
      <c r="J161" s="161"/>
      <c r="K161" s="161"/>
      <c r="L161" s="161"/>
      <c r="M161" s="161"/>
      <c r="N161" s="161"/>
      <c r="O161" s="161"/>
      <c r="P161" s="161"/>
      <c r="Q161" s="161"/>
      <c r="R161" s="166">
        <f t="shared" si="32"/>
        <v>674.7170000000001</v>
      </c>
      <c r="S161" s="161"/>
      <c r="T161" s="161"/>
      <c r="U161" s="161"/>
      <c r="V161" s="167"/>
      <c r="W161" s="161"/>
      <c r="X161" s="167">
        <f t="shared" si="34"/>
        <v>0</v>
      </c>
      <c r="Y161" s="584">
        <f t="shared" si="35"/>
        <v>674.7170000000001</v>
      </c>
      <c r="Z161" s="134"/>
    </row>
    <row r="162" spans="1:26" ht="24" customHeight="1" x14ac:dyDescent="0.2">
      <c r="A162" s="235">
        <v>2</v>
      </c>
      <c r="B162" s="633" t="s">
        <v>610</v>
      </c>
      <c r="C162" s="28" t="s">
        <v>609</v>
      </c>
      <c r="D162" s="166"/>
      <c r="E162" s="166"/>
      <c r="F162" s="161"/>
      <c r="G162" s="161">
        <f>-200-6902-185-8.69-39052.929-500-313.2-3468.2-1219.055-265.775-60.195-500</f>
        <v>-52675.043999999994</v>
      </c>
      <c r="H162" s="161"/>
      <c r="I162" s="161"/>
      <c r="J162" s="161"/>
      <c r="K162" s="161"/>
      <c r="L162" s="161"/>
      <c r="M162" s="161"/>
      <c r="N162" s="161"/>
      <c r="O162" s="161"/>
      <c r="P162" s="161"/>
      <c r="Q162" s="161"/>
      <c r="R162" s="166">
        <f t="shared" si="32"/>
        <v>-52675.043999999994</v>
      </c>
      <c r="S162" s="161"/>
      <c r="T162" s="161"/>
      <c r="U162" s="161"/>
      <c r="V162" s="167"/>
      <c r="W162" s="161"/>
      <c r="X162" s="167">
        <f t="shared" si="34"/>
        <v>0</v>
      </c>
      <c r="Y162" s="584">
        <f t="shared" si="35"/>
        <v>-52675.043999999994</v>
      </c>
      <c r="Z162" s="134"/>
    </row>
    <row r="163" spans="1:26" ht="24" customHeight="1" x14ac:dyDescent="0.2">
      <c r="A163" s="235">
        <v>3</v>
      </c>
      <c r="B163" s="631" t="s">
        <v>625</v>
      </c>
      <c r="C163" s="28" t="s">
        <v>477</v>
      </c>
      <c r="D163" s="166">
        <f>413</f>
        <v>413</v>
      </c>
      <c r="E163" s="166">
        <f>124</f>
        <v>124</v>
      </c>
      <c r="F163" s="161">
        <f>101</f>
        <v>101</v>
      </c>
      <c r="G163" s="161"/>
      <c r="H163" s="161"/>
      <c r="I163" s="161"/>
      <c r="J163" s="161"/>
      <c r="K163" s="161"/>
      <c r="L163" s="161"/>
      <c r="M163" s="161"/>
      <c r="N163" s="161"/>
      <c r="O163" s="161"/>
      <c r="P163" s="161"/>
      <c r="Q163" s="161"/>
      <c r="R163" s="166">
        <f t="shared" si="32"/>
        <v>638</v>
      </c>
      <c r="S163" s="161"/>
      <c r="T163" s="161"/>
      <c r="U163" s="161"/>
      <c r="V163" s="167"/>
      <c r="W163" s="161"/>
      <c r="X163" s="167">
        <f t="shared" si="34"/>
        <v>0</v>
      </c>
      <c r="Y163" s="584">
        <f t="shared" si="35"/>
        <v>638</v>
      </c>
      <c r="Z163" s="134"/>
    </row>
    <row r="164" spans="1:26" ht="24" hidden="1" customHeight="1" x14ac:dyDescent="0.2">
      <c r="A164" s="235"/>
      <c r="B164" s="240"/>
      <c r="C164" s="33"/>
      <c r="D164" s="161"/>
      <c r="E164" s="166"/>
      <c r="F164" s="161"/>
      <c r="G164" s="161"/>
      <c r="H164" s="161"/>
      <c r="I164" s="161"/>
      <c r="J164" s="161"/>
      <c r="K164" s="161"/>
      <c r="L164" s="161"/>
      <c r="M164" s="161"/>
      <c r="N164" s="161"/>
      <c r="O164" s="161"/>
      <c r="P164" s="161"/>
      <c r="Q164" s="161"/>
      <c r="R164" s="166">
        <f t="shared" si="32"/>
        <v>0</v>
      </c>
      <c r="S164" s="161"/>
      <c r="T164" s="161"/>
      <c r="U164" s="161"/>
      <c r="V164" s="167"/>
      <c r="W164" s="161"/>
      <c r="X164" s="167">
        <f t="shared" si="34"/>
        <v>0</v>
      </c>
      <c r="Y164" s="584">
        <f t="shared" si="35"/>
        <v>0</v>
      </c>
      <c r="Z164" s="134"/>
    </row>
    <row r="165" spans="1:26" ht="24" hidden="1" customHeight="1" x14ac:dyDescent="0.2">
      <c r="A165" s="82"/>
      <c r="B165" s="30"/>
      <c r="C165" s="28"/>
      <c r="D165" s="161"/>
      <c r="E165" s="166"/>
      <c r="F165" s="161"/>
      <c r="G165" s="161"/>
      <c r="H165" s="161"/>
      <c r="I165" s="161"/>
      <c r="J165" s="161"/>
      <c r="K165" s="161"/>
      <c r="L165" s="161"/>
      <c r="M165" s="161"/>
      <c r="N165" s="161"/>
      <c r="O165" s="161"/>
      <c r="P165" s="161"/>
      <c r="Q165" s="161"/>
      <c r="R165" s="166">
        <f t="shared" si="32"/>
        <v>0</v>
      </c>
      <c r="S165" s="161"/>
      <c r="T165" s="161"/>
      <c r="U165" s="161"/>
      <c r="V165" s="167"/>
      <c r="W165" s="161"/>
      <c r="X165" s="167">
        <f t="shared" si="34"/>
        <v>0</v>
      </c>
      <c r="Y165" s="584">
        <f t="shared" si="35"/>
        <v>0</v>
      </c>
      <c r="Z165" s="134"/>
    </row>
    <row r="166" spans="1:26" ht="24" customHeight="1" x14ac:dyDescent="0.2">
      <c r="A166" s="82"/>
      <c r="B166" s="30"/>
      <c r="C166" s="28"/>
      <c r="D166" s="161"/>
      <c r="E166" s="166"/>
      <c r="F166" s="161"/>
      <c r="G166" s="161"/>
      <c r="H166" s="161"/>
      <c r="I166" s="161"/>
      <c r="J166" s="161"/>
      <c r="K166" s="161"/>
      <c r="L166" s="161"/>
      <c r="M166" s="161"/>
      <c r="N166" s="161"/>
      <c r="O166" s="161"/>
      <c r="P166" s="161"/>
      <c r="Q166" s="161"/>
      <c r="R166" s="166"/>
      <c r="S166" s="161"/>
      <c r="T166" s="161"/>
      <c r="U166" s="161"/>
      <c r="V166" s="167"/>
      <c r="W166" s="161"/>
      <c r="X166" s="167"/>
      <c r="Y166" s="584"/>
      <c r="Z166" s="134"/>
    </row>
    <row r="167" spans="1:26" ht="24" customHeight="1" x14ac:dyDescent="0.2">
      <c r="A167" s="218" t="s">
        <v>96</v>
      </c>
      <c r="B167" s="214"/>
      <c r="C167" s="219" t="s">
        <v>94</v>
      </c>
      <c r="D167" s="161">
        <f t="shared" ref="D167:W167" si="39">SUM(D161:D166)</f>
        <v>802.16499999999996</v>
      </c>
      <c r="E167" s="166">
        <f t="shared" si="39"/>
        <v>409.55200000000002</v>
      </c>
      <c r="F167" s="161">
        <f t="shared" si="39"/>
        <v>101</v>
      </c>
      <c r="G167" s="161">
        <f t="shared" si="39"/>
        <v>-52675.043999999994</v>
      </c>
      <c r="H167" s="161">
        <f t="shared" si="39"/>
        <v>0</v>
      </c>
      <c r="I167" s="161">
        <f t="shared" si="39"/>
        <v>0</v>
      </c>
      <c r="J167" s="161">
        <f t="shared" si="39"/>
        <v>0</v>
      </c>
      <c r="K167" s="161">
        <f t="shared" si="39"/>
        <v>0</v>
      </c>
      <c r="L167" s="161">
        <f t="shared" si="39"/>
        <v>0</v>
      </c>
      <c r="M167" s="161">
        <f t="shared" si="39"/>
        <v>0</v>
      </c>
      <c r="N167" s="161">
        <f t="shared" si="39"/>
        <v>0</v>
      </c>
      <c r="O167" s="161">
        <f t="shared" si="39"/>
        <v>0</v>
      </c>
      <c r="P167" s="161">
        <f t="shared" si="39"/>
        <v>0</v>
      </c>
      <c r="Q167" s="161">
        <f t="shared" si="39"/>
        <v>0</v>
      </c>
      <c r="R167" s="166">
        <f t="shared" si="32"/>
        <v>-51362.326999999997</v>
      </c>
      <c r="S167" s="161"/>
      <c r="T167" s="161">
        <f t="shared" si="39"/>
        <v>0</v>
      </c>
      <c r="U167" s="161">
        <f t="shared" si="39"/>
        <v>0</v>
      </c>
      <c r="V167" s="167">
        <f t="shared" si="39"/>
        <v>0</v>
      </c>
      <c r="W167" s="161">
        <f t="shared" si="39"/>
        <v>0</v>
      </c>
      <c r="X167" s="167">
        <f t="shared" si="34"/>
        <v>0</v>
      </c>
      <c r="Y167" s="584">
        <f t="shared" si="35"/>
        <v>-51362.326999999997</v>
      </c>
      <c r="Z167" s="134"/>
    </row>
    <row r="168" spans="1:26" ht="24" customHeight="1" x14ac:dyDescent="0.2">
      <c r="A168" s="82"/>
      <c r="B168" s="45"/>
      <c r="C168" s="28"/>
      <c r="D168" s="161"/>
      <c r="E168" s="166"/>
      <c r="F168" s="161"/>
      <c r="G168" s="161"/>
      <c r="H168" s="161"/>
      <c r="I168" s="161"/>
      <c r="J168" s="161"/>
      <c r="K168" s="161"/>
      <c r="L168" s="161"/>
      <c r="M168" s="161"/>
      <c r="N168" s="161"/>
      <c r="O168" s="161"/>
      <c r="P168" s="161"/>
      <c r="Q168" s="161"/>
      <c r="R168" s="166"/>
      <c r="S168" s="161"/>
      <c r="T168" s="161"/>
      <c r="U168" s="161"/>
      <c r="V168" s="167"/>
      <c r="W168" s="161"/>
      <c r="X168" s="167"/>
      <c r="Y168" s="584"/>
      <c r="Z168" s="134"/>
    </row>
    <row r="169" spans="1:26" ht="24" customHeight="1" x14ac:dyDescent="0.2">
      <c r="A169" s="235">
        <v>4</v>
      </c>
      <c r="B169" s="237" t="s">
        <v>556</v>
      </c>
      <c r="C169" s="41" t="s">
        <v>332</v>
      </c>
      <c r="D169" s="161"/>
      <c r="E169" s="166"/>
      <c r="F169" s="161">
        <f>-235-64</f>
        <v>-299</v>
      </c>
      <c r="G169" s="161"/>
      <c r="H169" s="161"/>
      <c r="I169" s="161"/>
      <c r="J169" s="161"/>
      <c r="K169" s="161"/>
      <c r="L169" s="161">
        <f>235+64</f>
        <v>299</v>
      </c>
      <c r="M169" s="161"/>
      <c r="N169" s="161"/>
      <c r="O169" s="161"/>
      <c r="P169" s="161"/>
      <c r="Q169" s="161"/>
      <c r="R169" s="166">
        <f t="shared" si="32"/>
        <v>0</v>
      </c>
      <c r="S169" s="161"/>
      <c r="T169" s="161"/>
      <c r="U169" s="161"/>
      <c r="V169" s="167"/>
      <c r="W169" s="161"/>
      <c r="X169" s="167">
        <f t="shared" si="34"/>
        <v>0</v>
      </c>
      <c r="Y169" s="584">
        <f t="shared" si="35"/>
        <v>0</v>
      </c>
      <c r="Z169" s="134"/>
    </row>
    <row r="170" spans="1:26" ht="24" customHeight="1" x14ac:dyDescent="0.2">
      <c r="A170" s="235">
        <v>5</v>
      </c>
      <c r="B170" s="237" t="s">
        <v>591</v>
      </c>
      <c r="C170" s="41" t="s">
        <v>590</v>
      </c>
      <c r="D170" s="161">
        <f>6155.219+4+49</f>
        <v>6208.2190000000001</v>
      </c>
      <c r="E170" s="166">
        <f>838.109</f>
        <v>838.10900000000004</v>
      </c>
      <c r="F170" s="161"/>
      <c r="G170" s="161"/>
      <c r="H170" s="161"/>
      <c r="I170" s="161"/>
      <c r="J170" s="161"/>
      <c r="K170" s="161"/>
      <c r="L170" s="161"/>
      <c r="M170" s="161"/>
      <c r="N170" s="161"/>
      <c r="O170" s="161"/>
      <c r="P170" s="161"/>
      <c r="Q170" s="161"/>
      <c r="R170" s="166">
        <f t="shared" si="32"/>
        <v>7046.3280000000004</v>
      </c>
      <c r="S170" s="161"/>
      <c r="T170" s="161"/>
      <c r="U170" s="161"/>
      <c r="V170" s="167"/>
      <c r="W170" s="161"/>
      <c r="X170" s="167">
        <f t="shared" si="34"/>
        <v>0</v>
      </c>
      <c r="Y170" s="584">
        <f t="shared" si="35"/>
        <v>7046.3280000000004</v>
      </c>
      <c r="Z170" s="134"/>
    </row>
    <row r="171" spans="1:26" ht="24" customHeight="1" x14ac:dyDescent="0.2">
      <c r="A171" s="82">
        <v>6</v>
      </c>
      <c r="B171" s="32" t="s">
        <v>597</v>
      </c>
      <c r="C171" s="34" t="s">
        <v>596</v>
      </c>
      <c r="D171" s="161">
        <f>-261.247-251.846-477.4-110+587.4-40+40</f>
        <v>-513.09299999999996</v>
      </c>
      <c r="E171" s="166"/>
      <c r="F171" s="161">
        <f>-900+900+261.247-1003.129+975+28.129+251.846-4.615+4.615</f>
        <v>513.09299999999996</v>
      </c>
      <c r="G171" s="161"/>
      <c r="H171" s="161"/>
      <c r="I171" s="161"/>
      <c r="J171" s="161"/>
      <c r="K171" s="161"/>
      <c r="L171" s="161"/>
      <c r="M171" s="161"/>
      <c r="N171" s="161"/>
      <c r="O171" s="161"/>
      <c r="P171" s="161"/>
      <c r="Q171" s="161"/>
      <c r="R171" s="166">
        <f t="shared" si="32"/>
        <v>0</v>
      </c>
      <c r="S171" s="161"/>
      <c r="T171" s="161"/>
      <c r="U171" s="161"/>
      <c r="V171" s="167"/>
      <c r="W171" s="161"/>
      <c r="X171" s="167">
        <f t="shared" si="34"/>
        <v>0</v>
      </c>
      <c r="Y171" s="584">
        <f t="shared" si="35"/>
        <v>0</v>
      </c>
      <c r="Z171" s="134"/>
    </row>
    <row r="172" spans="1:26" ht="24" customHeight="1" x14ac:dyDescent="0.2">
      <c r="A172" s="82">
        <v>7</v>
      </c>
      <c r="B172" s="307" t="s">
        <v>600</v>
      </c>
      <c r="C172" s="34" t="s">
        <v>475</v>
      </c>
      <c r="D172" s="161">
        <f>-18</f>
        <v>-18</v>
      </c>
      <c r="E172" s="166"/>
      <c r="F172" s="161">
        <f>18+2+18-11-1-8</f>
        <v>18</v>
      </c>
      <c r="G172" s="161"/>
      <c r="H172" s="161"/>
      <c r="I172" s="161"/>
      <c r="J172" s="161"/>
      <c r="K172" s="161"/>
      <c r="L172" s="161"/>
      <c r="M172" s="161"/>
      <c r="N172" s="161"/>
      <c r="O172" s="161"/>
      <c r="P172" s="161"/>
      <c r="Q172" s="161"/>
      <c r="R172" s="166">
        <f t="shared" si="32"/>
        <v>0</v>
      </c>
      <c r="S172" s="161"/>
      <c r="T172" s="161"/>
      <c r="U172" s="161"/>
      <c r="V172" s="167"/>
      <c r="W172" s="161"/>
      <c r="X172" s="167">
        <f t="shared" si="34"/>
        <v>0</v>
      </c>
      <c r="Y172" s="584">
        <f t="shared" si="35"/>
        <v>0</v>
      </c>
      <c r="Z172" s="134"/>
    </row>
    <row r="173" spans="1:26" ht="24" customHeight="1" x14ac:dyDescent="0.2">
      <c r="A173" s="82">
        <v>8</v>
      </c>
      <c r="B173" s="303" t="s">
        <v>601</v>
      </c>
      <c r="C173" s="34" t="s">
        <v>334</v>
      </c>
      <c r="D173" s="161"/>
      <c r="E173" s="166"/>
      <c r="F173" s="161"/>
      <c r="G173" s="161"/>
      <c r="H173" s="161"/>
      <c r="I173" s="161"/>
      <c r="J173" s="161"/>
      <c r="K173" s="161"/>
      <c r="L173" s="161">
        <f>-1850-500-368-100</f>
        <v>-2818</v>
      </c>
      <c r="M173" s="161">
        <f>2218+600</f>
        <v>2818</v>
      </c>
      <c r="N173" s="161"/>
      <c r="O173" s="161"/>
      <c r="P173" s="161"/>
      <c r="Q173" s="161"/>
      <c r="R173" s="166">
        <f t="shared" si="32"/>
        <v>0</v>
      </c>
      <c r="S173" s="161"/>
      <c r="T173" s="161"/>
      <c r="U173" s="161"/>
      <c r="V173" s="167"/>
      <c r="W173" s="161"/>
      <c r="X173" s="167">
        <f t="shared" si="34"/>
        <v>0</v>
      </c>
      <c r="Y173" s="584">
        <f t="shared" si="35"/>
        <v>0</v>
      </c>
      <c r="Z173" s="134"/>
    </row>
    <row r="174" spans="1:26" ht="24" customHeight="1" x14ac:dyDescent="0.2">
      <c r="A174" s="82">
        <v>9</v>
      </c>
      <c r="B174" s="307" t="s">
        <v>612</v>
      </c>
      <c r="C174" s="34" t="s">
        <v>611</v>
      </c>
      <c r="D174" s="161"/>
      <c r="E174" s="166"/>
      <c r="F174" s="161">
        <f>-3422-834</f>
        <v>-4256</v>
      </c>
      <c r="G174" s="161"/>
      <c r="H174" s="161"/>
      <c r="I174" s="161"/>
      <c r="J174" s="161"/>
      <c r="K174" s="161"/>
      <c r="L174" s="161">
        <f>1037+280+1169+316+391+106+337+488+132</f>
        <v>4256</v>
      </c>
      <c r="M174" s="161"/>
      <c r="N174" s="161"/>
      <c r="O174" s="161"/>
      <c r="P174" s="161"/>
      <c r="Q174" s="161"/>
      <c r="R174" s="166">
        <f t="shared" si="32"/>
        <v>0</v>
      </c>
      <c r="S174" s="161"/>
      <c r="T174" s="161"/>
      <c r="U174" s="161"/>
      <c r="V174" s="167"/>
      <c r="W174" s="161"/>
      <c r="X174" s="167">
        <f t="shared" si="34"/>
        <v>0</v>
      </c>
      <c r="Y174" s="584">
        <f t="shared" si="35"/>
        <v>0</v>
      </c>
      <c r="Z174" s="134"/>
    </row>
    <row r="175" spans="1:26" ht="24" customHeight="1" x14ac:dyDescent="0.2">
      <c r="A175" s="82">
        <v>10</v>
      </c>
      <c r="B175" s="632" t="s">
        <v>630</v>
      </c>
      <c r="C175" s="34" t="s">
        <v>631</v>
      </c>
      <c r="D175" s="161">
        <f>-108008+131535+3000-1950+1950+1759+314</f>
        <v>28600</v>
      </c>
      <c r="E175" s="166">
        <f>-20806-2194+3000-3000-5600</f>
        <v>-28600</v>
      </c>
      <c r="F175" s="161"/>
      <c r="G175" s="161"/>
      <c r="H175" s="161"/>
      <c r="I175" s="161"/>
      <c r="J175" s="161"/>
      <c r="K175" s="161"/>
      <c r="L175" s="161"/>
      <c r="M175" s="161"/>
      <c r="N175" s="161"/>
      <c r="O175" s="161"/>
      <c r="P175" s="161"/>
      <c r="Q175" s="161"/>
      <c r="R175" s="166">
        <f t="shared" si="32"/>
        <v>0</v>
      </c>
      <c r="S175" s="161"/>
      <c r="T175" s="161"/>
      <c r="U175" s="161"/>
      <c r="V175" s="167"/>
      <c r="W175" s="161"/>
      <c r="X175" s="167">
        <f t="shared" si="34"/>
        <v>0</v>
      </c>
      <c r="Y175" s="584">
        <f t="shared" si="35"/>
        <v>0</v>
      </c>
      <c r="Z175" s="134"/>
    </row>
    <row r="176" spans="1:26" ht="24" customHeight="1" x14ac:dyDescent="0.2">
      <c r="A176" s="82"/>
      <c r="B176" s="126"/>
      <c r="C176" s="41"/>
      <c r="D176" s="161"/>
      <c r="E176" s="166"/>
      <c r="F176" s="161"/>
      <c r="G176" s="161"/>
      <c r="H176" s="161"/>
      <c r="I176" s="161"/>
      <c r="J176" s="161"/>
      <c r="K176" s="161"/>
      <c r="L176" s="161"/>
      <c r="M176" s="161"/>
      <c r="N176" s="161"/>
      <c r="O176" s="161"/>
      <c r="P176" s="161"/>
      <c r="Q176" s="161"/>
      <c r="R176" s="166"/>
      <c r="S176" s="161"/>
      <c r="T176" s="161"/>
      <c r="U176" s="161"/>
      <c r="V176" s="167"/>
      <c r="W176" s="161"/>
      <c r="X176" s="167"/>
      <c r="Y176" s="584"/>
      <c r="Z176" s="134"/>
    </row>
    <row r="177" spans="1:26" ht="24" customHeight="1" x14ac:dyDescent="0.2">
      <c r="A177" s="218" t="s">
        <v>97</v>
      </c>
      <c r="B177" s="214"/>
      <c r="C177" s="219" t="s">
        <v>95</v>
      </c>
      <c r="D177" s="161">
        <f t="shared" ref="D177:W177" si="40">SUM(D169:D176)</f>
        <v>34277.126000000004</v>
      </c>
      <c r="E177" s="166">
        <f t="shared" si="40"/>
        <v>-27761.891</v>
      </c>
      <c r="F177" s="161">
        <f t="shared" si="40"/>
        <v>-4023.9070000000002</v>
      </c>
      <c r="G177" s="161">
        <f t="shared" si="40"/>
        <v>0</v>
      </c>
      <c r="H177" s="161">
        <f t="shared" si="40"/>
        <v>0</v>
      </c>
      <c r="I177" s="161">
        <f t="shared" si="40"/>
        <v>0</v>
      </c>
      <c r="J177" s="161">
        <f t="shared" si="40"/>
        <v>0</v>
      </c>
      <c r="K177" s="161">
        <f t="shared" si="40"/>
        <v>0</v>
      </c>
      <c r="L177" s="161">
        <f t="shared" si="40"/>
        <v>1737</v>
      </c>
      <c r="M177" s="161">
        <f t="shared" si="40"/>
        <v>2818</v>
      </c>
      <c r="N177" s="161">
        <f t="shared" si="40"/>
        <v>0</v>
      </c>
      <c r="O177" s="161">
        <f t="shared" si="40"/>
        <v>0</v>
      </c>
      <c r="P177" s="161">
        <f t="shared" si="40"/>
        <v>0</v>
      </c>
      <c r="Q177" s="161">
        <f t="shared" si="40"/>
        <v>0</v>
      </c>
      <c r="R177" s="166">
        <f t="shared" si="32"/>
        <v>7046.3280000000041</v>
      </c>
      <c r="S177" s="161"/>
      <c r="T177" s="161">
        <f t="shared" si="40"/>
        <v>0</v>
      </c>
      <c r="U177" s="161">
        <f t="shared" si="40"/>
        <v>0</v>
      </c>
      <c r="V177" s="167">
        <f t="shared" si="40"/>
        <v>0</v>
      </c>
      <c r="W177" s="161">
        <f t="shared" si="40"/>
        <v>0</v>
      </c>
      <c r="X177" s="167">
        <f t="shared" si="34"/>
        <v>0</v>
      </c>
      <c r="Y177" s="584">
        <f t="shared" si="35"/>
        <v>7046.3280000000041</v>
      </c>
      <c r="Z177" s="134"/>
    </row>
    <row r="178" spans="1:26" ht="24" customHeight="1" x14ac:dyDescent="0.2">
      <c r="A178" s="82"/>
      <c r="B178" s="126"/>
      <c r="C178" s="41"/>
      <c r="D178" s="161"/>
      <c r="E178" s="166"/>
      <c r="F178" s="161"/>
      <c r="G178" s="161"/>
      <c r="H178" s="161"/>
      <c r="I178" s="161"/>
      <c r="J178" s="161"/>
      <c r="K178" s="161"/>
      <c r="L178" s="161"/>
      <c r="M178" s="161"/>
      <c r="N178" s="161"/>
      <c r="O178" s="161"/>
      <c r="P178" s="161"/>
      <c r="Q178" s="161"/>
      <c r="R178" s="166"/>
      <c r="S178" s="161"/>
      <c r="T178" s="161"/>
      <c r="U178" s="161"/>
      <c r="V178" s="167"/>
      <c r="W178" s="161"/>
      <c r="X178" s="167"/>
      <c r="Y178" s="584"/>
      <c r="Z178" s="134"/>
    </row>
    <row r="179" spans="1:26" ht="24" customHeight="1" thickBot="1" x14ac:dyDescent="0.25">
      <c r="A179" s="82"/>
      <c r="B179" s="89"/>
      <c r="C179" s="41"/>
      <c r="D179" s="161"/>
      <c r="E179" s="166"/>
      <c r="F179" s="161"/>
      <c r="G179" s="161"/>
      <c r="H179" s="161"/>
      <c r="I179" s="161"/>
      <c r="J179" s="161"/>
      <c r="K179" s="161"/>
      <c r="L179" s="161"/>
      <c r="M179" s="161"/>
      <c r="N179" s="161"/>
      <c r="O179" s="161"/>
      <c r="P179" s="161"/>
      <c r="Q179" s="161"/>
      <c r="R179" s="166"/>
      <c r="S179" s="161"/>
      <c r="T179" s="161"/>
      <c r="U179" s="161"/>
      <c r="V179" s="167"/>
      <c r="W179" s="161"/>
      <c r="X179" s="167"/>
      <c r="Y179" s="584"/>
      <c r="Z179" s="134"/>
    </row>
    <row r="180" spans="1:26" ht="24.95" customHeight="1" thickTop="1" thickBot="1" x14ac:dyDescent="0.25">
      <c r="A180" s="42"/>
      <c r="B180" s="272" t="s">
        <v>533</v>
      </c>
      <c r="C180" s="44" t="s">
        <v>98</v>
      </c>
      <c r="D180" s="168">
        <f t="shared" ref="D180:W180" si="41">D167+D177</f>
        <v>35079.291000000005</v>
      </c>
      <c r="E180" s="556">
        <f t="shared" si="41"/>
        <v>-27352.339</v>
      </c>
      <c r="F180" s="168">
        <f t="shared" si="41"/>
        <v>-3922.9070000000002</v>
      </c>
      <c r="G180" s="168">
        <f t="shared" si="41"/>
        <v>-52675.043999999994</v>
      </c>
      <c r="H180" s="168">
        <f t="shared" si="41"/>
        <v>0</v>
      </c>
      <c r="I180" s="168">
        <f t="shared" si="41"/>
        <v>0</v>
      </c>
      <c r="J180" s="168">
        <f t="shared" si="41"/>
        <v>0</v>
      </c>
      <c r="K180" s="168">
        <f t="shared" si="41"/>
        <v>0</v>
      </c>
      <c r="L180" s="168">
        <f t="shared" si="41"/>
        <v>1737</v>
      </c>
      <c r="M180" s="168">
        <f t="shared" si="41"/>
        <v>2818</v>
      </c>
      <c r="N180" s="168">
        <f t="shared" si="41"/>
        <v>0</v>
      </c>
      <c r="O180" s="168">
        <f t="shared" si="41"/>
        <v>0</v>
      </c>
      <c r="P180" s="168">
        <f t="shared" si="41"/>
        <v>0</v>
      </c>
      <c r="Q180" s="168">
        <f t="shared" si="41"/>
        <v>0</v>
      </c>
      <c r="R180" s="556">
        <f t="shared" si="32"/>
        <v>-44315.998999999989</v>
      </c>
      <c r="S180" s="168"/>
      <c r="T180" s="168">
        <f>T167+T177</f>
        <v>0</v>
      </c>
      <c r="U180" s="168">
        <f>U167+U177</f>
        <v>0</v>
      </c>
      <c r="V180" s="171">
        <f t="shared" si="41"/>
        <v>0</v>
      </c>
      <c r="W180" s="168">
        <f t="shared" si="41"/>
        <v>0</v>
      </c>
      <c r="X180" s="171">
        <f t="shared" si="34"/>
        <v>0</v>
      </c>
      <c r="Y180" s="585">
        <f t="shared" si="35"/>
        <v>-44315.998999999989</v>
      </c>
      <c r="Z180" s="134"/>
    </row>
    <row r="181" spans="1:26" ht="24.95" customHeight="1" thickTop="1" thickBot="1" x14ac:dyDescent="0.25">
      <c r="A181" s="42"/>
      <c r="B181" s="43" t="s">
        <v>534</v>
      </c>
      <c r="C181" s="44" t="s">
        <v>166</v>
      </c>
      <c r="D181" s="212">
        <f t="shared" ref="D181:W181" si="42">D159+D180</f>
        <v>1635903.1910000001</v>
      </c>
      <c r="E181" s="212">
        <f t="shared" si="42"/>
        <v>441374.571</v>
      </c>
      <c r="F181" s="212">
        <f t="shared" si="42"/>
        <v>587634.62300000002</v>
      </c>
      <c r="G181" s="212">
        <f t="shared" si="42"/>
        <v>88236.956000000006</v>
      </c>
      <c r="H181" s="212">
        <f t="shared" si="42"/>
        <v>0</v>
      </c>
      <c r="I181" s="212">
        <f t="shared" si="42"/>
        <v>96016.873000000007</v>
      </c>
      <c r="J181" s="212">
        <f t="shared" si="42"/>
        <v>460.79399999999998</v>
      </c>
      <c r="K181" s="212">
        <f t="shared" si="42"/>
        <v>0</v>
      </c>
      <c r="L181" s="212">
        <f t="shared" si="42"/>
        <v>194294</v>
      </c>
      <c r="M181" s="212">
        <f t="shared" si="42"/>
        <v>10397</v>
      </c>
      <c r="N181" s="212">
        <f t="shared" si="42"/>
        <v>0</v>
      </c>
      <c r="O181" s="212">
        <f t="shared" si="42"/>
        <v>6000</v>
      </c>
      <c r="P181" s="212">
        <f t="shared" si="42"/>
        <v>0</v>
      </c>
      <c r="Q181" s="212">
        <f t="shared" si="42"/>
        <v>0</v>
      </c>
      <c r="R181" s="212">
        <f t="shared" si="32"/>
        <v>3060318.0080000004</v>
      </c>
      <c r="S181" s="168"/>
      <c r="T181" s="168">
        <f>T159+T180</f>
        <v>0</v>
      </c>
      <c r="U181" s="168">
        <f>U159+U180</f>
        <v>0</v>
      </c>
      <c r="V181" s="171">
        <f t="shared" si="42"/>
        <v>0</v>
      </c>
      <c r="W181" s="168">
        <f t="shared" si="42"/>
        <v>0</v>
      </c>
      <c r="X181" s="171">
        <f t="shared" si="34"/>
        <v>0</v>
      </c>
      <c r="Y181" s="625">
        <f t="shared" si="35"/>
        <v>3060318.0080000004</v>
      </c>
      <c r="Z181" s="134"/>
    </row>
    <row r="182" spans="1:26" ht="24" hidden="1" customHeight="1" thickTop="1" x14ac:dyDescent="0.2">
      <c r="A182" s="215"/>
      <c r="B182" s="232"/>
      <c r="C182" s="233"/>
      <c r="D182" s="358"/>
      <c r="E182" s="574"/>
      <c r="F182" s="358"/>
      <c r="G182" s="358"/>
      <c r="H182" s="358"/>
      <c r="I182" s="358"/>
      <c r="J182" s="358"/>
      <c r="K182" s="358"/>
      <c r="L182" s="358"/>
      <c r="M182" s="358"/>
      <c r="N182" s="358"/>
      <c r="O182" s="358"/>
      <c r="P182" s="358"/>
      <c r="Q182" s="358"/>
      <c r="R182" s="574">
        <f t="shared" si="32"/>
        <v>0</v>
      </c>
      <c r="S182" s="358"/>
      <c r="T182" s="358"/>
      <c r="U182" s="358"/>
      <c r="V182" s="359"/>
      <c r="W182" s="358"/>
      <c r="X182" s="359">
        <f t="shared" si="34"/>
        <v>0</v>
      </c>
      <c r="Y182" s="586">
        <f t="shared" si="35"/>
        <v>0</v>
      </c>
      <c r="Z182" s="134"/>
    </row>
    <row r="183" spans="1:26" ht="24" hidden="1" customHeight="1" x14ac:dyDescent="0.2">
      <c r="A183" s="215"/>
      <c r="B183" s="232"/>
      <c r="C183" s="233"/>
      <c r="D183" s="358"/>
      <c r="E183" s="574"/>
      <c r="F183" s="358"/>
      <c r="G183" s="358"/>
      <c r="H183" s="358"/>
      <c r="I183" s="358"/>
      <c r="J183" s="358"/>
      <c r="K183" s="358"/>
      <c r="L183" s="358"/>
      <c r="M183" s="358"/>
      <c r="N183" s="358"/>
      <c r="O183" s="358"/>
      <c r="P183" s="358"/>
      <c r="Q183" s="358"/>
      <c r="R183" s="574">
        <f t="shared" si="32"/>
        <v>0</v>
      </c>
      <c r="S183" s="358"/>
      <c r="T183" s="358"/>
      <c r="U183" s="358"/>
      <c r="V183" s="359"/>
      <c r="W183" s="358"/>
      <c r="X183" s="359">
        <f t="shared" si="34"/>
        <v>0</v>
      </c>
      <c r="Y183" s="586">
        <f t="shared" si="35"/>
        <v>0</v>
      </c>
      <c r="Z183" s="134"/>
    </row>
    <row r="184" spans="1:26" ht="24" hidden="1" customHeight="1" x14ac:dyDescent="0.2">
      <c r="A184" s="26"/>
      <c r="B184" s="74" t="s">
        <v>92</v>
      </c>
      <c r="C184" s="39" t="s">
        <v>23</v>
      </c>
      <c r="D184" s="172"/>
      <c r="E184" s="575"/>
      <c r="F184" s="172"/>
      <c r="G184" s="172"/>
      <c r="H184" s="172"/>
      <c r="I184" s="172"/>
      <c r="J184" s="172"/>
      <c r="K184" s="172"/>
      <c r="L184" s="172"/>
      <c r="M184" s="172"/>
      <c r="N184" s="172"/>
      <c r="O184" s="172"/>
      <c r="P184" s="172"/>
      <c r="Q184" s="172"/>
      <c r="R184" s="575">
        <f t="shared" si="32"/>
        <v>0</v>
      </c>
      <c r="S184" s="172"/>
      <c r="T184" s="172"/>
      <c r="U184" s="172"/>
      <c r="V184" s="173"/>
      <c r="W184" s="172"/>
      <c r="X184" s="173">
        <f t="shared" si="34"/>
        <v>0</v>
      </c>
      <c r="Y184" s="584">
        <f t="shared" si="35"/>
        <v>0</v>
      </c>
    </row>
    <row r="185" spans="1:26" ht="24" hidden="1" customHeight="1" x14ac:dyDescent="0.25">
      <c r="A185" s="26"/>
      <c r="B185" s="91" t="s">
        <v>77</v>
      </c>
      <c r="C185" s="39" t="s">
        <v>23</v>
      </c>
      <c r="D185" s="172"/>
      <c r="E185" s="575"/>
      <c r="F185" s="172"/>
      <c r="G185" s="172"/>
      <c r="H185" s="172"/>
      <c r="I185" s="172"/>
      <c r="J185" s="172"/>
      <c r="K185" s="172"/>
      <c r="L185" s="172"/>
      <c r="M185" s="172"/>
      <c r="N185" s="172"/>
      <c r="O185" s="172"/>
      <c r="P185" s="172"/>
      <c r="Q185" s="172"/>
      <c r="R185" s="575">
        <f t="shared" si="32"/>
        <v>0</v>
      </c>
      <c r="S185" s="172"/>
      <c r="T185" s="172"/>
      <c r="U185" s="172"/>
      <c r="V185" s="173"/>
      <c r="W185" s="172"/>
      <c r="X185" s="173">
        <f t="shared" si="34"/>
        <v>0</v>
      </c>
      <c r="Y185" s="584">
        <f t="shared" si="35"/>
        <v>0</v>
      </c>
    </row>
    <row r="186" spans="1:26" ht="24" hidden="1" customHeight="1" x14ac:dyDescent="0.25">
      <c r="A186" s="26"/>
      <c r="B186" s="91" t="s">
        <v>55</v>
      </c>
      <c r="C186" s="39" t="s">
        <v>23</v>
      </c>
      <c r="D186" s="172"/>
      <c r="E186" s="575"/>
      <c r="F186" s="172"/>
      <c r="G186" s="172"/>
      <c r="H186" s="172"/>
      <c r="I186" s="172"/>
      <c r="J186" s="172"/>
      <c r="K186" s="172"/>
      <c r="L186" s="172"/>
      <c r="M186" s="172"/>
      <c r="N186" s="172"/>
      <c r="O186" s="172"/>
      <c r="P186" s="172"/>
      <c r="Q186" s="172"/>
      <c r="R186" s="575">
        <f t="shared" si="32"/>
        <v>0</v>
      </c>
      <c r="S186" s="172"/>
      <c r="T186" s="172"/>
      <c r="U186" s="172"/>
      <c r="V186" s="173"/>
      <c r="W186" s="172"/>
      <c r="X186" s="173">
        <f t="shared" si="34"/>
        <v>0</v>
      </c>
      <c r="Y186" s="584">
        <f t="shared" si="35"/>
        <v>0</v>
      </c>
    </row>
    <row r="187" spans="1:26" ht="24" hidden="1" customHeight="1" x14ac:dyDescent="0.25">
      <c r="A187" s="26"/>
      <c r="B187" s="91" t="s">
        <v>79</v>
      </c>
      <c r="C187" s="39" t="s">
        <v>23</v>
      </c>
      <c r="D187" s="172"/>
      <c r="E187" s="575"/>
      <c r="F187" s="172"/>
      <c r="G187" s="172"/>
      <c r="H187" s="172"/>
      <c r="I187" s="172"/>
      <c r="J187" s="172"/>
      <c r="K187" s="172"/>
      <c r="L187" s="172"/>
      <c r="M187" s="172"/>
      <c r="N187" s="172"/>
      <c r="O187" s="172"/>
      <c r="P187" s="172"/>
      <c r="Q187" s="172"/>
      <c r="R187" s="575">
        <f t="shared" si="32"/>
        <v>0</v>
      </c>
      <c r="S187" s="172"/>
      <c r="T187" s="172"/>
      <c r="U187" s="172"/>
      <c r="V187" s="173"/>
      <c r="W187" s="172"/>
      <c r="X187" s="173">
        <f t="shared" si="34"/>
        <v>0</v>
      </c>
      <c r="Y187" s="584">
        <f t="shared" si="35"/>
        <v>0</v>
      </c>
    </row>
    <row r="188" spans="1:26" ht="24" hidden="1" customHeight="1" x14ac:dyDescent="0.25">
      <c r="A188" s="26"/>
      <c r="B188" s="91" t="s">
        <v>99</v>
      </c>
      <c r="C188" s="39" t="s">
        <v>23</v>
      </c>
      <c r="D188" s="172"/>
      <c r="E188" s="575"/>
      <c r="F188" s="172"/>
      <c r="G188" s="172"/>
      <c r="H188" s="172"/>
      <c r="I188" s="172"/>
      <c r="J188" s="172"/>
      <c r="K188" s="172"/>
      <c r="L188" s="172"/>
      <c r="M188" s="172"/>
      <c r="N188" s="172"/>
      <c r="O188" s="172"/>
      <c r="P188" s="172"/>
      <c r="Q188" s="172"/>
      <c r="R188" s="575">
        <f t="shared" si="32"/>
        <v>0</v>
      </c>
      <c r="S188" s="172"/>
      <c r="T188" s="172"/>
      <c r="U188" s="172"/>
      <c r="V188" s="173"/>
      <c r="W188" s="172"/>
      <c r="X188" s="173">
        <f t="shared" si="34"/>
        <v>0</v>
      </c>
      <c r="Y188" s="584">
        <f t="shared" si="35"/>
        <v>0</v>
      </c>
    </row>
    <row r="189" spans="1:26" ht="24" hidden="1" customHeight="1" thickBot="1" x14ac:dyDescent="0.25">
      <c r="A189" s="82"/>
      <c r="B189" s="84"/>
      <c r="C189" s="41"/>
      <c r="D189" s="161"/>
      <c r="E189" s="166"/>
      <c r="F189" s="161"/>
      <c r="G189" s="161"/>
      <c r="H189" s="161"/>
      <c r="I189" s="161"/>
      <c r="J189" s="161"/>
      <c r="K189" s="161"/>
      <c r="L189" s="161"/>
      <c r="M189" s="161"/>
      <c r="N189" s="161"/>
      <c r="O189" s="161"/>
      <c r="P189" s="161"/>
      <c r="Q189" s="161"/>
      <c r="R189" s="166">
        <f t="shared" si="32"/>
        <v>0</v>
      </c>
      <c r="S189" s="161"/>
      <c r="T189" s="161"/>
      <c r="U189" s="161"/>
      <c r="V189" s="167"/>
      <c r="W189" s="161"/>
      <c r="X189" s="167">
        <f t="shared" si="34"/>
        <v>0</v>
      </c>
      <c r="Y189" s="584">
        <f t="shared" si="35"/>
        <v>0</v>
      </c>
    </row>
    <row r="190" spans="1:26" ht="24" hidden="1" customHeight="1" thickTop="1" thickBot="1" x14ac:dyDescent="0.25">
      <c r="A190" s="47"/>
      <c r="B190" s="90"/>
      <c r="C190" s="44" t="s">
        <v>32</v>
      </c>
      <c r="D190" s="168">
        <f t="shared" ref="D190:P190" si="43">SUM(D184:D189)</f>
        <v>0</v>
      </c>
      <c r="E190" s="556">
        <f t="shared" si="43"/>
        <v>0</v>
      </c>
      <c r="F190" s="168">
        <f t="shared" si="43"/>
        <v>0</v>
      </c>
      <c r="G190" s="168">
        <f t="shared" si="43"/>
        <v>0</v>
      </c>
      <c r="H190" s="168">
        <f t="shared" si="43"/>
        <v>0</v>
      </c>
      <c r="I190" s="168">
        <f t="shared" si="43"/>
        <v>0</v>
      </c>
      <c r="J190" s="168">
        <f t="shared" si="43"/>
        <v>0</v>
      </c>
      <c r="K190" s="168">
        <f t="shared" si="43"/>
        <v>0</v>
      </c>
      <c r="L190" s="168">
        <f t="shared" si="43"/>
        <v>0</v>
      </c>
      <c r="M190" s="168">
        <f t="shared" si="43"/>
        <v>0</v>
      </c>
      <c r="N190" s="168">
        <f t="shared" si="43"/>
        <v>0</v>
      </c>
      <c r="O190" s="168">
        <f t="shared" si="43"/>
        <v>0</v>
      </c>
      <c r="P190" s="168">
        <f t="shared" si="43"/>
        <v>0</v>
      </c>
      <c r="Q190" s="168">
        <f t="shared" ref="Q190:W190" si="44">SUM(Q184:Q189)</f>
        <v>0</v>
      </c>
      <c r="R190" s="556">
        <f t="shared" si="32"/>
        <v>0</v>
      </c>
      <c r="S190" s="168"/>
      <c r="T190" s="168">
        <f t="shared" si="44"/>
        <v>0</v>
      </c>
      <c r="U190" s="168">
        <f t="shared" si="44"/>
        <v>0</v>
      </c>
      <c r="V190" s="171">
        <f t="shared" si="44"/>
        <v>0</v>
      </c>
      <c r="W190" s="168">
        <f t="shared" si="44"/>
        <v>0</v>
      </c>
      <c r="X190" s="171">
        <f t="shared" si="34"/>
        <v>0</v>
      </c>
      <c r="Y190" s="585">
        <f t="shared" si="35"/>
        <v>0</v>
      </c>
    </row>
    <row r="191" spans="1:26" ht="9.9499999999999993" hidden="1" customHeight="1" thickTop="1" x14ac:dyDescent="0.2">
      <c r="A191" s="194"/>
      <c r="B191" s="195"/>
      <c r="C191" s="196"/>
      <c r="D191" s="197"/>
      <c r="E191" s="576"/>
      <c r="F191" s="197"/>
      <c r="G191" s="197"/>
      <c r="H191" s="197"/>
      <c r="I191" s="197"/>
      <c r="J191" s="197"/>
      <c r="K191" s="197"/>
      <c r="L191" s="197"/>
      <c r="M191" s="197"/>
      <c r="N191" s="197"/>
      <c r="O191" s="197"/>
      <c r="P191" s="197"/>
      <c r="Q191" s="197"/>
      <c r="R191" s="576">
        <f t="shared" si="32"/>
        <v>0</v>
      </c>
      <c r="S191" s="197"/>
      <c r="T191" s="197"/>
      <c r="U191" s="197"/>
      <c r="V191" s="197"/>
      <c r="W191" s="468"/>
      <c r="X191" s="197">
        <f t="shared" si="34"/>
        <v>0</v>
      </c>
      <c r="Y191" s="587">
        <f t="shared" si="35"/>
        <v>0</v>
      </c>
    </row>
    <row r="192" spans="1:26" ht="24" hidden="1" customHeight="1" x14ac:dyDescent="0.2">
      <c r="A192" s="199"/>
      <c r="B192" s="200"/>
      <c r="C192" s="208" t="s">
        <v>75</v>
      </c>
      <c r="D192" s="201"/>
      <c r="E192" s="577"/>
      <c r="F192" s="201"/>
      <c r="G192" s="201"/>
      <c r="H192" s="201"/>
      <c r="I192" s="201"/>
      <c r="J192" s="201"/>
      <c r="K192" s="201"/>
      <c r="L192" s="201"/>
      <c r="M192" s="201"/>
      <c r="N192" s="201"/>
      <c r="O192" s="201"/>
      <c r="P192" s="201"/>
      <c r="Q192" s="201"/>
      <c r="R192" s="577">
        <f t="shared" si="32"/>
        <v>0</v>
      </c>
      <c r="S192" s="201"/>
      <c r="T192" s="201"/>
      <c r="U192" s="201"/>
      <c r="V192" s="201"/>
      <c r="W192" s="469"/>
      <c r="X192" s="201">
        <f t="shared" si="34"/>
        <v>0</v>
      </c>
      <c r="Y192" s="588">
        <f t="shared" si="35"/>
        <v>0</v>
      </c>
    </row>
    <row r="193" spans="1:26" ht="9.9499999999999993" hidden="1" customHeight="1" thickBot="1" x14ac:dyDescent="0.25">
      <c r="A193" s="203"/>
      <c r="B193" s="204"/>
      <c r="C193" s="205"/>
      <c r="D193" s="206"/>
      <c r="E193" s="578"/>
      <c r="F193" s="206"/>
      <c r="G193" s="206"/>
      <c r="H193" s="206"/>
      <c r="I193" s="206"/>
      <c r="J193" s="206"/>
      <c r="K193" s="206"/>
      <c r="L193" s="206"/>
      <c r="M193" s="206"/>
      <c r="N193" s="206"/>
      <c r="O193" s="206"/>
      <c r="P193" s="206"/>
      <c r="Q193" s="206"/>
      <c r="R193" s="578">
        <f t="shared" si="32"/>
        <v>0</v>
      </c>
      <c r="S193" s="206"/>
      <c r="T193" s="206"/>
      <c r="U193" s="206"/>
      <c r="V193" s="206"/>
      <c r="W193" s="471"/>
      <c r="X193" s="206">
        <f t="shared" si="34"/>
        <v>0</v>
      </c>
      <c r="Y193" s="589">
        <f t="shared" si="35"/>
        <v>0</v>
      </c>
    </row>
    <row r="194" spans="1:26" ht="24" hidden="1" customHeight="1" thickTop="1" thickBot="1" x14ac:dyDescent="0.25">
      <c r="A194" s="92"/>
      <c r="B194" s="43" t="s">
        <v>104</v>
      </c>
      <c r="C194" s="44" t="s">
        <v>166</v>
      </c>
      <c r="D194" s="174">
        <f>D181+D190</f>
        <v>1635903.1910000001</v>
      </c>
      <c r="E194" s="579">
        <f t="shared" ref="E194:W194" si="45">E181+E190</f>
        <v>441374.571</v>
      </c>
      <c r="F194" s="174">
        <f t="shared" si="45"/>
        <v>587634.62300000002</v>
      </c>
      <c r="G194" s="174">
        <f t="shared" si="45"/>
        <v>88236.956000000006</v>
      </c>
      <c r="H194" s="174">
        <f t="shared" si="45"/>
        <v>0</v>
      </c>
      <c r="I194" s="174">
        <f t="shared" si="45"/>
        <v>96016.873000000007</v>
      </c>
      <c r="J194" s="174">
        <f t="shared" si="45"/>
        <v>460.79399999999998</v>
      </c>
      <c r="K194" s="174">
        <f t="shared" si="45"/>
        <v>0</v>
      </c>
      <c r="L194" s="174">
        <f t="shared" si="45"/>
        <v>194294</v>
      </c>
      <c r="M194" s="174">
        <f t="shared" si="45"/>
        <v>10397</v>
      </c>
      <c r="N194" s="174">
        <f t="shared" si="45"/>
        <v>0</v>
      </c>
      <c r="O194" s="174">
        <f t="shared" si="45"/>
        <v>6000</v>
      </c>
      <c r="P194" s="174">
        <f t="shared" si="45"/>
        <v>0</v>
      </c>
      <c r="Q194" s="174">
        <f t="shared" si="45"/>
        <v>0</v>
      </c>
      <c r="R194" s="579">
        <f t="shared" si="32"/>
        <v>3060318.0080000004</v>
      </c>
      <c r="S194" s="174"/>
      <c r="T194" s="174">
        <f>T181+T190</f>
        <v>0</v>
      </c>
      <c r="U194" s="174">
        <f>U181+U190</f>
        <v>0</v>
      </c>
      <c r="V194" s="393">
        <f t="shared" si="45"/>
        <v>0</v>
      </c>
      <c r="W194" s="185">
        <f t="shared" si="45"/>
        <v>0</v>
      </c>
      <c r="X194" s="174">
        <f t="shared" si="34"/>
        <v>0</v>
      </c>
      <c r="Y194" s="410">
        <f t="shared" si="35"/>
        <v>3060318.0080000004</v>
      </c>
      <c r="Z194" s="134"/>
    </row>
    <row r="195" spans="1:26" ht="24" hidden="1" customHeight="1" thickTop="1" thickBot="1" x14ac:dyDescent="0.25">
      <c r="A195" s="42"/>
      <c r="B195" s="111"/>
      <c r="C195" s="417" t="s">
        <v>18</v>
      </c>
      <c r="D195" s="418">
        <f t="shared" ref="D195:P195" si="46">D194</f>
        <v>1635903.1910000001</v>
      </c>
      <c r="E195" s="580">
        <f t="shared" si="46"/>
        <v>441374.571</v>
      </c>
      <c r="F195" s="418">
        <f t="shared" si="46"/>
        <v>587634.62300000002</v>
      </c>
      <c r="G195" s="418">
        <f t="shared" si="46"/>
        <v>88236.956000000006</v>
      </c>
      <c r="H195" s="418">
        <f t="shared" si="46"/>
        <v>0</v>
      </c>
      <c r="I195" s="418">
        <f t="shared" si="46"/>
        <v>96016.873000000007</v>
      </c>
      <c r="J195" s="418">
        <f t="shared" si="46"/>
        <v>460.79399999999998</v>
      </c>
      <c r="K195" s="418">
        <f t="shared" si="46"/>
        <v>0</v>
      </c>
      <c r="L195" s="418">
        <f t="shared" si="46"/>
        <v>194294</v>
      </c>
      <c r="M195" s="418">
        <f t="shared" si="46"/>
        <v>10397</v>
      </c>
      <c r="N195" s="418">
        <f t="shared" si="46"/>
        <v>0</v>
      </c>
      <c r="O195" s="418">
        <f t="shared" si="46"/>
        <v>6000</v>
      </c>
      <c r="P195" s="418">
        <f t="shared" si="46"/>
        <v>0</v>
      </c>
      <c r="Q195" s="418">
        <f>Q194</f>
        <v>0</v>
      </c>
      <c r="R195" s="580">
        <f t="shared" si="32"/>
        <v>3060318.0080000004</v>
      </c>
      <c r="S195" s="418"/>
      <c r="T195" s="418">
        <f>T194</f>
        <v>0</v>
      </c>
      <c r="U195" s="418">
        <f>U194</f>
        <v>0</v>
      </c>
      <c r="V195" s="514">
        <f>V194</f>
        <v>0</v>
      </c>
      <c r="W195" s="418">
        <f>W194</f>
        <v>0</v>
      </c>
      <c r="X195" s="514">
        <f t="shared" si="34"/>
        <v>0</v>
      </c>
      <c r="Y195" s="590">
        <f t="shared" si="35"/>
        <v>3060318.0080000004</v>
      </c>
    </row>
    <row r="196" spans="1:26" ht="20.100000000000001" hidden="1" customHeight="1" thickTop="1" x14ac:dyDescent="0.2">
      <c r="A196" s="82">
        <v>1</v>
      </c>
      <c r="B196" s="120"/>
      <c r="C196" s="28"/>
      <c r="D196" s="166"/>
      <c r="E196" s="166"/>
      <c r="F196" s="161"/>
      <c r="G196" s="161"/>
      <c r="H196" s="161"/>
      <c r="I196" s="161"/>
      <c r="J196" s="161"/>
      <c r="K196" s="161"/>
      <c r="L196" s="161"/>
      <c r="M196" s="161"/>
      <c r="N196" s="161"/>
      <c r="O196" s="161"/>
      <c r="P196" s="161"/>
      <c r="Q196" s="161"/>
      <c r="R196" s="166">
        <f t="shared" si="32"/>
        <v>0</v>
      </c>
      <c r="S196" s="161"/>
      <c r="T196" s="161"/>
      <c r="U196" s="161"/>
      <c r="V196" s="167"/>
      <c r="W196" s="161"/>
      <c r="X196" s="167">
        <f t="shared" si="34"/>
        <v>0</v>
      </c>
      <c r="Y196" s="584">
        <f t="shared" si="35"/>
        <v>0</v>
      </c>
    </row>
    <row r="197" spans="1:26" ht="20.100000000000001" hidden="1" customHeight="1" x14ac:dyDescent="0.2">
      <c r="A197" s="235">
        <v>2</v>
      </c>
      <c r="B197" s="120"/>
      <c r="C197" s="28"/>
      <c r="D197" s="166"/>
      <c r="E197" s="166"/>
      <c r="F197" s="161"/>
      <c r="G197" s="161"/>
      <c r="H197" s="161"/>
      <c r="I197" s="161"/>
      <c r="J197" s="161"/>
      <c r="K197" s="161"/>
      <c r="L197" s="161"/>
      <c r="M197" s="161"/>
      <c r="N197" s="161"/>
      <c r="O197" s="161"/>
      <c r="P197" s="161"/>
      <c r="Q197" s="161"/>
      <c r="R197" s="166">
        <f t="shared" si="32"/>
        <v>0</v>
      </c>
      <c r="S197" s="161"/>
      <c r="T197" s="161"/>
      <c r="U197" s="161"/>
      <c r="V197" s="167"/>
      <c r="W197" s="161"/>
      <c r="X197" s="167">
        <f t="shared" si="34"/>
        <v>0</v>
      </c>
      <c r="Y197" s="584">
        <f t="shared" si="35"/>
        <v>0</v>
      </c>
    </row>
    <row r="198" spans="1:26" ht="20.100000000000001" hidden="1" customHeight="1" x14ac:dyDescent="0.2">
      <c r="A198" s="82">
        <v>3</v>
      </c>
      <c r="B198" s="120"/>
      <c r="C198" s="28"/>
      <c r="D198" s="166"/>
      <c r="E198" s="166"/>
      <c r="F198" s="161"/>
      <c r="G198" s="161"/>
      <c r="H198" s="161"/>
      <c r="I198" s="161"/>
      <c r="J198" s="161"/>
      <c r="K198" s="161"/>
      <c r="L198" s="161"/>
      <c r="M198" s="161"/>
      <c r="N198" s="161"/>
      <c r="O198" s="161"/>
      <c r="P198" s="161"/>
      <c r="Q198" s="161"/>
      <c r="R198" s="166">
        <f t="shared" si="32"/>
        <v>0</v>
      </c>
      <c r="S198" s="161"/>
      <c r="T198" s="161"/>
      <c r="U198" s="161"/>
      <c r="V198" s="167"/>
      <c r="W198" s="161"/>
      <c r="X198" s="167">
        <f t="shared" si="34"/>
        <v>0</v>
      </c>
      <c r="Y198" s="584">
        <f t="shared" si="35"/>
        <v>0</v>
      </c>
    </row>
    <row r="199" spans="1:26" ht="20.100000000000001" hidden="1" customHeight="1" x14ac:dyDescent="0.2">
      <c r="A199" s="235">
        <v>4</v>
      </c>
      <c r="B199" s="120"/>
      <c r="C199" s="28"/>
      <c r="D199" s="166"/>
      <c r="E199" s="166"/>
      <c r="F199" s="161"/>
      <c r="G199" s="161"/>
      <c r="H199" s="161"/>
      <c r="I199" s="161"/>
      <c r="J199" s="161"/>
      <c r="K199" s="161"/>
      <c r="L199" s="161"/>
      <c r="M199" s="161"/>
      <c r="N199" s="161"/>
      <c r="O199" s="161"/>
      <c r="P199" s="161"/>
      <c r="Q199" s="161"/>
      <c r="R199" s="166">
        <f t="shared" si="32"/>
        <v>0</v>
      </c>
      <c r="S199" s="161"/>
      <c r="T199" s="161"/>
      <c r="U199" s="161"/>
      <c r="V199" s="167"/>
      <c r="W199" s="161"/>
      <c r="X199" s="167">
        <f t="shared" si="34"/>
        <v>0</v>
      </c>
      <c r="Y199" s="584">
        <f t="shared" si="35"/>
        <v>0</v>
      </c>
    </row>
    <row r="200" spans="1:26" ht="20.100000000000001" hidden="1" customHeight="1" x14ac:dyDescent="0.2">
      <c r="A200" s="82">
        <v>5</v>
      </c>
      <c r="B200" s="120"/>
      <c r="C200" s="28"/>
      <c r="D200" s="161"/>
      <c r="E200" s="166"/>
      <c r="F200" s="161"/>
      <c r="G200" s="161"/>
      <c r="H200" s="161"/>
      <c r="I200" s="161"/>
      <c r="J200" s="161"/>
      <c r="K200" s="161"/>
      <c r="L200" s="161"/>
      <c r="M200" s="161"/>
      <c r="N200" s="161"/>
      <c r="O200" s="161"/>
      <c r="P200" s="161"/>
      <c r="Q200" s="161"/>
      <c r="R200" s="166">
        <f t="shared" si="32"/>
        <v>0</v>
      </c>
      <c r="S200" s="161"/>
      <c r="T200" s="161"/>
      <c r="U200" s="161"/>
      <c r="V200" s="167"/>
      <c r="W200" s="161"/>
      <c r="X200" s="167">
        <f t="shared" si="34"/>
        <v>0</v>
      </c>
      <c r="Y200" s="584">
        <f t="shared" si="35"/>
        <v>0</v>
      </c>
    </row>
    <row r="201" spans="1:26" ht="20.100000000000001" hidden="1" customHeight="1" x14ac:dyDescent="0.2">
      <c r="A201" s="235">
        <v>6</v>
      </c>
      <c r="B201" s="353"/>
      <c r="C201" s="88"/>
      <c r="D201" s="161"/>
      <c r="E201" s="166"/>
      <c r="F201" s="161"/>
      <c r="G201" s="161"/>
      <c r="H201" s="161"/>
      <c r="I201" s="161"/>
      <c r="J201" s="161"/>
      <c r="K201" s="161"/>
      <c r="L201" s="161"/>
      <c r="M201" s="161"/>
      <c r="N201" s="161"/>
      <c r="O201" s="161"/>
      <c r="P201" s="161"/>
      <c r="Q201" s="161"/>
      <c r="R201" s="166">
        <f t="shared" si="32"/>
        <v>0</v>
      </c>
      <c r="S201" s="161"/>
      <c r="T201" s="161"/>
      <c r="U201" s="161"/>
      <c r="V201" s="167"/>
      <c r="W201" s="161"/>
      <c r="X201" s="167">
        <f t="shared" si="34"/>
        <v>0</v>
      </c>
      <c r="Y201" s="584">
        <f t="shared" si="35"/>
        <v>0</v>
      </c>
    </row>
    <row r="202" spans="1:26" ht="20.100000000000001" hidden="1" customHeight="1" x14ac:dyDescent="0.2">
      <c r="A202" s="82">
        <v>7</v>
      </c>
      <c r="B202" s="419"/>
      <c r="C202" s="88"/>
      <c r="D202" s="161"/>
      <c r="E202" s="166"/>
      <c r="F202" s="161"/>
      <c r="G202" s="161"/>
      <c r="H202" s="161"/>
      <c r="I202" s="161"/>
      <c r="J202" s="161"/>
      <c r="K202" s="161"/>
      <c r="L202" s="161"/>
      <c r="M202" s="161"/>
      <c r="N202" s="161"/>
      <c r="O202" s="161"/>
      <c r="P202" s="161"/>
      <c r="Q202" s="161"/>
      <c r="R202" s="166">
        <f t="shared" si="32"/>
        <v>0</v>
      </c>
      <c r="S202" s="161"/>
      <c r="T202" s="161"/>
      <c r="U202" s="161"/>
      <c r="V202" s="167"/>
      <c r="W202" s="161"/>
      <c r="X202" s="167">
        <f t="shared" si="34"/>
        <v>0</v>
      </c>
      <c r="Y202" s="584">
        <f t="shared" si="35"/>
        <v>0</v>
      </c>
    </row>
    <row r="203" spans="1:26" ht="20.100000000000001" hidden="1" customHeight="1" x14ac:dyDescent="0.2">
      <c r="A203" s="235">
        <v>8</v>
      </c>
      <c r="B203" s="419"/>
      <c r="C203" s="28"/>
      <c r="D203" s="161"/>
      <c r="E203" s="166"/>
      <c r="F203" s="161"/>
      <c r="G203" s="161"/>
      <c r="H203" s="161"/>
      <c r="I203" s="161"/>
      <c r="J203" s="161"/>
      <c r="K203" s="161"/>
      <c r="L203" s="161"/>
      <c r="M203" s="161"/>
      <c r="N203" s="161"/>
      <c r="O203" s="161"/>
      <c r="P203" s="161"/>
      <c r="Q203" s="161"/>
      <c r="R203" s="166">
        <f t="shared" si="32"/>
        <v>0</v>
      </c>
      <c r="S203" s="161"/>
      <c r="T203" s="161"/>
      <c r="U203" s="161"/>
      <c r="V203" s="167"/>
      <c r="W203" s="161"/>
      <c r="X203" s="167">
        <f t="shared" si="34"/>
        <v>0</v>
      </c>
      <c r="Y203" s="584">
        <f t="shared" si="35"/>
        <v>0</v>
      </c>
    </row>
    <row r="204" spans="1:26" ht="20.100000000000001" hidden="1" customHeight="1" thickTop="1" x14ac:dyDescent="0.2">
      <c r="A204" s="82">
        <v>9</v>
      </c>
      <c r="B204" s="120"/>
      <c r="C204" s="28"/>
      <c r="D204" s="161"/>
      <c r="E204" s="166"/>
      <c r="F204" s="161"/>
      <c r="G204" s="161"/>
      <c r="H204" s="161"/>
      <c r="I204" s="161"/>
      <c r="J204" s="161"/>
      <c r="K204" s="161"/>
      <c r="L204" s="161"/>
      <c r="M204" s="161"/>
      <c r="N204" s="161"/>
      <c r="O204" s="161"/>
      <c r="P204" s="161"/>
      <c r="Q204" s="161"/>
      <c r="R204" s="166">
        <f t="shared" si="32"/>
        <v>0</v>
      </c>
      <c r="S204" s="161"/>
      <c r="T204" s="161"/>
      <c r="U204" s="161"/>
      <c r="V204" s="167"/>
      <c r="W204" s="161"/>
      <c r="X204" s="167">
        <f t="shared" si="34"/>
        <v>0</v>
      </c>
      <c r="Y204" s="584">
        <f t="shared" si="35"/>
        <v>0</v>
      </c>
    </row>
    <row r="205" spans="1:26" ht="20.100000000000001" hidden="1" customHeight="1" x14ac:dyDescent="0.2">
      <c r="A205" s="235">
        <v>10</v>
      </c>
      <c r="B205" s="120"/>
      <c r="C205" s="33"/>
      <c r="D205" s="161"/>
      <c r="E205" s="166"/>
      <c r="F205" s="161"/>
      <c r="G205" s="161"/>
      <c r="H205" s="161"/>
      <c r="I205" s="161"/>
      <c r="J205" s="161"/>
      <c r="K205" s="161"/>
      <c r="L205" s="161"/>
      <c r="M205" s="161"/>
      <c r="N205" s="161"/>
      <c r="O205" s="161"/>
      <c r="P205" s="161"/>
      <c r="Q205" s="161"/>
      <c r="R205" s="166">
        <f t="shared" si="32"/>
        <v>0</v>
      </c>
      <c r="S205" s="161"/>
      <c r="T205" s="161"/>
      <c r="U205" s="161"/>
      <c r="V205" s="167"/>
      <c r="W205" s="161"/>
      <c r="X205" s="167">
        <f t="shared" si="34"/>
        <v>0</v>
      </c>
      <c r="Y205" s="584">
        <f t="shared" si="35"/>
        <v>0</v>
      </c>
    </row>
    <row r="206" spans="1:26" ht="20.100000000000001" hidden="1" customHeight="1" x14ac:dyDescent="0.2">
      <c r="A206" s="82">
        <v>11</v>
      </c>
      <c r="B206" s="120"/>
      <c r="C206" s="33"/>
      <c r="D206" s="161"/>
      <c r="E206" s="166"/>
      <c r="F206" s="161"/>
      <c r="G206" s="161"/>
      <c r="H206" s="161"/>
      <c r="I206" s="161"/>
      <c r="J206" s="161"/>
      <c r="K206" s="161"/>
      <c r="L206" s="161"/>
      <c r="M206" s="161"/>
      <c r="N206" s="161"/>
      <c r="O206" s="161"/>
      <c r="P206" s="161"/>
      <c r="Q206" s="161"/>
      <c r="R206" s="166">
        <f t="shared" si="32"/>
        <v>0</v>
      </c>
      <c r="S206" s="161"/>
      <c r="T206" s="161"/>
      <c r="U206" s="161"/>
      <c r="V206" s="167"/>
      <c r="W206" s="161"/>
      <c r="X206" s="167">
        <f t="shared" si="34"/>
        <v>0</v>
      </c>
      <c r="Y206" s="584">
        <f t="shared" si="35"/>
        <v>0</v>
      </c>
    </row>
    <row r="207" spans="1:26" ht="20.100000000000001" hidden="1" customHeight="1" x14ac:dyDescent="0.2">
      <c r="A207" s="235">
        <v>12</v>
      </c>
      <c r="B207" s="120"/>
      <c r="C207" s="33"/>
      <c r="D207" s="161"/>
      <c r="E207" s="166"/>
      <c r="F207" s="161"/>
      <c r="G207" s="161"/>
      <c r="H207" s="161"/>
      <c r="I207" s="161"/>
      <c r="J207" s="161"/>
      <c r="K207" s="161"/>
      <c r="L207" s="161"/>
      <c r="M207" s="161"/>
      <c r="N207" s="161"/>
      <c r="O207" s="161"/>
      <c r="P207" s="161"/>
      <c r="Q207" s="161"/>
      <c r="R207" s="166">
        <f t="shared" si="32"/>
        <v>0</v>
      </c>
      <c r="S207" s="161"/>
      <c r="T207" s="161"/>
      <c r="U207" s="161"/>
      <c r="V207" s="167"/>
      <c r="W207" s="161"/>
      <c r="X207" s="167">
        <f t="shared" si="34"/>
        <v>0</v>
      </c>
      <c r="Y207" s="584">
        <f t="shared" si="35"/>
        <v>0</v>
      </c>
    </row>
    <row r="208" spans="1:26" ht="20.100000000000001" hidden="1" customHeight="1" x14ac:dyDescent="0.2">
      <c r="A208" s="82">
        <v>13</v>
      </c>
      <c r="B208" s="419"/>
      <c r="C208" s="33"/>
      <c r="D208" s="161"/>
      <c r="E208" s="166"/>
      <c r="F208" s="161"/>
      <c r="G208" s="161"/>
      <c r="H208" s="161"/>
      <c r="I208" s="161"/>
      <c r="J208" s="161"/>
      <c r="K208" s="161"/>
      <c r="L208" s="161"/>
      <c r="M208" s="161"/>
      <c r="N208" s="161"/>
      <c r="O208" s="161"/>
      <c r="P208" s="161"/>
      <c r="Q208" s="161"/>
      <c r="R208" s="166">
        <f t="shared" si="32"/>
        <v>0</v>
      </c>
      <c r="S208" s="161"/>
      <c r="T208" s="161"/>
      <c r="U208" s="161"/>
      <c r="V208" s="167"/>
      <c r="W208" s="161"/>
      <c r="X208" s="167">
        <f t="shared" si="34"/>
        <v>0</v>
      </c>
      <c r="Y208" s="584">
        <f t="shared" si="35"/>
        <v>0</v>
      </c>
    </row>
    <row r="209" spans="1:25" ht="20.100000000000001" hidden="1" customHeight="1" x14ac:dyDescent="0.2">
      <c r="A209" s="235">
        <v>14</v>
      </c>
      <c r="B209" s="120"/>
      <c r="C209" s="28"/>
      <c r="D209" s="161"/>
      <c r="E209" s="166"/>
      <c r="F209" s="161"/>
      <c r="G209" s="161"/>
      <c r="H209" s="161"/>
      <c r="I209" s="161"/>
      <c r="J209" s="161"/>
      <c r="K209" s="161"/>
      <c r="L209" s="161"/>
      <c r="M209" s="161"/>
      <c r="N209" s="161"/>
      <c r="O209" s="161"/>
      <c r="P209" s="161"/>
      <c r="Q209" s="161"/>
      <c r="R209" s="166">
        <f t="shared" si="32"/>
        <v>0</v>
      </c>
      <c r="S209" s="161"/>
      <c r="T209" s="161"/>
      <c r="U209" s="161"/>
      <c r="V209" s="167"/>
      <c r="W209" s="161"/>
      <c r="X209" s="167">
        <f t="shared" si="34"/>
        <v>0</v>
      </c>
      <c r="Y209" s="584">
        <f t="shared" si="35"/>
        <v>0</v>
      </c>
    </row>
    <row r="210" spans="1:25" ht="20.100000000000001" hidden="1" customHeight="1" x14ac:dyDescent="0.2">
      <c r="A210" s="82">
        <v>15</v>
      </c>
      <c r="B210" s="419"/>
      <c r="C210" s="33"/>
      <c r="D210" s="161"/>
      <c r="E210" s="166"/>
      <c r="F210" s="161"/>
      <c r="G210" s="161"/>
      <c r="H210" s="161"/>
      <c r="I210" s="161"/>
      <c r="J210" s="161"/>
      <c r="K210" s="161"/>
      <c r="L210" s="161"/>
      <c r="M210" s="161"/>
      <c r="N210" s="161"/>
      <c r="O210" s="161"/>
      <c r="P210" s="161"/>
      <c r="Q210" s="161"/>
      <c r="R210" s="166">
        <f t="shared" si="32"/>
        <v>0</v>
      </c>
      <c r="S210" s="161"/>
      <c r="T210" s="161"/>
      <c r="U210" s="161"/>
      <c r="V210" s="167"/>
      <c r="W210" s="161"/>
      <c r="X210" s="167">
        <f t="shared" si="34"/>
        <v>0</v>
      </c>
      <c r="Y210" s="584">
        <f t="shared" si="35"/>
        <v>0</v>
      </c>
    </row>
    <row r="211" spans="1:25" ht="20.100000000000001" hidden="1" customHeight="1" x14ac:dyDescent="0.2">
      <c r="A211" s="235">
        <v>16</v>
      </c>
      <c r="B211" s="419"/>
      <c r="C211" s="28"/>
      <c r="D211" s="161"/>
      <c r="E211" s="166"/>
      <c r="F211" s="161"/>
      <c r="G211" s="161"/>
      <c r="H211" s="161"/>
      <c r="I211" s="161"/>
      <c r="J211" s="161"/>
      <c r="K211" s="161"/>
      <c r="L211" s="161"/>
      <c r="M211" s="161"/>
      <c r="N211" s="161"/>
      <c r="O211" s="161"/>
      <c r="P211" s="161"/>
      <c r="Q211" s="161"/>
      <c r="R211" s="166">
        <f t="shared" si="32"/>
        <v>0</v>
      </c>
      <c r="S211" s="161"/>
      <c r="T211" s="161"/>
      <c r="U211" s="161"/>
      <c r="V211" s="167"/>
      <c r="W211" s="161"/>
      <c r="X211" s="167">
        <f t="shared" si="34"/>
        <v>0</v>
      </c>
      <c r="Y211" s="584">
        <f t="shared" si="35"/>
        <v>0</v>
      </c>
    </row>
    <row r="212" spans="1:25" ht="20.100000000000001" hidden="1" customHeight="1" x14ac:dyDescent="0.2">
      <c r="A212" s="82"/>
      <c r="B212" s="30"/>
      <c r="C212" s="28"/>
      <c r="D212" s="161"/>
      <c r="E212" s="166"/>
      <c r="F212" s="161"/>
      <c r="G212" s="161"/>
      <c r="H212" s="161"/>
      <c r="I212" s="161"/>
      <c r="J212" s="161"/>
      <c r="K212" s="161"/>
      <c r="L212" s="161"/>
      <c r="M212" s="161"/>
      <c r="N212" s="161"/>
      <c r="O212" s="161"/>
      <c r="P212" s="161"/>
      <c r="Q212" s="161"/>
      <c r="R212" s="166">
        <f t="shared" si="32"/>
        <v>0</v>
      </c>
      <c r="S212" s="161"/>
      <c r="T212" s="161"/>
      <c r="U212" s="161"/>
      <c r="V212" s="167"/>
      <c r="W212" s="161"/>
      <c r="X212" s="167">
        <f t="shared" si="34"/>
        <v>0</v>
      </c>
      <c r="Y212" s="584">
        <f t="shared" si="35"/>
        <v>0</v>
      </c>
    </row>
    <row r="213" spans="1:25" ht="20.100000000000001" hidden="1" customHeight="1" x14ac:dyDescent="0.2">
      <c r="A213" s="218" t="s">
        <v>96</v>
      </c>
      <c r="B213" s="214"/>
      <c r="C213" s="219" t="s">
        <v>94</v>
      </c>
      <c r="D213" s="161">
        <f t="shared" ref="D213:W213" si="47">SUM(D196:D212)</f>
        <v>0</v>
      </c>
      <c r="E213" s="166">
        <f t="shared" si="47"/>
        <v>0</v>
      </c>
      <c r="F213" s="161">
        <f t="shared" si="47"/>
        <v>0</v>
      </c>
      <c r="G213" s="161">
        <f t="shared" si="47"/>
        <v>0</v>
      </c>
      <c r="H213" s="161">
        <f t="shared" si="47"/>
        <v>0</v>
      </c>
      <c r="I213" s="161">
        <f t="shared" si="47"/>
        <v>0</v>
      </c>
      <c r="J213" s="161">
        <f t="shared" si="47"/>
        <v>0</v>
      </c>
      <c r="K213" s="161">
        <f t="shared" si="47"/>
        <v>0</v>
      </c>
      <c r="L213" s="161">
        <f t="shared" si="47"/>
        <v>0</v>
      </c>
      <c r="M213" s="161">
        <f t="shared" si="47"/>
        <v>0</v>
      </c>
      <c r="N213" s="161">
        <f t="shared" si="47"/>
        <v>0</v>
      </c>
      <c r="O213" s="161">
        <f t="shared" si="47"/>
        <v>0</v>
      </c>
      <c r="P213" s="161">
        <f t="shared" si="47"/>
        <v>0</v>
      </c>
      <c r="Q213" s="161">
        <f t="shared" si="47"/>
        <v>0</v>
      </c>
      <c r="R213" s="166">
        <f t="shared" si="32"/>
        <v>0</v>
      </c>
      <c r="S213" s="161"/>
      <c r="T213" s="161">
        <f t="shared" si="47"/>
        <v>0</v>
      </c>
      <c r="U213" s="161">
        <f t="shared" si="47"/>
        <v>0</v>
      </c>
      <c r="V213" s="167">
        <f t="shared" si="47"/>
        <v>0</v>
      </c>
      <c r="W213" s="161">
        <f t="shared" si="47"/>
        <v>0</v>
      </c>
      <c r="X213" s="167">
        <f t="shared" si="34"/>
        <v>0</v>
      </c>
      <c r="Y213" s="584">
        <f t="shared" si="35"/>
        <v>0</v>
      </c>
    </row>
    <row r="214" spans="1:25" ht="20.100000000000001" hidden="1" customHeight="1" x14ac:dyDescent="0.25">
      <c r="A214" s="82"/>
      <c r="D214" s="161"/>
      <c r="E214" s="166"/>
      <c r="G214" s="161"/>
      <c r="H214" s="161"/>
      <c r="I214" s="161"/>
      <c r="J214" s="161"/>
      <c r="K214" s="161"/>
      <c r="L214" s="161"/>
      <c r="M214" s="161"/>
      <c r="N214" s="161"/>
      <c r="O214" s="161"/>
      <c r="P214" s="161"/>
      <c r="Q214" s="161"/>
      <c r="R214" s="166">
        <f t="shared" si="32"/>
        <v>0</v>
      </c>
      <c r="S214" s="161"/>
      <c r="T214" s="161"/>
      <c r="U214" s="161"/>
      <c r="V214" s="167"/>
      <c r="W214" s="161"/>
      <c r="X214" s="167">
        <f t="shared" si="34"/>
        <v>0</v>
      </c>
      <c r="Y214" s="584">
        <f t="shared" si="35"/>
        <v>0</v>
      </c>
    </row>
    <row r="215" spans="1:25" ht="20.100000000000001" hidden="1" customHeight="1" x14ac:dyDescent="0.2">
      <c r="A215" s="235" t="s">
        <v>123</v>
      </c>
      <c r="B215" s="45"/>
      <c r="C215" s="28"/>
      <c r="D215" s="161"/>
      <c r="E215" s="166"/>
      <c r="F215" s="161"/>
      <c r="G215" s="161"/>
      <c r="H215" s="161"/>
      <c r="I215" s="161"/>
      <c r="J215" s="161"/>
      <c r="K215" s="161"/>
      <c r="L215" s="161"/>
      <c r="M215" s="161"/>
      <c r="N215" s="161"/>
      <c r="O215" s="161"/>
      <c r="P215" s="161"/>
      <c r="Q215" s="161"/>
      <c r="R215" s="166">
        <f t="shared" si="32"/>
        <v>0</v>
      </c>
      <c r="S215" s="161"/>
      <c r="T215" s="161"/>
      <c r="U215" s="161"/>
      <c r="V215" s="167"/>
      <c r="W215" s="161"/>
      <c r="X215" s="167">
        <f t="shared" si="34"/>
        <v>0</v>
      </c>
      <c r="Y215" s="584">
        <f t="shared" si="35"/>
        <v>0</v>
      </c>
    </row>
    <row r="216" spans="1:25" ht="20.100000000000001" hidden="1" customHeight="1" thickTop="1" x14ac:dyDescent="0.2">
      <c r="A216" s="235" t="s">
        <v>123</v>
      </c>
      <c r="B216" s="45"/>
      <c r="C216" s="41"/>
      <c r="D216" s="161"/>
      <c r="E216" s="166"/>
      <c r="F216" s="161"/>
      <c r="G216" s="161"/>
      <c r="H216" s="161"/>
      <c r="I216" s="161"/>
      <c r="J216" s="161"/>
      <c r="K216" s="161"/>
      <c r="L216" s="161"/>
      <c r="M216" s="161"/>
      <c r="N216" s="161"/>
      <c r="O216" s="161"/>
      <c r="P216" s="161"/>
      <c r="Q216" s="161"/>
      <c r="R216" s="166">
        <f t="shared" si="32"/>
        <v>0</v>
      </c>
      <c r="S216" s="161"/>
      <c r="T216" s="161"/>
      <c r="U216" s="161"/>
      <c r="V216" s="167"/>
      <c r="W216" s="161"/>
      <c r="X216" s="167">
        <f t="shared" si="34"/>
        <v>0</v>
      </c>
      <c r="Y216" s="584">
        <f t="shared" si="35"/>
        <v>0</v>
      </c>
    </row>
    <row r="217" spans="1:25" ht="20.100000000000001" hidden="1" customHeight="1" x14ac:dyDescent="0.2">
      <c r="A217" s="235" t="s">
        <v>123</v>
      </c>
      <c r="B217" s="31"/>
      <c r="C217" s="41"/>
      <c r="D217" s="161"/>
      <c r="E217" s="166"/>
      <c r="F217" s="161"/>
      <c r="G217" s="161"/>
      <c r="H217" s="161"/>
      <c r="I217" s="161"/>
      <c r="J217" s="161"/>
      <c r="K217" s="161"/>
      <c r="L217" s="161"/>
      <c r="M217" s="161"/>
      <c r="N217" s="161"/>
      <c r="O217" s="161"/>
      <c r="P217" s="161"/>
      <c r="Q217" s="161"/>
      <c r="R217" s="166">
        <f t="shared" si="32"/>
        <v>0</v>
      </c>
      <c r="S217" s="161"/>
      <c r="T217" s="161"/>
      <c r="U217" s="161"/>
      <c r="V217" s="167"/>
      <c r="W217" s="161"/>
      <c r="X217" s="167">
        <f t="shared" si="34"/>
        <v>0</v>
      </c>
      <c r="Y217" s="584">
        <f t="shared" si="35"/>
        <v>0</v>
      </c>
    </row>
    <row r="218" spans="1:25" ht="20.100000000000001" hidden="1" customHeight="1" x14ac:dyDescent="0.2">
      <c r="A218" s="235" t="s">
        <v>123</v>
      </c>
      <c r="B218" s="237"/>
      <c r="C218" s="41"/>
      <c r="D218" s="161"/>
      <c r="E218" s="166"/>
      <c r="F218" s="161"/>
      <c r="G218" s="161"/>
      <c r="H218" s="161"/>
      <c r="I218" s="161"/>
      <c r="J218" s="161"/>
      <c r="K218" s="161"/>
      <c r="L218" s="161"/>
      <c r="M218" s="161"/>
      <c r="N218" s="161"/>
      <c r="O218" s="161"/>
      <c r="P218" s="161"/>
      <c r="Q218" s="161"/>
      <c r="R218" s="166">
        <f t="shared" si="32"/>
        <v>0</v>
      </c>
      <c r="S218" s="161"/>
      <c r="T218" s="161"/>
      <c r="U218" s="161"/>
      <c r="V218" s="167"/>
      <c r="W218" s="161"/>
      <c r="X218" s="167">
        <f t="shared" si="34"/>
        <v>0</v>
      </c>
      <c r="Y218" s="584">
        <f t="shared" si="35"/>
        <v>0</v>
      </c>
    </row>
    <row r="219" spans="1:25" ht="20.100000000000001" hidden="1" customHeight="1" x14ac:dyDescent="0.2">
      <c r="A219" s="235" t="s">
        <v>123</v>
      </c>
      <c r="B219" s="239"/>
      <c r="C219" s="34"/>
      <c r="D219" s="161"/>
      <c r="E219" s="166"/>
      <c r="F219" s="161"/>
      <c r="G219" s="161"/>
      <c r="H219" s="161"/>
      <c r="I219" s="161"/>
      <c r="J219" s="161"/>
      <c r="K219" s="161"/>
      <c r="L219" s="161"/>
      <c r="M219" s="161"/>
      <c r="N219" s="161"/>
      <c r="O219" s="161"/>
      <c r="P219" s="161"/>
      <c r="Q219" s="161"/>
      <c r="R219" s="166">
        <f t="shared" si="32"/>
        <v>0</v>
      </c>
      <c r="S219" s="161"/>
      <c r="T219" s="161"/>
      <c r="U219" s="161"/>
      <c r="V219" s="167"/>
      <c r="W219" s="161"/>
      <c r="X219" s="167">
        <f t="shared" si="34"/>
        <v>0</v>
      </c>
      <c r="Y219" s="584">
        <f t="shared" si="35"/>
        <v>0</v>
      </c>
    </row>
    <row r="220" spans="1:25" ht="20.100000000000001" hidden="1" customHeight="1" x14ac:dyDescent="0.2">
      <c r="A220" s="235" t="s">
        <v>123</v>
      </c>
      <c r="B220" s="307"/>
      <c r="C220" s="34"/>
      <c r="D220" s="161"/>
      <c r="E220" s="166"/>
      <c r="F220" s="161"/>
      <c r="G220" s="161"/>
      <c r="H220" s="161"/>
      <c r="I220" s="161"/>
      <c r="J220" s="161"/>
      <c r="K220" s="161"/>
      <c r="L220" s="161"/>
      <c r="M220" s="161"/>
      <c r="N220" s="161"/>
      <c r="O220" s="161"/>
      <c r="P220" s="161"/>
      <c r="Q220" s="161"/>
      <c r="R220" s="166">
        <f t="shared" si="32"/>
        <v>0</v>
      </c>
      <c r="S220" s="161"/>
      <c r="T220" s="161"/>
      <c r="U220" s="161"/>
      <c r="V220" s="167"/>
      <c r="W220" s="161"/>
      <c r="X220" s="167">
        <f t="shared" si="34"/>
        <v>0</v>
      </c>
      <c r="Y220" s="584">
        <f t="shared" si="35"/>
        <v>0</v>
      </c>
    </row>
    <row r="221" spans="1:25" ht="20.100000000000001" hidden="1" customHeight="1" x14ac:dyDescent="0.2">
      <c r="A221" s="235" t="s">
        <v>123</v>
      </c>
      <c r="B221" s="303"/>
      <c r="C221" s="34"/>
      <c r="D221" s="161"/>
      <c r="E221" s="166"/>
      <c r="F221" s="161"/>
      <c r="G221" s="161"/>
      <c r="H221" s="161"/>
      <c r="I221" s="161"/>
      <c r="J221" s="161"/>
      <c r="K221" s="161"/>
      <c r="L221" s="161"/>
      <c r="M221" s="161"/>
      <c r="N221" s="161"/>
      <c r="O221" s="161"/>
      <c r="P221" s="161"/>
      <c r="Q221" s="161"/>
      <c r="R221" s="166">
        <f t="shared" si="32"/>
        <v>0</v>
      </c>
      <c r="S221" s="161"/>
      <c r="T221" s="161"/>
      <c r="U221" s="161"/>
      <c r="V221" s="167"/>
      <c r="W221" s="161"/>
      <c r="X221" s="167">
        <f t="shared" si="34"/>
        <v>0</v>
      </c>
      <c r="Y221" s="584">
        <f t="shared" si="35"/>
        <v>0</v>
      </c>
    </row>
    <row r="222" spans="1:25" ht="20.100000000000001" hidden="1" customHeight="1" x14ac:dyDescent="0.2">
      <c r="A222" s="235" t="s">
        <v>123</v>
      </c>
      <c r="B222" s="303"/>
      <c r="C222" s="34"/>
      <c r="D222" s="161"/>
      <c r="E222" s="166"/>
      <c r="F222" s="161"/>
      <c r="G222" s="161"/>
      <c r="H222" s="161"/>
      <c r="I222" s="161"/>
      <c r="J222" s="161"/>
      <c r="K222" s="161"/>
      <c r="L222" s="161"/>
      <c r="M222" s="161"/>
      <c r="N222" s="161"/>
      <c r="O222" s="161"/>
      <c r="P222" s="161"/>
      <c r="Q222" s="161"/>
      <c r="R222" s="166">
        <f t="shared" ref="R222:R233" si="48">SUM(D222:Q222)</f>
        <v>0</v>
      </c>
      <c r="S222" s="161"/>
      <c r="T222" s="161"/>
      <c r="U222" s="161"/>
      <c r="V222" s="167"/>
      <c r="W222" s="161"/>
      <c r="X222" s="167">
        <f t="shared" ref="X222:X233" si="49">SUM(T222:W222)</f>
        <v>0</v>
      </c>
      <c r="Y222" s="584">
        <f t="shared" ref="Y222:Y233" si="50">R222+X222</f>
        <v>0</v>
      </c>
    </row>
    <row r="223" spans="1:25" ht="20.100000000000001" hidden="1" customHeight="1" x14ac:dyDescent="0.2">
      <c r="A223" s="235" t="s">
        <v>123</v>
      </c>
      <c r="B223" s="307"/>
      <c r="C223" s="34"/>
      <c r="D223" s="161"/>
      <c r="E223" s="166"/>
      <c r="F223" s="161"/>
      <c r="G223" s="161"/>
      <c r="H223" s="161"/>
      <c r="I223" s="161"/>
      <c r="J223" s="161"/>
      <c r="K223" s="161"/>
      <c r="L223" s="161"/>
      <c r="M223" s="161"/>
      <c r="N223" s="161"/>
      <c r="O223" s="161"/>
      <c r="P223" s="161"/>
      <c r="Q223" s="161"/>
      <c r="R223" s="166">
        <f t="shared" si="48"/>
        <v>0</v>
      </c>
      <c r="S223" s="161"/>
      <c r="T223" s="161"/>
      <c r="U223" s="161"/>
      <c r="V223" s="167"/>
      <c r="W223" s="161"/>
      <c r="X223" s="167">
        <f t="shared" si="49"/>
        <v>0</v>
      </c>
      <c r="Y223" s="584">
        <f t="shared" si="50"/>
        <v>0</v>
      </c>
    </row>
    <row r="224" spans="1:25" ht="20.100000000000001" hidden="1" customHeight="1" x14ac:dyDescent="0.2">
      <c r="A224" s="235" t="s">
        <v>123</v>
      </c>
      <c r="B224" s="307"/>
      <c r="C224" s="34"/>
      <c r="D224" s="161"/>
      <c r="E224" s="166"/>
      <c r="F224" s="161"/>
      <c r="G224" s="161"/>
      <c r="H224" s="161"/>
      <c r="I224" s="161"/>
      <c r="J224" s="161"/>
      <c r="K224" s="161"/>
      <c r="L224" s="161"/>
      <c r="M224" s="161"/>
      <c r="N224" s="161"/>
      <c r="O224" s="161"/>
      <c r="P224" s="161"/>
      <c r="Q224" s="161"/>
      <c r="R224" s="166">
        <f t="shared" si="48"/>
        <v>0</v>
      </c>
      <c r="S224" s="161"/>
      <c r="T224" s="161"/>
      <c r="U224" s="161"/>
      <c r="V224" s="167"/>
      <c r="W224" s="161"/>
      <c r="X224" s="167">
        <f t="shared" si="49"/>
        <v>0</v>
      </c>
      <c r="Y224" s="584">
        <f t="shared" si="50"/>
        <v>0</v>
      </c>
    </row>
    <row r="225" spans="1:25" ht="20.100000000000001" hidden="1" customHeight="1" x14ac:dyDescent="0.2">
      <c r="A225" s="82"/>
      <c r="B225" s="303"/>
      <c r="C225" s="34"/>
      <c r="D225" s="161"/>
      <c r="E225" s="166"/>
      <c r="F225" s="161"/>
      <c r="G225" s="161"/>
      <c r="H225" s="161"/>
      <c r="I225" s="161"/>
      <c r="J225" s="161"/>
      <c r="K225" s="161"/>
      <c r="L225" s="161"/>
      <c r="M225" s="161"/>
      <c r="N225" s="161"/>
      <c r="O225" s="161"/>
      <c r="P225" s="161"/>
      <c r="Q225" s="161"/>
      <c r="R225" s="166">
        <f t="shared" si="48"/>
        <v>0</v>
      </c>
      <c r="S225" s="161"/>
      <c r="T225" s="161"/>
      <c r="U225" s="161"/>
      <c r="V225" s="167"/>
      <c r="W225" s="161"/>
      <c r="X225" s="167">
        <f t="shared" si="49"/>
        <v>0</v>
      </c>
      <c r="Y225" s="584">
        <f t="shared" si="50"/>
        <v>0</v>
      </c>
    </row>
    <row r="226" spans="1:25" ht="20.100000000000001" hidden="1" customHeight="1" x14ac:dyDescent="0.2">
      <c r="A226" s="82"/>
      <c r="B226" s="306"/>
      <c r="C226" s="34"/>
      <c r="D226" s="161"/>
      <c r="E226" s="166"/>
      <c r="F226" s="161"/>
      <c r="G226" s="161"/>
      <c r="H226" s="161"/>
      <c r="I226" s="161"/>
      <c r="J226" s="161"/>
      <c r="K226" s="161"/>
      <c r="L226" s="161"/>
      <c r="M226" s="161"/>
      <c r="N226" s="161"/>
      <c r="O226" s="161"/>
      <c r="P226" s="161"/>
      <c r="Q226" s="161"/>
      <c r="R226" s="166">
        <f t="shared" si="48"/>
        <v>0</v>
      </c>
      <c r="S226" s="161"/>
      <c r="T226" s="161"/>
      <c r="U226" s="161"/>
      <c r="V226" s="167"/>
      <c r="W226" s="161"/>
      <c r="X226" s="167">
        <f t="shared" si="49"/>
        <v>0</v>
      </c>
      <c r="Y226" s="584">
        <f t="shared" si="50"/>
        <v>0</v>
      </c>
    </row>
    <row r="227" spans="1:25" ht="20.100000000000001" hidden="1" customHeight="1" x14ac:dyDescent="0.2">
      <c r="A227" s="82"/>
      <c r="B227" s="306"/>
      <c r="C227" s="34"/>
      <c r="D227" s="161"/>
      <c r="E227" s="166"/>
      <c r="F227" s="161"/>
      <c r="G227" s="161"/>
      <c r="H227" s="161"/>
      <c r="I227" s="161"/>
      <c r="J227" s="161"/>
      <c r="K227" s="161"/>
      <c r="L227" s="161"/>
      <c r="M227" s="161"/>
      <c r="N227" s="161"/>
      <c r="O227" s="161"/>
      <c r="P227" s="161"/>
      <c r="Q227" s="161"/>
      <c r="R227" s="166">
        <f t="shared" si="48"/>
        <v>0</v>
      </c>
      <c r="S227" s="161"/>
      <c r="T227" s="161"/>
      <c r="U227" s="161"/>
      <c r="V227" s="167"/>
      <c r="W227" s="161"/>
      <c r="X227" s="167">
        <f t="shared" si="49"/>
        <v>0</v>
      </c>
      <c r="Y227" s="584">
        <f t="shared" si="50"/>
        <v>0</v>
      </c>
    </row>
    <row r="228" spans="1:25" ht="20.100000000000001" hidden="1" customHeight="1" thickTop="1" x14ac:dyDescent="0.2">
      <c r="A228" s="82"/>
      <c r="B228" s="126"/>
      <c r="C228" s="41"/>
      <c r="D228" s="161"/>
      <c r="E228" s="166"/>
      <c r="F228" s="161"/>
      <c r="G228" s="161"/>
      <c r="H228" s="161"/>
      <c r="I228" s="161"/>
      <c r="J228" s="161"/>
      <c r="K228" s="161"/>
      <c r="L228" s="161"/>
      <c r="M228" s="161"/>
      <c r="N228" s="161"/>
      <c r="O228" s="161"/>
      <c r="P228" s="161"/>
      <c r="Q228" s="161"/>
      <c r="R228" s="166">
        <f t="shared" si="48"/>
        <v>0</v>
      </c>
      <c r="S228" s="161"/>
      <c r="T228" s="161"/>
      <c r="U228" s="161"/>
      <c r="V228" s="167"/>
      <c r="W228" s="161"/>
      <c r="X228" s="167">
        <f t="shared" si="49"/>
        <v>0</v>
      </c>
      <c r="Y228" s="584">
        <f t="shared" si="50"/>
        <v>0</v>
      </c>
    </row>
    <row r="229" spans="1:25" ht="20.100000000000001" hidden="1" customHeight="1" x14ac:dyDescent="0.2">
      <c r="A229" s="218" t="s">
        <v>97</v>
      </c>
      <c r="B229" s="214"/>
      <c r="C229" s="219" t="s">
        <v>95</v>
      </c>
      <c r="D229" s="161">
        <f t="shared" ref="D229:W229" si="51">SUM(D215:D228)</f>
        <v>0</v>
      </c>
      <c r="E229" s="166">
        <f t="shared" si="51"/>
        <v>0</v>
      </c>
      <c r="F229" s="161">
        <f>SUM(F215:F228)</f>
        <v>0</v>
      </c>
      <c r="G229" s="161">
        <f t="shared" si="51"/>
        <v>0</v>
      </c>
      <c r="H229" s="161">
        <f t="shared" si="51"/>
        <v>0</v>
      </c>
      <c r="I229" s="161">
        <f t="shared" si="51"/>
        <v>0</v>
      </c>
      <c r="J229" s="161">
        <f t="shared" si="51"/>
        <v>0</v>
      </c>
      <c r="K229" s="161">
        <f t="shared" si="51"/>
        <v>0</v>
      </c>
      <c r="L229" s="161">
        <f t="shared" si="51"/>
        <v>0</v>
      </c>
      <c r="M229" s="161">
        <f t="shared" si="51"/>
        <v>0</v>
      </c>
      <c r="N229" s="161">
        <f t="shared" si="51"/>
        <v>0</v>
      </c>
      <c r="O229" s="161">
        <f t="shared" si="51"/>
        <v>0</v>
      </c>
      <c r="P229" s="161">
        <f t="shared" si="51"/>
        <v>0</v>
      </c>
      <c r="Q229" s="161">
        <f t="shared" si="51"/>
        <v>0</v>
      </c>
      <c r="R229" s="166">
        <f t="shared" si="48"/>
        <v>0</v>
      </c>
      <c r="S229" s="161"/>
      <c r="T229" s="161">
        <f t="shared" si="51"/>
        <v>0</v>
      </c>
      <c r="U229" s="161">
        <f t="shared" si="51"/>
        <v>0</v>
      </c>
      <c r="V229" s="167">
        <f t="shared" si="51"/>
        <v>0</v>
      </c>
      <c r="W229" s="161">
        <f t="shared" si="51"/>
        <v>0</v>
      </c>
      <c r="X229" s="167">
        <f t="shared" si="49"/>
        <v>0</v>
      </c>
      <c r="Y229" s="584">
        <f t="shared" si="50"/>
        <v>0</v>
      </c>
    </row>
    <row r="230" spans="1:25" ht="20.100000000000001" hidden="1" customHeight="1" x14ac:dyDescent="0.2">
      <c r="A230" s="82"/>
      <c r="B230" s="126"/>
      <c r="C230" s="41"/>
      <c r="D230" s="161"/>
      <c r="E230" s="166"/>
      <c r="F230" s="161"/>
      <c r="G230" s="161"/>
      <c r="H230" s="161"/>
      <c r="I230" s="161"/>
      <c r="J230" s="161"/>
      <c r="K230" s="161"/>
      <c r="L230" s="161"/>
      <c r="M230" s="161"/>
      <c r="N230" s="161"/>
      <c r="O230" s="161"/>
      <c r="P230" s="161"/>
      <c r="Q230" s="161"/>
      <c r="R230" s="166">
        <f t="shared" si="48"/>
        <v>0</v>
      </c>
      <c r="S230" s="161"/>
      <c r="T230" s="161"/>
      <c r="U230" s="161"/>
      <c r="V230" s="167"/>
      <c r="W230" s="161"/>
      <c r="X230" s="167">
        <f t="shared" si="49"/>
        <v>0</v>
      </c>
      <c r="Y230" s="584">
        <f t="shared" si="50"/>
        <v>0</v>
      </c>
    </row>
    <row r="231" spans="1:25" ht="20.100000000000001" hidden="1" customHeight="1" thickBot="1" x14ac:dyDescent="0.25">
      <c r="A231" s="82"/>
      <c r="B231" s="89"/>
      <c r="C231" s="41"/>
      <c r="D231" s="161"/>
      <c r="E231" s="166"/>
      <c r="F231" s="161"/>
      <c r="G231" s="161"/>
      <c r="H231" s="161"/>
      <c r="I231" s="161"/>
      <c r="J231" s="161"/>
      <c r="K231" s="161"/>
      <c r="L231" s="161"/>
      <c r="M231" s="161"/>
      <c r="N231" s="161"/>
      <c r="O231" s="161"/>
      <c r="P231" s="161"/>
      <c r="Q231" s="161"/>
      <c r="R231" s="166">
        <f t="shared" si="48"/>
        <v>0</v>
      </c>
      <c r="S231" s="161"/>
      <c r="T231" s="161"/>
      <c r="U231" s="161"/>
      <c r="V231" s="167"/>
      <c r="W231" s="161"/>
      <c r="X231" s="167">
        <f t="shared" si="49"/>
        <v>0</v>
      </c>
      <c r="Y231" s="584">
        <f t="shared" si="50"/>
        <v>0</v>
      </c>
    </row>
    <row r="232" spans="1:25" ht="24.75" hidden="1" customHeight="1" thickTop="1" thickBot="1" x14ac:dyDescent="0.25">
      <c r="A232" s="42"/>
      <c r="B232" s="272">
        <v>41274</v>
      </c>
      <c r="C232" s="44" t="s">
        <v>98</v>
      </c>
      <c r="D232" s="168">
        <f t="shared" ref="D232:W232" si="52">D213+D229</f>
        <v>0</v>
      </c>
      <c r="E232" s="556">
        <f t="shared" si="52"/>
        <v>0</v>
      </c>
      <c r="F232" s="168">
        <f t="shared" si="52"/>
        <v>0</v>
      </c>
      <c r="G232" s="168">
        <f t="shared" si="52"/>
        <v>0</v>
      </c>
      <c r="H232" s="168">
        <f t="shared" si="52"/>
        <v>0</v>
      </c>
      <c r="I232" s="168">
        <f t="shared" si="52"/>
        <v>0</v>
      </c>
      <c r="J232" s="168">
        <f>J213+J229</f>
        <v>0</v>
      </c>
      <c r="K232" s="168">
        <f t="shared" si="52"/>
        <v>0</v>
      </c>
      <c r="L232" s="168">
        <f t="shared" si="52"/>
        <v>0</v>
      </c>
      <c r="M232" s="168">
        <f t="shared" si="52"/>
        <v>0</v>
      </c>
      <c r="N232" s="168">
        <f t="shared" si="52"/>
        <v>0</v>
      </c>
      <c r="O232" s="168">
        <f t="shared" si="52"/>
        <v>0</v>
      </c>
      <c r="P232" s="168">
        <f t="shared" si="52"/>
        <v>0</v>
      </c>
      <c r="Q232" s="168">
        <f t="shared" si="52"/>
        <v>0</v>
      </c>
      <c r="R232" s="556">
        <f t="shared" si="48"/>
        <v>0</v>
      </c>
      <c r="S232" s="168"/>
      <c r="T232" s="168">
        <f>T213+T229</f>
        <v>0</v>
      </c>
      <c r="U232" s="168">
        <f>U213+U229</f>
        <v>0</v>
      </c>
      <c r="V232" s="171">
        <f t="shared" si="52"/>
        <v>0</v>
      </c>
      <c r="W232" s="168">
        <f t="shared" si="52"/>
        <v>0</v>
      </c>
      <c r="X232" s="171">
        <f t="shared" si="49"/>
        <v>0</v>
      </c>
      <c r="Y232" s="585">
        <f t="shared" si="50"/>
        <v>0</v>
      </c>
    </row>
    <row r="233" spans="1:25" ht="24.75" hidden="1" customHeight="1" thickTop="1" thickBot="1" x14ac:dyDescent="0.25">
      <c r="A233" s="42"/>
      <c r="B233" s="43" t="s">
        <v>128</v>
      </c>
      <c r="C233" s="44" t="s">
        <v>20</v>
      </c>
      <c r="D233" s="212">
        <f t="shared" ref="D233:W233" si="53">D195+D232</f>
        <v>1635903.1910000001</v>
      </c>
      <c r="E233" s="212">
        <f t="shared" si="53"/>
        <v>441374.571</v>
      </c>
      <c r="F233" s="212">
        <f t="shared" si="53"/>
        <v>587634.62300000002</v>
      </c>
      <c r="G233" s="212">
        <f t="shared" si="53"/>
        <v>88236.956000000006</v>
      </c>
      <c r="H233" s="212">
        <f t="shared" si="53"/>
        <v>0</v>
      </c>
      <c r="I233" s="212">
        <f t="shared" si="53"/>
        <v>96016.873000000007</v>
      </c>
      <c r="J233" s="212">
        <f>J195+J232</f>
        <v>460.79399999999998</v>
      </c>
      <c r="K233" s="212">
        <f t="shared" si="53"/>
        <v>0</v>
      </c>
      <c r="L233" s="212">
        <f t="shared" si="53"/>
        <v>194294</v>
      </c>
      <c r="M233" s="212">
        <f t="shared" si="53"/>
        <v>10397</v>
      </c>
      <c r="N233" s="212">
        <f t="shared" si="53"/>
        <v>0</v>
      </c>
      <c r="O233" s="212">
        <f t="shared" si="53"/>
        <v>6000</v>
      </c>
      <c r="P233" s="212">
        <f t="shared" si="53"/>
        <v>0</v>
      </c>
      <c r="Q233" s="212">
        <f t="shared" si="53"/>
        <v>0</v>
      </c>
      <c r="R233" s="212">
        <f t="shared" si="48"/>
        <v>3060318.0080000004</v>
      </c>
      <c r="S233" s="168"/>
      <c r="T233" s="212">
        <f>T195+T232</f>
        <v>0</v>
      </c>
      <c r="U233" s="212">
        <f>U195+U232</f>
        <v>0</v>
      </c>
      <c r="V233" s="212">
        <f t="shared" si="53"/>
        <v>0</v>
      </c>
      <c r="W233" s="212">
        <f t="shared" si="53"/>
        <v>0</v>
      </c>
      <c r="X233" s="212">
        <f t="shared" si="49"/>
        <v>0</v>
      </c>
      <c r="Y233" s="625">
        <f t="shared" si="50"/>
        <v>3060318.0080000004</v>
      </c>
    </row>
    <row r="234" spans="1:25" ht="17.25" thickTop="1" x14ac:dyDescent="0.25">
      <c r="E234" s="581"/>
      <c r="R234" s="581"/>
      <c r="V234" s="557"/>
      <c r="W234" s="557"/>
      <c r="X234" s="557"/>
      <c r="Y234" s="591"/>
    </row>
    <row r="235" spans="1:25" x14ac:dyDescent="0.25">
      <c r="E235" s="581"/>
      <c r="R235" s="581"/>
      <c r="Y235" s="591"/>
    </row>
    <row r="236" spans="1:25" x14ac:dyDescent="0.25">
      <c r="E236" s="581"/>
      <c r="R236" s="581"/>
      <c r="Y236" s="591"/>
    </row>
  </sheetData>
  <mergeCells count="8">
    <mergeCell ref="T8:W8"/>
    <mergeCell ref="AH14:AI14"/>
    <mergeCell ref="A2:Y2"/>
    <mergeCell ref="A4:Y4"/>
    <mergeCell ref="AH9:AI9"/>
    <mergeCell ref="D8:K8"/>
    <mergeCell ref="L8:Q8"/>
    <mergeCell ref="D7:X7"/>
  </mergeCells>
  <phoneticPr fontId="2" type="noConversion"/>
  <printOptions horizontalCentered="1" verticalCentered="1"/>
  <pageMargins left="0" right="0" top="0.62" bottom="0.48" header="0.27" footer="0.15"/>
  <pageSetup paperSize="9" scale="41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10</vt:i4>
      </vt:variant>
    </vt:vector>
  </HeadingPairs>
  <TitlesOfParts>
    <vt:vector size="14" baseType="lpstr">
      <vt:lpstr>1.sz.melléklet</vt:lpstr>
      <vt:lpstr>2.sz.melléklet</vt:lpstr>
      <vt:lpstr>3.sz.melléklet</vt:lpstr>
      <vt:lpstr>PH kiad 4.sz.melléklet</vt:lpstr>
      <vt:lpstr>Excel_BuiltIn__FilterDatabase_2</vt:lpstr>
      <vt:lpstr>Excel_BuiltIn__FilterDatabase_3_3</vt:lpstr>
      <vt:lpstr>'1.sz.melléklet'!Nyomtatási_cím</vt:lpstr>
      <vt:lpstr>'2.sz.melléklet'!Nyomtatási_cím</vt:lpstr>
      <vt:lpstr>'3.sz.melléklet'!Nyomtatási_cím</vt:lpstr>
      <vt:lpstr>'PH kiad 4.sz.melléklet'!Nyomtatási_cím</vt:lpstr>
      <vt:lpstr>'1.sz.melléklet'!Nyomtatási_terület</vt:lpstr>
      <vt:lpstr>'2.sz.melléklet'!Nyomtatási_terület</vt:lpstr>
      <vt:lpstr>'3.sz.melléklet'!Nyomtatási_terület</vt:lpstr>
      <vt:lpstr>'PH kiad 4.sz.melléklet'!Nyomtatási_terület</vt:lpstr>
    </vt:vector>
  </TitlesOfParts>
  <Company>II. Kerületi Önkormányzat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Balogh</dc:creator>
  <cp:lastModifiedBy>Balog Lászlóné Zsuzsa</cp:lastModifiedBy>
  <cp:lastPrinted>2015-02-17T12:20:45Z</cp:lastPrinted>
  <dcterms:created xsi:type="dcterms:W3CDTF">2009-03-23T07:49:10Z</dcterms:created>
  <dcterms:modified xsi:type="dcterms:W3CDTF">2015-02-17T12:21:13Z</dcterms:modified>
</cp:coreProperties>
</file>