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I:\Penzugyi es Koltsegvetesi Osztaly\HUPENZU\2019\Rendelet módosítások\Második mód 10.31\Leadott\"/>
    </mc:Choice>
  </mc:AlternateContent>
  <bookViews>
    <workbookView xWindow="0" yWindow="0" windowWidth="28770" windowHeight="11760" activeTab="1"/>
  </bookViews>
  <sheets>
    <sheet name="5.sz. melléklet" sheetId="20" r:id="rId1"/>
    <sheet name="6. sz. melléklet" sheetId="2" r:id="rId2"/>
  </sheets>
  <definedNames>
    <definedName name="a">#REF!</definedName>
    <definedName name="Excel_BuiltIn_Print_Area_100_1" localSheetId="0">#REF!</definedName>
    <definedName name="Excel_BuiltIn_Print_Area_100_1" localSheetId="1">#REF!</definedName>
    <definedName name="Excel_BuiltIn_Print_Area_109_1" localSheetId="0">#REF!</definedName>
    <definedName name="Excel_BuiltIn_Print_Area_109_1" localSheetId="1">#REF!</definedName>
    <definedName name="Excel_BuiltIn_Print_Area_109_1">#REF!</definedName>
    <definedName name="Excel_BuiltIn_Print_Area_111" localSheetId="0">#REF!</definedName>
    <definedName name="Excel_BuiltIn_Print_Area_111" localSheetId="1">#REF!</definedName>
    <definedName name="Excel_BuiltIn_Print_Area_14_1" localSheetId="0">#REF!</definedName>
    <definedName name="Excel_BuiltIn_Print_Area_14_1">#REF!</definedName>
    <definedName name="Excel_BuiltIn_Print_Area_14_1_1" localSheetId="0">#REF!</definedName>
    <definedName name="Excel_BuiltIn_Print_Area_14_1_1">#REF!</definedName>
    <definedName name="Excel_BuiltIn_Print_Area_29_1" localSheetId="0">#REF!</definedName>
    <definedName name="Excel_BuiltIn_Print_Area_29_1">#REF!</definedName>
    <definedName name="Excel_BuiltIn_Print_Area_29_1_1" localSheetId="0">#REF!</definedName>
    <definedName name="Excel_BuiltIn_Print_Area_29_1_1">#REF!</definedName>
    <definedName name="Excel_BuiltIn_Print_Area_31_1" localSheetId="0">#REF!</definedName>
    <definedName name="Excel_BuiltIn_Print_Area_31_1">#REF!</definedName>
    <definedName name="Excel_BuiltIn_Print_Area_32_1" localSheetId="0">#REF!</definedName>
    <definedName name="Excel_BuiltIn_Print_Area_32_1">#REF!</definedName>
    <definedName name="Excel_BuiltIn_Print_Area_34_1" localSheetId="0">#REF!</definedName>
    <definedName name="Excel_BuiltIn_Print_Area_34_1">#REF!</definedName>
    <definedName name="Excel_BuiltIn_Print_Area_37_1" localSheetId="0">#REF!</definedName>
    <definedName name="Excel_BuiltIn_Print_Area_37_1">#REF!</definedName>
    <definedName name="Excel_BuiltIn_Print_Area_55_1" localSheetId="0">#REF!</definedName>
    <definedName name="Excel_BuiltIn_Print_Area_55_1">#REF!</definedName>
    <definedName name="mama">#REF!</definedName>
    <definedName name="_xlnm.Print_Area" localSheetId="0">'5.sz. melléklet'!$A$1:$M$52</definedName>
    <definedName name="_xlnm.Print_Area" localSheetId="1">'6. sz. melléklet'!$A$1:$O$52</definedName>
    <definedName name="pm" localSheetId="0">#REF!</definedName>
    <definedName name="pm">#REF!</definedName>
    <definedName name="teszt">#REF!</definedName>
  </definedNames>
  <calcPr calcId="152511"/>
</workbook>
</file>

<file path=xl/calcChain.xml><?xml version="1.0" encoding="utf-8"?>
<calcChain xmlns="http://schemas.openxmlformats.org/spreadsheetml/2006/main">
  <c r="K46" i="2" l="1"/>
  <c r="D46" i="20"/>
  <c r="M44" i="2" l="1"/>
  <c r="M36" i="2"/>
  <c r="K48" i="2"/>
  <c r="K52" i="2" s="1"/>
  <c r="K44" i="2"/>
  <c r="K36" i="2"/>
  <c r="D48" i="2" l="1"/>
  <c r="D44" i="2"/>
  <c r="E44" i="2"/>
  <c r="K50" i="2" l="1"/>
  <c r="F50" i="20"/>
  <c r="E50" i="20"/>
  <c r="D50" i="20"/>
  <c r="C36" i="20" l="1"/>
  <c r="F33" i="20"/>
  <c r="E33" i="20"/>
  <c r="D33" i="20"/>
  <c r="D26" i="20"/>
  <c r="E26" i="20"/>
  <c r="F26" i="20"/>
  <c r="F31" i="20"/>
  <c r="E29" i="20"/>
  <c r="D29" i="20"/>
  <c r="E27" i="20"/>
  <c r="D27" i="20"/>
  <c r="K29" i="2"/>
  <c r="K27" i="2"/>
  <c r="K30" i="2"/>
  <c r="F30" i="20"/>
  <c r="E30" i="20"/>
  <c r="D30" i="20"/>
  <c r="K41" i="2"/>
  <c r="K42" i="2"/>
  <c r="K39" i="2" l="1"/>
  <c r="E39" i="2" l="1"/>
  <c r="E39" i="20"/>
  <c r="E38" i="20"/>
  <c r="M46" i="2"/>
  <c r="D42" i="2"/>
  <c r="K40" i="2"/>
  <c r="M38" i="2"/>
  <c r="K38" i="2"/>
  <c r="K31" i="2"/>
  <c r="K23" i="2"/>
  <c r="I46" i="20"/>
  <c r="F46" i="20"/>
  <c r="E46" i="20"/>
  <c r="F42" i="20"/>
  <c r="E42" i="20"/>
  <c r="D42" i="20"/>
  <c r="F41" i="20"/>
  <c r="E41" i="20"/>
  <c r="D41" i="20"/>
  <c r="D40" i="20"/>
  <c r="E40" i="20"/>
  <c r="F39" i="20"/>
  <c r="D39" i="20"/>
  <c r="F38" i="20"/>
  <c r="I38" i="20"/>
  <c r="D38" i="20"/>
  <c r="D31" i="20"/>
  <c r="F25" i="20"/>
  <c r="D25" i="20"/>
  <c r="K24" i="2"/>
  <c r="F24" i="20"/>
  <c r="E24" i="20"/>
  <c r="D24" i="20"/>
  <c r="D23" i="20"/>
  <c r="D23" i="2"/>
  <c r="K19" i="2"/>
  <c r="F23" i="20" l="1"/>
  <c r="E23" i="20"/>
  <c r="M19" i="2"/>
  <c r="E19" i="20"/>
  <c r="D19" i="20"/>
  <c r="F19" i="20"/>
  <c r="I19" i="20"/>
  <c r="C39" i="2" l="1"/>
  <c r="C40" i="2"/>
  <c r="C42" i="2"/>
  <c r="C38" i="2"/>
  <c r="C25" i="2"/>
  <c r="C26" i="2"/>
  <c r="C27" i="2"/>
  <c r="C30" i="2"/>
  <c r="C31" i="2"/>
  <c r="C33" i="2"/>
  <c r="C34" i="2"/>
  <c r="C23" i="2"/>
  <c r="C19" i="2"/>
  <c r="D36" i="2" l="1"/>
  <c r="E36" i="2"/>
  <c r="F36" i="2"/>
  <c r="K21" i="2"/>
  <c r="M21" i="2"/>
  <c r="M48" i="2" s="1"/>
  <c r="E21" i="2"/>
  <c r="J48" i="20"/>
  <c r="E44" i="20"/>
  <c r="F44" i="20"/>
  <c r="E21" i="20"/>
  <c r="F21" i="20"/>
  <c r="E36" i="20"/>
  <c r="F36" i="20"/>
  <c r="I44" i="20"/>
  <c r="I36" i="20"/>
  <c r="I21" i="20"/>
  <c r="D44" i="20"/>
  <c r="D36" i="20"/>
  <c r="D21" i="20"/>
  <c r="D48" i="20" l="1"/>
  <c r="D52" i="20" s="1"/>
  <c r="I48" i="20"/>
  <c r="I52" i="20" s="1"/>
  <c r="E48" i="20"/>
  <c r="F48" i="20"/>
  <c r="C19" i="20"/>
  <c r="C23" i="20"/>
  <c r="C71" i="20" l="1"/>
  <c r="C67" i="20" l="1"/>
  <c r="C68" i="20"/>
  <c r="C69" i="20"/>
  <c r="C70" i="20"/>
  <c r="C72" i="20"/>
  <c r="C73" i="20"/>
  <c r="C74" i="20"/>
  <c r="C75" i="20"/>
  <c r="C65" i="20" l="1"/>
  <c r="C66" i="20"/>
  <c r="C27" i="20" l="1"/>
  <c r="C39" i="20" l="1"/>
  <c r="C28" i="20"/>
  <c r="C26" i="20"/>
  <c r="C30" i="20" l="1"/>
  <c r="C40" i="20"/>
  <c r="C42" i="20" l="1"/>
  <c r="B78" i="2" l="1"/>
  <c r="C24" i="20" l="1"/>
  <c r="C46" i="20" l="1"/>
  <c r="P54" i="2" l="1"/>
  <c r="C34" i="20" l="1"/>
  <c r="C50" i="20" l="1"/>
  <c r="C41" i="20" l="1"/>
  <c r="C38" i="20"/>
  <c r="J36" i="20"/>
  <c r="C33" i="20"/>
  <c r="C32" i="20"/>
  <c r="C31" i="20"/>
  <c r="C29" i="20"/>
  <c r="C25" i="20"/>
  <c r="C44" i="20" l="1"/>
  <c r="E52" i="20"/>
  <c r="J52" i="20"/>
  <c r="F52" i="20"/>
  <c r="C21" i="20"/>
  <c r="C48" i="20" l="1"/>
  <c r="C52" i="20" l="1"/>
  <c r="C44" i="2"/>
  <c r="M52" i="2"/>
  <c r="D52" i="2"/>
  <c r="C36" i="2" l="1"/>
  <c r="C21" i="2"/>
  <c r="C48" i="2" l="1"/>
  <c r="C52" i="2" l="1"/>
  <c r="E48" i="2"/>
  <c r="E52" i="2"/>
  <c r="F48" i="2"/>
  <c r="F52" i="2" s="1"/>
</calcChain>
</file>

<file path=xl/sharedStrings.xml><?xml version="1.0" encoding="utf-8"?>
<sst xmlns="http://schemas.openxmlformats.org/spreadsheetml/2006/main" count="194" uniqueCount="96">
  <si>
    <t>ezer Ft-ban</t>
  </si>
  <si>
    <t>Kötelező feladatok</t>
  </si>
  <si>
    <t>Önként vállalt feladatok</t>
  </si>
  <si>
    <t>Költségvetési</t>
  </si>
  <si>
    <t>Munkaadókat</t>
  </si>
  <si>
    <t>kiadások</t>
  </si>
  <si>
    <t>Személyi</t>
  </si>
  <si>
    <t>terhelő</t>
  </si>
  <si>
    <t>Dologi</t>
  </si>
  <si>
    <t>Ellátottak</t>
  </si>
  <si>
    <t>Működési</t>
  </si>
  <si>
    <t>Beruházások</t>
  </si>
  <si>
    <t>Felújítások</t>
  </si>
  <si>
    <t>Felhalmozási</t>
  </si>
  <si>
    <t>összesen</t>
  </si>
  <si>
    <t>juttatások</t>
  </si>
  <si>
    <t>pénzbeli</t>
  </si>
  <si>
    <t>célú</t>
  </si>
  <si>
    <t>felhalmozási</t>
  </si>
  <si>
    <t>Ssz.</t>
  </si>
  <si>
    <t>megnevezése</t>
  </si>
  <si>
    <t>szocilis</t>
  </si>
  <si>
    <t>juttatásai</t>
  </si>
  <si>
    <t>pénzeszköz</t>
  </si>
  <si>
    <t>hozzájárulási</t>
  </si>
  <si>
    <t>adó</t>
  </si>
  <si>
    <t>1.</t>
  </si>
  <si>
    <t xml:space="preserve">Egyesített Bölcsődék </t>
  </si>
  <si>
    <t>Bolyai Utcai Óvoda</t>
  </si>
  <si>
    <t>2.</t>
  </si>
  <si>
    <t>Budakeszi Úti Óvoda</t>
  </si>
  <si>
    <t>3.</t>
  </si>
  <si>
    <t>Hűvösvölgyi Gesztenyéskert Óvoda</t>
  </si>
  <si>
    <t>4.</t>
  </si>
  <si>
    <t>Kitaibel Pál Utcai Óvoda</t>
  </si>
  <si>
    <t>Kolozsvár Utcai Óvoda</t>
  </si>
  <si>
    <t>Községház Utcai Óvoda</t>
  </si>
  <si>
    <t>Pitypang Utcai Óvoda</t>
  </si>
  <si>
    <t>Százszorszép Óvoda</t>
  </si>
  <si>
    <t>Szemlőhegy Utcai Óvoda</t>
  </si>
  <si>
    <t>Törökvész Úti Óvoda</t>
  </si>
  <si>
    <t>ÉNO</t>
  </si>
  <si>
    <t xml:space="preserve">I. Gondozási Központ </t>
  </si>
  <si>
    <t xml:space="preserve">II. Gondozási Központ </t>
  </si>
  <si>
    <t xml:space="preserve">III. Gondozási Központ </t>
  </si>
  <si>
    <t>Intézmény Működtetési Központ</t>
  </si>
  <si>
    <t>bevételek</t>
  </si>
  <si>
    <t>Egyéb</t>
  </si>
  <si>
    <t>támogatás</t>
  </si>
  <si>
    <t xml:space="preserve">Felhalmozási </t>
  </si>
  <si>
    <t>államháztartáson</t>
  </si>
  <si>
    <t xml:space="preserve">működési </t>
  </si>
  <si>
    <t>belülről</t>
  </si>
  <si>
    <t>járulékok és</t>
  </si>
  <si>
    <t>átvett</t>
  </si>
  <si>
    <t>maradvány</t>
  </si>
  <si>
    <t>Finanszírozási bevételek</t>
  </si>
  <si>
    <t>költségvetési</t>
  </si>
  <si>
    <t>igénybevétel</t>
  </si>
  <si>
    <t>irányító szervi</t>
  </si>
  <si>
    <t xml:space="preserve">Költségvetési szerv </t>
  </si>
  <si>
    <t>Költségvetési bevételek</t>
  </si>
  <si>
    <t>Működési költségvetési kiadások</t>
  </si>
  <si>
    <t>Felhalmozási költségvetési kiadások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</si>
  <si>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</si>
  <si>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</si>
  <si>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</si>
  <si>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</si>
  <si>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</si>
  <si>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</si>
  <si>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</si>
  <si>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</si>
  <si>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</si>
  <si>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</si>
  <si>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</si>
  <si>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I.</t>
  </si>
  <si>
    <t>II.</t>
  </si>
  <si>
    <t>Egészségügyi Szolgálat</t>
  </si>
  <si>
    <t>A</t>
  </si>
  <si>
    <t>Gazdasági szervezettel nem rendelkező intézmények összesen:</t>
  </si>
  <si>
    <t>Egyesített Bölcsődék összesen:</t>
  </si>
  <si>
    <t>Óvodák összesen:</t>
  </si>
  <si>
    <t>Humán szolgáltatás összesen:</t>
  </si>
  <si>
    <t>Humán szolgáltatás összsen:</t>
  </si>
  <si>
    <t>Mindösszesen: (I.+II.)</t>
  </si>
  <si>
    <t>Virág árok Óvoda</t>
  </si>
  <si>
    <t xml:space="preserve">Budapest Főváros II. Kerületi Önkormányzat irányítása alá tartozó gazdasági szervezettel nem rendelkező költségvetési szervek és az Egészségügyi Szolgálat kiadási előirányzat változásai </t>
  </si>
  <si>
    <t>l</t>
  </si>
  <si>
    <t>Völgy  Utcai Óvoda</t>
  </si>
  <si>
    <t>Völgy Utcai Óvoda</t>
  </si>
  <si>
    <t>Budapest Főváros II. Kerületi Önkormányzat irányítása alá tartozó gazdasági szervezettel nem rendelkező költségvetési szervek és az Egészségügyi Szolgálat bevételi előirányzat változásai</t>
  </si>
  <si>
    <t>Család és Gyermekjóléti Központ</t>
  </si>
  <si>
    <t>EÜ</t>
  </si>
  <si>
    <t>6. sz. melléklet</t>
  </si>
  <si>
    <t>2019. május 1-től október 31-ig.</t>
  </si>
  <si>
    <t>5.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</si>
</sst>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238"/>
    </font>
    <font>
      <sz val="8"/>
      <color indexed="10"/>
      <name val="Times New Roman"/>
      <family val="1"/>
    </font>
    <font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FF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9" fillId="20" borderId="7" applyNumberFormat="0" applyFont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15" fillId="0" borderId="9" applyNumberFormat="0" applyFill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43" fontId="9" fillId="0" borderId="0" applyFont="0" applyFill="0" applyBorder="0" applyAlignment="0" applyProtection="0"/>
  </cellStyleXfs>
  <cellXfs count="185">
    <xf numFmtId="0" fontId="0" fillId="0" borderId="0" xfId="0"/>
    <xf numFmtId="164" fontId="20" fillId="0" borderId="0" xfId="43" applyNumberFormat="1" applyFont="1"/>
    <xf numFmtId="164" fontId="20" fillId="0" borderId="0" xfId="43" applyNumberFormat="1" applyFont="1" applyAlignment="1">
      <alignment horizontal="right"/>
    </xf>
    <xf numFmtId="164" fontId="22" fillId="0" borderId="0" xfId="43" applyNumberFormat="1" applyFont="1"/>
    <xf numFmtId="164" fontId="21" fillId="0" borderId="0" xfId="43" applyNumberFormat="1" applyFont="1" applyAlignment="1"/>
    <xf numFmtId="164" fontId="23" fillId="0" borderId="0" xfId="43" applyNumberFormat="1" applyFont="1"/>
    <xf numFmtId="164" fontId="24" fillId="0" borderId="0" xfId="43" applyNumberFormat="1" applyFont="1" applyAlignment="1"/>
    <xf numFmtId="164" fontId="21" fillId="0" borderId="0" xfId="43" applyNumberFormat="1" applyFont="1" applyAlignment="1">
      <alignment horizontal="center"/>
    </xf>
    <xf numFmtId="164" fontId="25" fillId="0" borderId="0" xfId="43" applyNumberFormat="1" applyFont="1" applyAlignment="1">
      <alignment horizontal="right"/>
    </xf>
    <xf numFmtId="164" fontId="22" fillId="0" borderId="10" xfId="43" applyNumberFormat="1" applyFont="1" applyBorder="1"/>
    <xf numFmtId="164" fontId="21" fillId="0" borderId="11" xfId="43" applyNumberFormat="1" applyFont="1" applyBorder="1" applyAlignment="1"/>
    <xf numFmtId="164" fontId="26" fillId="0" borderId="12" xfId="43" applyNumberFormat="1" applyFont="1" applyBorder="1"/>
    <xf numFmtId="164" fontId="26" fillId="0" borderId="13" xfId="43" applyNumberFormat="1" applyFont="1" applyBorder="1"/>
    <xf numFmtId="164" fontId="22" fillId="0" borderId="15" xfId="43" applyNumberFormat="1" applyFont="1" applyBorder="1"/>
    <xf numFmtId="164" fontId="22" fillId="0" borderId="17" xfId="43" applyNumberFormat="1" applyFont="1" applyBorder="1"/>
    <xf numFmtId="164" fontId="21" fillId="0" borderId="15" xfId="43" applyNumberFormat="1" applyFont="1" applyBorder="1" applyAlignment="1"/>
    <xf numFmtId="164" fontId="21" fillId="0" borderId="18" xfId="43" applyNumberFormat="1" applyFont="1" applyBorder="1" applyAlignment="1"/>
    <xf numFmtId="164" fontId="28" fillId="0" borderId="15" xfId="43" applyNumberFormat="1" applyFont="1" applyBorder="1" applyAlignment="1">
      <alignment horizontal="center"/>
    </xf>
    <xf numFmtId="164" fontId="29" fillId="0" borderId="17" xfId="43" applyNumberFormat="1" applyFont="1" applyBorder="1" applyAlignment="1">
      <alignment horizontal="center"/>
    </xf>
    <xf numFmtId="164" fontId="22" fillId="0" borderId="17" xfId="43" applyNumberFormat="1" applyFont="1" applyBorder="1" applyAlignment="1">
      <alignment horizontal="center"/>
    </xf>
    <xf numFmtId="164" fontId="22" fillId="0" borderId="0" xfId="43" applyNumberFormat="1" applyFont="1" applyBorder="1"/>
    <xf numFmtId="164" fontId="22" fillId="0" borderId="20" xfId="43" applyNumberFormat="1" applyFont="1" applyBorder="1" applyAlignment="1">
      <alignment horizontal="center"/>
    </xf>
    <xf numFmtId="164" fontId="22" fillId="0" borderId="16" xfId="43" applyNumberFormat="1" applyFont="1" applyBorder="1" applyAlignment="1">
      <alignment horizontal="center"/>
    </xf>
    <xf numFmtId="164" fontId="22" fillId="0" borderId="47" xfId="43" applyNumberFormat="1" applyFont="1" applyBorder="1"/>
    <xf numFmtId="164" fontId="22" fillId="0" borderId="18" xfId="43" applyNumberFormat="1" applyFont="1" applyBorder="1" applyAlignment="1">
      <alignment horizontal="center"/>
    </xf>
    <xf numFmtId="164" fontId="22" fillId="0" borderId="15" xfId="43" applyNumberFormat="1" applyFont="1" applyFill="1" applyBorder="1" applyAlignment="1">
      <alignment horizontal="center"/>
    </xf>
    <xf numFmtId="164" fontId="22" fillId="0" borderId="21" xfId="43" applyNumberFormat="1" applyFont="1" applyFill="1" applyBorder="1" applyAlignment="1">
      <alignment horizontal="center"/>
    </xf>
    <xf numFmtId="164" fontId="22" fillId="0" borderId="0" xfId="43" applyNumberFormat="1" applyFont="1" applyBorder="1" applyAlignment="1">
      <alignment horizontal="center"/>
    </xf>
    <xf numFmtId="164" fontId="22" fillId="0" borderId="20" xfId="43" applyNumberFormat="1" applyFont="1" applyFill="1" applyBorder="1" applyAlignment="1">
      <alignment horizontal="center"/>
    </xf>
    <xf numFmtId="164" fontId="22" fillId="0" borderId="21" xfId="43" applyNumberFormat="1" applyFont="1" applyBorder="1" applyAlignment="1">
      <alignment horizontal="center"/>
    </xf>
    <xf numFmtId="164" fontId="28" fillId="0" borderId="15" xfId="43" applyNumberFormat="1" applyFont="1" applyBorder="1" applyAlignment="1">
      <alignment horizontal="center" vertical="center"/>
    </xf>
    <xf numFmtId="164" fontId="22" fillId="0" borderId="15" xfId="43" applyNumberFormat="1" applyFont="1" applyBorder="1" applyAlignment="1">
      <alignment horizontal="center" vertical="center"/>
    </xf>
    <xf numFmtId="164" fontId="22" fillId="0" borderId="20" xfId="43" applyNumberFormat="1" applyFont="1" applyBorder="1"/>
    <xf numFmtId="164" fontId="27" fillId="0" borderId="15" xfId="43" applyNumberFormat="1" applyFont="1" applyBorder="1" applyAlignment="1">
      <alignment horizontal="center" vertical="center"/>
    </xf>
    <xf numFmtId="164" fontId="20" fillId="0" borderId="15" xfId="43" applyNumberFormat="1" applyFont="1" applyBorder="1"/>
    <xf numFmtId="164" fontId="20" fillId="0" borderId="20" xfId="43" applyNumberFormat="1" applyFont="1" applyBorder="1"/>
    <xf numFmtId="164" fontId="28" fillId="0" borderId="44" xfId="43" applyNumberFormat="1" applyFont="1" applyBorder="1" applyAlignment="1">
      <alignment horizontal="center"/>
    </xf>
    <xf numFmtId="164" fontId="28" fillId="0" borderId="17" xfId="43" applyNumberFormat="1" applyFont="1" applyBorder="1" applyAlignment="1">
      <alignment horizontal="center"/>
    </xf>
    <xf numFmtId="164" fontId="22" fillId="0" borderId="16" xfId="43" applyNumberFormat="1" applyFont="1" applyBorder="1"/>
    <xf numFmtId="164" fontId="20" fillId="0" borderId="25" xfId="43" applyNumberFormat="1" applyFont="1" applyBorder="1"/>
    <xf numFmtId="164" fontId="20" fillId="0" borderId="26" xfId="43" applyNumberFormat="1" applyFont="1" applyBorder="1"/>
    <xf numFmtId="164" fontId="22" fillId="0" borderId="21" xfId="43" applyNumberFormat="1" applyFont="1" applyBorder="1"/>
    <xf numFmtId="164" fontId="22" fillId="0" borderId="27" xfId="43" applyNumberFormat="1" applyFont="1" applyBorder="1"/>
    <xf numFmtId="164" fontId="22" fillId="0" borderId="34" xfId="43" applyNumberFormat="1" applyFont="1" applyBorder="1" applyAlignment="1">
      <alignment horizontal="center"/>
    </xf>
    <xf numFmtId="164" fontId="22" fillId="0" borderId="30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164" fontId="22" fillId="0" borderId="32" xfId="43" applyNumberFormat="1" applyFont="1" applyBorder="1" applyAlignment="1">
      <alignment horizontal="center"/>
    </xf>
    <xf numFmtId="164" fontId="22" fillId="0" borderId="33" xfId="43" applyNumberFormat="1" applyFont="1" applyBorder="1" applyAlignment="1">
      <alignment horizontal="center"/>
    </xf>
    <xf numFmtId="164" fontId="22" fillId="0" borderId="28" xfId="43" applyNumberFormat="1" applyFont="1" applyBorder="1" applyAlignment="1">
      <alignment horizontal="center"/>
    </xf>
    <xf numFmtId="164" fontId="22" fillId="0" borderId="26" xfId="43" applyNumberFormat="1" applyFont="1" applyBorder="1" applyAlignment="1">
      <alignment horizontal="center"/>
    </xf>
    <xf numFmtId="164" fontId="22" fillId="0" borderId="37" xfId="43" applyNumberFormat="1" applyFont="1" applyBorder="1" applyAlignment="1">
      <alignment horizontal="center"/>
    </xf>
    <xf numFmtId="164" fontId="22" fillId="0" borderId="27" xfId="43" applyNumberFormat="1" applyFont="1" applyBorder="1" applyAlignment="1">
      <alignment horizontal="center"/>
    </xf>
    <xf numFmtId="164" fontId="22" fillId="0" borderId="15" xfId="43" applyNumberFormat="1" applyFont="1" applyBorder="1" applyAlignment="1">
      <alignment horizontal="center"/>
    </xf>
    <xf numFmtId="164" fontId="22" fillId="0" borderId="36" xfId="43" applyNumberFormat="1" applyFont="1" applyBorder="1" applyAlignment="1">
      <alignment horizontal="center"/>
    </xf>
    <xf numFmtId="164" fontId="22" fillId="0" borderId="19" xfId="43" applyNumberFormat="1" applyFont="1" applyBorder="1"/>
    <xf numFmtId="164" fontId="30" fillId="0" borderId="17" xfId="43" applyNumberFormat="1" applyFont="1" applyBorder="1"/>
    <xf numFmtId="164" fontId="22" fillId="0" borderId="17" xfId="43" applyNumberFormat="1" applyFont="1" applyBorder="1" applyAlignment="1">
      <alignment horizontal="right"/>
    </xf>
    <xf numFmtId="164" fontId="30" fillId="0" borderId="17" xfId="43" applyNumberFormat="1" applyFont="1" applyFill="1" applyBorder="1" applyAlignment="1">
      <alignment horizontal="left"/>
    </xf>
    <xf numFmtId="164" fontId="29" fillId="0" borderId="34" xfId="43" applyNumberFormat="1" applyFont="1" applyBorder="1" applyAlignment="1">
      <alignment horizontal="center"/>
    </xf>
    <xf numFmtId="164" fontId="29" fillId="0" borderId="30" xfId="43" applyNumberFormat="1" applyFont="1" applyFill="1" applyBorder="1"/>
    <xf numFmtId="164" fontId="29" fillId="0" borderId="30" xfId="43" applyNumberFormat="1" applyFont="1" applyBorder="1" applyAlignment="1">
      <alignment horizontal="right"/>
    </xf>
    <xf numFmtId="164" fontId="29" fillId="0" borderId="32" xfId="43" applyNumberFormat="1" applyFont="1" applyBorder="1"/>
    <xf numFmtId="164" fontId="29" fillId="0" borderId="35" xfId="43" applyNumberFormat="1" applyFont="1" applyBorder="1"/>
    <xf numFmtId="164" fontId="29" fillId="0" borderId="34" xfId="43" applyNumberFormat="1" applyFont="1" applyBorder="1"/>
    <xf numFmtId="164" fontId="29" fillId="0" borderId="37" xfId="43" applyNumberFormat="1" applyFont="1" applyBorder="1"/>
    <xf numFmtId="164" fontId="20" fillId="0" borderId="36" xfId="43" applyNumberFormat="1" applyFont="1" applyBorder="1"/>
    <xf numFmtId="164" fontId="22" fillId="0" borderId="36" xfId="43" applyNumberFormat="1" applyFont="1" applyBorder="1" applyAlignment="1">
      <alignment horizontal="right"/>
    </xf>
    <xf numFmtId="164" fontId="37" fillId="0" borderId="0" xfId="43" applyNumberFormat="1" applyFont="1"/>
    <xf numFmtId="164" fontId="22" fillId="0" borderId="17" xfId="43" applyNumberFormat="1" applyFont="1" applyFill="1" applyBorder="1"/>
    <xf numFmtId="164" fontId="29" fillId="0" borderId="32" xfId="43" applyNumberFormat="1" applyFont="1" applyBorder="1" applyAlignment="1">
      <alignment horizontal="right"/>
    </xf>
    <xf numFmtId="164" fontId="29" fillId="0" borderId="33" xfId="43" applyNumberFormat="1" applyFont="1" applyBorder="1" applyAlignment="1">
      <alignment horizontal="right"/>
    </xf>
    <xf numFmtId="164" fontId="29" fillId="0" borderId="35" xfId="43" applyNumberFormat="1" applyFont="1" applyBorder="1" applyAlignment="1">
      <alignment horizontal="right"/>
    </xf>
    <xf numFmtId="164" fontId="29" fillId="0" borderId="34" xfId="43" applyNumberFormat="1" applyFont="1" applyBorder="1" applyAlignment="1">
      <alignment horizontal="right"/>
    </xf>
    <xf numFmtId="164" fontId="29" fillId="0" borderId="37" xfId="43" applyNumberFormat="1" applyFont="1" applyBorder="1" applyAlignment="1">
      <alignment horizontal="right"/>
    </xf>
    <xf numFmtId="164" fontId="22" fillId="0" borderId="15" xfId="43" applyNumberFormat="1" applyFont="1" applyBorder="1" applyAlignment="1">
      <alignment horizontal="right"/>
    </xf>
    <xf numFmtId="164" fontId="22" fillId="0" borderId="0" xfId="43" applyNumberFormat="1" applyFont="1" applyBorder="1" applyAlignment="1">
      <alignment horizontal="right"/>
    </xf>
    <xf numFmtId="164" fontId="22" fillId="0" borderId="15" xfId="43" applyNumberFormat="1" applyFont="1" applyFill="1" applyBorder="1" applyAlignment="1">
      <alignment horizontal="right"/>
    </xf>
    <xf numFmtId="164" fontId="29" fillId="0" borderId="30" xfId="43" applyNumberFormat="1" applyFont="1" applyBorder="1"/>
    <xf numFmtId="164" fontId="29" fillId="0" borderId="15" xfId="43" applyNumberFormat="1" applyFont="1" applyBorder="1"/>
    <xf numFmtId="164" fontId="29" fillId="0" borderId="17" xfId="43" applyNumberFormat="1" applyFont="1" applyBorder="1"/>
    <xf numFmtId="164" fontId="29" fillId="0" borderId="17" xfId="43" applyNumberFormat="1" applyFont="1" applyBorder="1" applyAlignment="1">
      <alignment horizontal="right"/>
    </xf>
    <xf numFmtId="164" fontId="29" fillId="0" borderId="0" xfId="43" applyNumberFormat="1" applyFont="1" applyBorder="1" applyAlignment="1">
      <alignment horizontal="right"/>
    </xf>
    <xf numFmtId="164" fontId="29" fillId="0" borderId="15" xfId="43" applyNumberFormat="1" applyFont="1" applyBorder="1" applyAlignment="1">
      <alignment horizontal="right"/>
    </xf>
    <xf numFmtId="164" fontId="29" fillId="0" borderId="19" xfId="43" applyNumberFormat="1" applyFont="1" applyBorder="1" applyAlignment="1">
      <alignment horizontal="right"/>
    </xf>
    <xf numFmtId="164" fontId="30" fillId="0" borderId="30" xfId="43" applyNumberFormat="1" applyFont="1" applyBorder="1"/>
    <xf numFmtId="164" fontId="31" fillId="0" borderId="30" xfId="43" applyNumberFormat="1" applyFont="1" applyBorder="1" applyAlignment="1">
      <alignment horizontal="right"/>
    </xf>
    <xf numFmtId="164" fontId="22" fillId="0" borderId="29" xfId="43" applyNumberFormat="1" applyFont="1" applyBorder="1" applyAlignment="1">
      <alignment horizontal="right"/>
    </xf>
    <xf numFmtId="164" fontId="22" fillId="0" borderId="33" xfId="43" applyNumberFormat="1" applyFont="1" applyBorder="1" applyAlignment="1">
      <alignment horizontal="right"/>
    </xf>
    <xf numFmtId="164" fontId="31" fillId="0" borderId="33" xfId="43" applyNumberFormat="1" applyFont="1" applyBorder="1" applyAlignment="1">
      <alignment horizontal="right"/>
    </xf>
    <xf numFmtId="164" fontId="31" fillId="0" borderId="34" xfId="43" applyNumberFormat="1" applyFont="1" applyBorder="1" applyAlignment="1">
      <alignment horizontal="right"/>
    </xf>
    <xf numFmtId="164" fontId="32" fillId="0" borderId="17" xfId="43" applyNumberFormat="1" applyFont="1" applyBorder="1"/>
    <xf numFmtId="164" fontId="29" fillId="0" borderId="12" xfId="43" applyNumberFormat="1" applyFont="1" applyBorder="1" applyAlignment="1">
      <alignment horizontal="center" wrapText="1"/>
    </xf>
    <xf numFmtId="164" fontId="29" fillId="0" borderId="40" xfId="43" applyNumberFormat="1" applyFont="1" applyBorder="1" applyAlignment="1">
      <alignment wrapText="1"/>
    </xf>
    <xf numFmtId="164" fontId="29" fillId="0" borderId="40" xfId="43" applyNumberFormat="1" applyFont="1" applyBorder="1" applyAlignment="1">
      <alignment horizontal="right"/>
    </xf>
    <xf numFmtId="164" fontId="29" fillId="0" borderId="45" xfId="43" applyNumberFormat="1" applyFont="1" applyBorder="1" applyAlignment="1">
      <alignment horizontal="right"/>
    </xf>
    <xf numFmtId="164" fontId="29" fillId="0" borderId="39" xfId="43" applyNumberFormat="1" applyFont="1" applyBorder="1" applyAlignment="1">
      <alignment horizontal="right"/>
    </xf>
    <xf numFmtId="164" fontId="29" fillId="0" borderId="12" xfId="43" applyNumberFormat="1" applyFont="1" applyBorder="1" applyAlignment="1">
      <alignment horizontal="right"/>
    </xf>
    <xf numFmtId="164" fontId="20" fillId="0" borderId="44" xfId="43" applyNumberFormat="1" applyFont="1" applyBorder="1"/>
    <xf numFmtId="164" fontId="22" fillId="0" borderId="44" xfId="43" applyNumberFormat="1" applyFont="1" applyBorder="1" applyAlignment="1">
      <alignment horizontal="right"/>
    </xf>
    <xf numFmtId="164" fontId="22" fillId="0" borderId="43" xfId="43" applyNumberFormat="1" applyFont="1" applyBorder="1"/>
    <xf numFmtId="164" fontId="22" fillId="0" borderId="25" xfId="43" applyNumberFormat="1" applyFont="1" applyBorder="1"/>
    <xf numFmtId="164" fontId="22" fillId="0" borderId="48" xfId="43" applyNumberFormat="1" applyFont="1" applyBorder="1"/>
    <xf numFmtId="164" fontId="26" fillId="0" borderId="34" xfId="43" applyNumberFormat="1" applyFont="1" applyBorder="1" applyAlignment="1">
      <alignment horizontal="center"/>
    </xf>
    <xf numFmtId="164" fontId="22" fillId="0" borderId="30" xfId="43" applyNumberFormat="1" applyFont="1" applyBorder="1"/>
    <xf numFmtId="164" fontId="22" fillId="0" borderId="28" xfId="43" applyNumberFormat="1" applyFont="1" applyBorder="1"/>
    <xf numFmtId="164" fontId="22" fillId="0" borderId="29" xfId="43" applyNumberFormat="1" applyFont="1" applyBorder="1"/>
    <xf numFmtId="164" fontId="22" fillId="0" borderId="32" xfId="43" applyNumberFormat="1" applyFont="1" applyBorder="1"/>
    <xf numFmtId="164" fontId="22" fillId="0" borderId="37" xfId="43" applyNumberFormat="1" applyFont="1" applyBorder="1"/>
    <xf numFmtId="164" fontId="22" fillId="0" borderId="34" xfId="43" applyNumberFormat="1" applyFont="1" applyBorder="1"/>
    <xf numFmtId="164" fontId="22" fillId="0" borderId="33" xfId="43" applyNumberFormat="1" applyFont="1" applyBorder="1"/>
    <xf numFmtId="164" fontId="26" fillId="0" borderId="40" xfId="43" applyNumberFormat="1" applyFont="1" applyBorder="1" applyAlignment="1">
      <alignment horizontal="center"/>
    </xf>
    <xf numFmtId="164" fontId="36" fillId="0" borderId="40" xfId="43" applyNumberFormat="1" applyFont="1" applyBorder="1"/>
    <xf numFmtId="164" fontId="36" fillId="0" borderId="40" xfId="43" applyNumberFormat="1" applyFont="1" applyBorder="1" applyAlignment="1">
      <alignment horizontal="right"/>
    </xf>
    <xf numFmtId="164" fontId="36" fillId="0" borderId="42" xfId="43" applyNumberFormat="1" applyFont="1" applyBorder="1"/>
    <xf numFmtId="164" fontId="36" fillId="0" borderId="39" xfId="43" applyNumberFormat="1" applyFont="1" applyBorder="1"/>
    <xf numFmtId="164" fontId="36" fillId="0" borderId="12" xfId="43" applyNumberFormat="1" applyFont="1" applyBorder="1"/>
    <xf numFmtId="164" fontId="20" fillId="0" borderId="0" xfId="43" applyNumberFormat="1" applyFont="1" applyBorder="1"/>
    <xf numFmtId="164" fontId="22" fillId="0" borderId="0" xfId="43" applyNumberFormat="1" applyFont="1" applyAlignment="1">
      <alignment horizontal="right"/>
    </xf>
    <xf numFmtId="164" fontId="36" fillId="0" borderId="0" xfId="43" applyNumberFormat="1" applyFont="1" applyBorder="1"/>
    <xf numFmtId="164" fontId="22" fillId="0" borderId="0" xfId="43" applyNumberFormat="1" applyFont="1" applyAlignment="1"/>
    <xf numFmtId="164" fontId="36" fillId="0" borderId="0" xfId="43" applyNumberFormat="1" applyFont="1" applyAlignment="1">
      <alignment horizontal="right"/>
    </xf>
    <xf numFmtId="164" fontId="33" fillId="0" borderId="0" xfId="43" applyNumberFormat="1" applyFont="1"/>
    <xf numFmtId="164" fontId="19" fillId="24" borderId="0" xfId="43" applyNumberFormat="1" applyFont="1" applyFill="1" applyBorder="1" applyAlignment="1">
      <alignment horizontal="right"/>
    </xf>
    <xf numFmtId="164" fontId="33" fillId="0" borderId="0" xfId="43" applyNumberFormat="1" applyFont="1" applyAlignment="1"/>
    <xf numFmtId="164" fontId="23" fillId="0" borderId="0" xfId="43" applyNumberFormat="1" applyFont="1" applyBorder="1"/>
    <xf numFmtId="164" fontId="21" fillId="0" borderId="17" xfId="43" applyNumberFormat="1" applyFont="1" applyBorder="1" applyAlignment="1"/>
    <xf numFmtId="164" fontId="26" fillId="0" borderId="15" xfId="43" applyNumberFormat="1" applyFont="1" applyBorder="1" applyAlignment="1">
      <alignment horizontal="center"/>
    </xf>
    <xf numFmtId="164" fontId="26" fillId="0" borderId="18" xfId="43" applyNumberFormat="1" applyFont="1" applyBorder="1" applyAlignment="1">
      <alignment horizontal="center"/>
    </xf>
    <xf numFmtId="164" fontId="29" fillId="0" borderId="15" xfId="43" applyNumberFormat="1" applyFont="1" applyBorder="1" applyAlignment="1">
      <alignment horizontal="center"/>
    </xf>
    <xf numFmtId="164" fontId="20" fillId="0" borderId="16" xfId="43" applyNumberFormat="1" applyFont="1" applyBorder="1"/>
    <xf numFmtId="164" fontId="20" fillId="0" borderId="46" xfId="43" applyNumberFormat="1" applyFont="1" applyBorder="1"/>
    <xf numFmtId="164" fontId="20" fillId="0" borderId="18" xfId="43" applyNumberFormat="1" applyFont="1" applyBorder="1"/>
    <xf numFmtId="164" fontId="34" fillId="0" borderId="10" xfId="43" applyNumberFormat="1" applyFont="1" applyBorder="1" applyAlignment="1">
      <alignment horizontal="center"/>
    </xf>
    <xf numFmtId="164" fontId="22" fillId="0" borderId="18" xfId="43" applyNumberFormat="1" applyFont="1" applyBorder="1"/>
    <xf numFmtId="164" fontId="22" fillId="0" borderId="0" xfId="43" applyNumberFormat="1" applyFont="1" applyFill="1" applyBorder="1" applyAlignment="1">
      <alignment horizontal="center"/>
    </xf>
    <xf numFmtId="164" fontId="22" fillId="0" borderId="16" xfId="43" applyNumberFormat="1" applyFont="1" applyFill="1" applyBorder="1" applyAlignment="1">
      <alignment horizontal="center"/>
    </xf>
    <xf numFmtId="164" fontId="31" fillId="0" borderId="15" xfId="43" applyNumberFormat="1" applyFont="1" applyFill="1" applyBorder="1" applyAlignment="1">
      <alignment horizontal="center"/>
    </xf>
    <xf numFmtId="164" fontId="29" fillId="0" borderId="15" xfId="43" applyNumberFormat="1" applyFont="1" applyBorder="1" applyAlignment="1">
      <alignment horizontal="center" vertical="center"/>
    </xf>
    <xf numFmtId="164" fontId="34" fillId="0" borderId="15" xfId="43" applyNumberFormat="1" applyFont="1" applyFill="1" applyBorder="1" applyAlignment="1">
      <alignment horizontal="center"/>
    </xf>
    <xf numFmtId="164" fontId="22" fillId="0" borderId="51" xfId="43" applyNumberFormat="1" applyFont="1" applyBorder="1"/>
    <xf numFmtId="164" fontId="22" fillId="0" borderId="52" xfId="43" applyNumberFormat="1" applyFont="1" applyBorder="1"/>
    <xf numFmtId="164" fontId="30" fillId="0" borderId="36" xfId="43" applyNumberFormat="1" applyFont="1" applyBorder="1"/>
    <xf numFmtId="164" fontId="29" fillId="0" borderId="29" xfId="43" applyNumberFormat="1" applyFont="1" applyBorder="1" applyAlignment="1">
      <alignment horizontal="right"/>
    </xf>
    <xf numFmtId="164" fontId="29" fillId="0" borderId="52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164" fontId="22" fillId="0" borderId="32" xfId="43" applyNumberFormat="1" applyFont="1" applyBorder="1" applyAlignment="1">
      <alignment horizontal="right"/>
    </xf>
    <xf numFmtId="164" fontId="31" fillId="0" borderId="35" xfId="43" applyNumberFormat="1" applyFont="1" applyBorder="1" applyAlignment="1">
      <alignment horizontal="right"/>
    </xf>
    <xf numFmtId="164" fontId="22" fillId="0" borderId="35" xfId="43" applyNumberFormat="1" applyFont="1" applyBorder="1" applyAlignment="1">
      <alignment horizontal="right"/>
    </xf>
    <xf numFmtId="164" fontId="31" fillId="0" borderId="37" xfId="43" applyNumberFormat="1" applyFont="1" applyBorder="1" applyAlignment="1">
      <alignment horizontal="right"/>
    </xf>
    <xf numFmtId="164" fontId="36" fillId="0" borderId="54" xfId="43" applyNumberFormat="1" applyFont="1" applyBorder="1"/>
    <xf numFmtId="164" fontId="22" fillId="0" borderId="12" xfId="43" applyNumberFormat="1" applyFont="1" applyBorder="1"/>
    <xf numFmtId="164" fontId="22" fillId="0" borderId="45" xfId="43" applyNumberFormat="1" applyFont="1" applyBorder="1"/>
    <xf numFmtId="164" fontId="22" fillId="0" borderId="39" xfId="43" applyNumberFormat="1" applyFont="1" applyBorder="1"/>
    <xf numFmtId="164" fontId="22" fillId="0" borderId="49" xfId="43" applyNumberFormat="1" applyFont="1" applyBorder="1"/>
    <xf numFmtId="164" fontId="22" fillId="0" borderId="53" xfId="43" applyNumberFormat="1" applyFont="1" applyBorder="1"/>
    <xf numFmtId="164" fontId="22" fillId="0" borderId="35" xfId="43" applyNumberFormat="1" applyFont="1" applyBorder="1"/>
    <xf numFmtId="164" fontId="22" fillId="0" borderId="38" xfId="43" applyNumberFormat="1" applyFont="1" applyBorder="1"/>
    <xf numFmtId="164" fontId="22" fillId="0" borderId="50" xfId="43" applyNumberFormat="1" applyFont="1" applyBorder="1"/>
    <xf numFmtId="164" fontId="26" fillId="0" borderId="12" xfId="43" applyNumberFormat="1" applyFont="1" applyBorder="1" applyAlignment="1">
      <alignment horizontal="center"/>
    </xf>
    <xf numFmtId="164" fontId="36" fillId="0" borderId="12" xfId="43" applyNumberFormat="1" applyFont="1" applyBorder="1" applyAlignment="1">
      <alignment horizontal="right"/>
    </xf>
    <xf numFmtId="164" fontId="36" fillId="0" borderId="42" xfId="43" applyNumberFormat="1" applyFont="1" applyBorder="1" applyAlignment="1">
      <alignment horizontal="right"/>
    </xf>
    <xf numFmtId="164" fontId="36" fillId="0" borderId="39" xfId="43" applyNumberFormat="1" applyFont="1" applyBorder="1" applyAlignment="1">
      <alignment horizontal="right"/>
    </xf>
    <xf numFmtId="164" fontId="29" fillId="0" borderId="0" xfId="43" applyNumberFormat="1" applyFont="1"/>
    <xf numFmtId="164" fontId="20" fillId="0" borderId="0" xfId="43" applyNumberFormat="1" applyFont="1" applyFill="1"/>
    <xf numFmtId="164" fontId="30" fillId="0" borderId="17" xfId="43" applyNumberFormat="1" applyFont="1" applyFill="1" applyBorder="1"/>
    <xf numFmtId="164" fontId="22" fillId="0" borderId="17" xfId="43" applyNumberFormat="1" applyFont="1" applyFill="1" applyBorder="1" applyAlignment="1">
      <alignment horizontal="right"/>
    </xf>
    <xf numFmtId="164" fontId="22" fillId="0" borderId="0" xfId="43" applyNumberFormat="1" applyFont="1" applyFill="1" applyBorder="1"/>
    <xf numFmtId="164" fontId="22" fillId="0" borderId="15" xfId="43" applyNumberFormat="1" applyFont="1" applyFill="1" applyBorder="1"/>
    <xf numFmtId="164" fontId="22" fillId="0" borderId="19" xfId="43" applyNumberFormat="1" applyFont="1" applyFill="1" applyBorder="1"/>
    <xf numFmtId="164" fontId="29" fillId="0" borderId="28" xfId="43" applyNumberFormat="1" applyFont="1" applyBorder="1"/>
    <xf numFmtId="164" fontId="29" fillId="0" borderId="31" xfId="43" applyNumberFormat="1" applyFont="1" applyBorder="1" applyAlignment="1">
      <alignment horizontal="right"/>
    </xf>
    <xf numFmtId="164" fontId="29" fillId="0" borderId="41" xfId="43" applyNumberFormat="1" applyFont="1" applyBorder="1" applyAlignment="1">
      <alignment horizontal="right"/>
    </xf>
    <xf numFmtId="164" fontId="29" fillId="0" borderId="28" xfId="43" applyNumberFormat="1" applyFont="1" applyBorder="1" applyAlignment="1">
      <alignment horizontal="right"/>
    </xf>
    <xf numFmtId="164" fontId="20" fillId="0" borderId="0" xfId="43" applyNumberFormat="1" applyFont="1" applyAlignment="1">
      <alignment horizontal="right"/>
    </xf>
    <xf numFmtId="164" fontId="26" fillId="0" borderId="0" xfId="43" applyNumberFormat="1" applyFont="1" applyAlignment="1">
      <alignment horizontal="center"/>
    </xf>
    <xf numFmtId="164" fontId="26" fillId="0" borderId="41" xfId="43" applyNumberFormat="1" applyFont="1" applyBorder="1" applyAlignment="1">
      <alignment horizontal="center"/>
    </xf>
    <xf numFmtId="164" fontId="26" fillId="0" borderId="13" xfId="43" applyNumberFormat="1" applyFont="1" applyBorder="1" applyAlignment="1">
      <alignment horizontal="center"/>
    </xf>
    <xf numFmtId="164" fontId="24" fillId="0" borderId="23" xfId="43" applyNumberFormat="1" applyFont="1" applyBorder="1" applyAlignment="1">
      <alignment horizontal="center"/>
    </xf>
    <xf numFmtId="164" fontId="24" fillId="0" borderId="22" xfId="43" applyNumberFormat="1" applyFont="1" applyBorder="1" applyAlignment="1">
      <alignment horizontal="center"/>
    </xf>
    <xf numFmtId="164" fontId="24" fillId="0" borderId="24" xfId="43" applyNumberFormat="1" applyFont="1" applyBorder="1" applyAlignment="1">
      <alignment horizontal="center"/>
    </xf>
    <xf numFmtId="164" fontId="26" fillId="0" borderId="14" xfId="43" applyNumberFormat="1" applyFont="1" applyBorder="1" applyAlignment="1">
      <alignment horizontal="center"/>
    </xf>
    <xf numFmtId="164" fontId="26" fillId="0" borderId="12" xfId="43" applyNumberFormat="1" applyFont="1" applyBorder="1" applyAlignment="1">
      <alignment horizontal="center"/>
    </xf>
    <xf numFmtId="164" fontId="35" fillId="0" borderId="12" xfId="43" applyNumberFormat="1" applyFont="1" applyBorder="1" applyAlignment="1">
      <alignment horizontal="center"/>
    </xf>
    <xf numFmtId="164" fontId="35" fillId="0" borderId="41" xfId="43" applyNumberFormat="1" applyFont="1" applyBorder="1" applyAlignment="1">
      <alignment horizontal="center"/>
    </xf>
    <xf numFmtId="164" fontId="35" fillId="0" borderId="13" xfId="43" applyNumberFormat="1" applyFont="1" applyBorder="1" applyAlignment="1">
      <alignment horizontal="center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43" builtinId="3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al_KARSZJ3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8"/>
  <sheetViews>
    <sheetView zoomScale="110" zoomScaleNormal="110" workbookViewId="0">
      <pane xSplit="3" ySplit="17" topLeftCell="D39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C48" sqref="C48"/>
    </sheetView>
  </sheetViews>
  <sheetFormatPr defaultRowHeight="12.75" x14ac:dyDescent="0.2"/>
  <cols>
    <col min="1" max="1" width="7.85546875" style="1" bestFit="1" customWidth="1"/>
    <col min="2" max="2" width="30.7109375" style="1" customWidth="1"/>
    <col min="3" max="3" width="12.5703125" style="1" bestFit="1" customWidth="1"/>
    <col min="4" max="13" width="10.7109375" style="1" customWidth="1"/>
    <col min="14" max="14" width="8.7109375" style="1" customWidth="1"/>
    <col min="15" max="16" width="7.7109375" style="1" customWidth="1"/>
    <col min="17" max="16384" width="9.140625" style="1"/>
  </cols>
  <sheetData>
    <row r="1" spans="1:15" x14ac:dyDescent="0.2">
      <c r="L1" s="173" t="s">
        <v>95</v>
      </c>
      <c r="M1" s="173"/>
    </row>
    <row r="2" spans="1:15" x14ac:dyDescent="0.2">
      <c r="M2" s="2"/>
    </row>
    <row r="3" spans="1:15" x14ac:dyDescent="0.2">
      <c r="M3" s="2"/>
    </row>
    <row r="4" spans="1:15" x14ac:dyDescent="0.2">
      <c r="A4" s="174" t="s">
        <v>86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5" hidden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</row>
    <row r="6" spans="1:15" x14ac:dyDescent="0.2">
      <c r="A6" s="174" t="s">
        <v>94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4"/>
      <c r="O6" s="5"/>
    </row>
    <row r="7" spans="1:15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6"/>
      <c r="N7" s="4"/>
      <c r="O7" s="5"/>
    </row>
    <row r="8" spans="1:15" ht="13.5" thickBot="1" x14ac:dyDescent="0.25">
      <c r="A8" s="3"/>
      <c r="B8" s="4"/>
      <c r="C8" s="4"/>
      <c r="D8" s="4"/>
      <c r="E8" s="7"/>
      <c r="F8" s="4"/>
      <c r="G8" s="4"/>
      <c r="H8" s="4"/>
      <c r="I8" s="4"/>
      <c r="J8" s="4"/>
      <c r="K8" s="4"/>
      <c r="L8" s="4"/>
      <c r="M8" s="8" t="s">
        <v>0</v>
      </c>
      <c r="N8" s="4"/>
      <c r="O8" s="5"/>
    </row>
    <row r="9" spans="1:15" ht="13.5" thickBot="1" x14ac:dyDescent="0.25">
      <c r="A9" s="9"/>
      <c r="B9" s="10"/>
      <c r="C9" s="10"/>
      <c r="D9" s="175" t="s">
        <v>1</v>
      </c>
      <c r="E9" s="175"/>
      <c r="F9" s="175"/>
      <c r="G9" s="175"/>
      <c r="H9" s="175"/>
      <c r="I9" s="175"/>
      <c r="J9" s="175"/>
      <c r="K9" s="176"/>
      <c r="L9" s="11" t="s">
        <v>2</v>
      </c>
      <c r="M9" s="12"/>
    </row>
    <row r="10" spans="1:15" ht="13.5" thickBot="1" x14ac:dyDescent="0.25">
      <c r="A10" s="13"/>
      <c r="B10" s="14"/>
      <c r="C10" s="14"/>
      <c r="D10" s="177" t="s">
        <v>62</v>
      </c>
      <c r="E10" s="177"/>
      <c r="F10" s="177"/>
      <c r="G10" s="177"/>
      <c r="H10" s="177"/>
      <c r="I10" s="178" t="s">
        <v>63</v>
      </c>
      <c r="J10" s="177"/>
      <c r="K10" s="179"/>
      <c r="L10" s="15"/>
      <c r="M10" s="16"/>
    </row>
    <row r="11" spans="1:15" ht="12.75" customHeight="1" x14ac:dyDescent="0.2">
      <c r="A11" s="17"/>
      <c r="B11" s="18"/>
      <c r="C11" s="19" t="s">
        <v>3</v>
      </c>
      <c r="D11" s="20"/>
      <c r="E11" s="21" t="s">
        <v>4</v>
      </c>
      <c r="F11" s="21"/>
      <c r="G11" s="22"/>
      <c r="H11" s="22"/>
      <c r="I11" s="9"/>
      <c r="J11" s="23"/>
      <c r="K11" s="24"/>
      <c r="L11" s="25"/>
      <c r="M11" s="26"/>
    </row>
    <row r="12" spans="1:15" x14ac:dyDescent="0.2">
      <c r="A12" s="17"/>
      <c r="B12" s="19" t="s">
        <v>60</v>
      </c>
      <c r="C12" s="19" t="s">
        <v>5</v>
      </c>
      <c r="D12" s="27" t="s">
        <v>6</v>
      </c>
      <c r="E12" s="21" t="s">
        <v>7</v>
      </c>
      <c r="F12" s="21" t="s">
        <v>8</v>
      </c>
      <c r="G12" s="22" t="s">
        <v>9</v>
      </c>
      <c r="H12" s="22" t="s">
        <v>47</v>
      </c>
      <c r="I12" s="25" t="s">
        <v>11</v>
      </c>
      <c r="J12" s="28" t="s">
        <v>12</v>
      </c>
      <c r="K12" s="29" t="s">
        <v>47</v>
      </c>
      <c r="L12" s="25" t="s">
        <v>10</v>
      </c>
      <c r="M12" s="26" t="s">
        <v>13</v>
      </c>
    </row>
    <row r="13" spans="1:15" x14ac:dyDescent="0.2">
      <c r="A13" s="30"/>
      <c r="B13" s="19" t="s">
        <v>20</v>
      </c>
      <c r="C13" s="19" t="s">
        <v>14</v>
      </c>
      <c r="D13" s="27" t="s">
        <v>15</v>
      </c>
      <c r="E13" s="21" t="s">
        <v>53</v>
      </c>
      <c r="F13" s="21" t="s">
        <v>5</v>
      </c>
      <c r="G13" s="22" t="s">
        <v>16</v>
      </c>
      <c r="H13" s="22" t="s">
        <v>51</v>
      </c>
      <c r="I13" s="25"/>
      <c r="J13" s="28"/>
      <c r="K13" s="29" t="s">
        <v>18</v>
      </c>
      <c r="L13" s="25" t="s">
        <v>17</v>
      </c>
      <c r="M13" s="26" t="s">
        <v>17</v>
      </c>
    </row>
    <row r="14" spans="1:15" x14ac:dyDescent="0.2">
      <c r="A14" s="31" t="s">
        <v>19</v>
      </c>
      <c r="B14" s="19"/>
      <c r="C14" s="18"/>
      <c r="D14" s="20"/>
      <c r="E14" s="28" t="s">
        <v>21</v>
      </c>
      <c r="F14" s="21"/>
      <c r="G14" s="22" t="s">
        <v>22</v>
      </c>
      <c r="H14" s="22" t="s">
        <v>17</v>
      </c>
      <c r="I14" s="13"/>
      <c r="J14" s="32"/>
      <c r="K14" s="29" t="s">
        <v>17</v>
      </c>
      <c r="L14" s="25"/>
      <c r="M14" s="26"/>
    </row>
    <row r="15" spans="1:15" x14ac:dyDescent="0.2">
      <c r="A15" s="33"/>
      <c r="B15" s="19"/>
      <c r="C15" s="18"/>
      <c r="D15" s="20"/>
      <c r="E15" s="28" t="s">
        <v>24</v>
      </c>
      <c r="F15" s="21"/>
      <c r="G15" s="22"/>
      <c r="H15" s="22" t="s">
        <v>5</v>
      </c>
      <c r="I15" s="34"/>
      <c r="J15" s="35"/>
      <c r="K15" s="29" t="s">
        <v>5</v>
      </c>
      <c r="L15" s="25"/>
      <c r="M15" s="26"/>
    </row>
    <row r="16" spans="1:15" x14ac:dyDescent="0.2">
      <c r="A16" s="30"/>
      <c r="B16" s="36"/>
      <c r="C16" s="37"/>
      <c r="D16" s="20"/>
      <c r="E16" s="28" t="s">
        <v>25</v>
      </c>
      <c r="F16" s="21"/>
      <c r="G16" s="20"/>
      <c r="H16" s="38"/>
      <c r="I16" s="39"/>
      <c r="J16" s="40"/>
      <c r="K16" s="41"/>
      <c r="L16" s="13"/>
      <c r="M16" s="42"/>
    </row>
    <row r="17" spans="1:18" x14ac:dyDescent="0.2">
      <c r="A17" s="43">
        <v>1</v>
      </c>
      <c r="B17" s="44">
        <v>2</v>
      </c>
      <c r="C17" s="44">
        <v>3</v>
      </c>
      <c r="D17" s="45">
        <v>4</v>
      </c>
      <c r="E17" s="46">
        <v>5</v>
      </c>
      <c r="F17" s="46">
        <v>6</v>
      </c>
      <c r="G17" s="46">
        <v>7</v>
      </c>
      <c r="H17" s="47">
        <v>8</v>
      </c>
      <c r="I17" s="48">
        <v>9</v>
      </c>
      <c r="J17" s="49">
        <v>10</v>
      </c>
      <c r="K17" s="50">
        <v>11</v>
      </c>
      <c r="L17" s="43">
        <v>12</v>
      </c>
      <c r="M17" s="51">
        <v>13</v>
      </c>
    </row>
    <row r="18" spans="1:18" x14ac:dyDescent="0.2">
      <c r="A18" s="52"/>
      <c r="B18" s="19"/>
      <c r="C18" s="53"/>
      <c r="D18" s="20"/>
      <c r="E18" s="20"/>
      <c r="F18" s="20"/>
      <c r="G18" s="20"/>
      <c r="H18" s="20"/>
      <c r="I18" s="13"/>
      <c r="J18" s="20"/>
      <c r="K18" s="54"/>
      <c r="L18" s="13"/>
      <c r="M18" s="54"/>
    </row>
    <row r="19" spans="1:18" x14ac:dyDescent="0.2">
      <c r="A19" s="52" t="s">
        <v>64</v>
      </c>
      <c r="B19" s="55" t="s">
        <v>27</v>
      </c>
      <c r="C19" s="56">
        <f>SUM(D19:M19)</f>
        <v>7724.5529999998835</v>
      </c>
      <c r="D19" s="20">
        <f>3673.5519999999+964.191+974.936</f>
        <v>5612.6789999999</v>
      </c>
      <c r="E19" s="20">
        <f>872.524999999994+168.734+170.614</f>
        <v>1211.8729999999939</v>
      </c>
      <c r="F19" s="20">
        <f>735.000999999989-231</f>
        <v>504.00099999998895</v>
      </c>
      <c r="G19" s="20"/>
      <c r="H19" s="20"/>
      <c r="I19" s="13">
        <f>165+231</f>
        <v>396</v>
      </c>
      <c r="J19" s="20"/>
      <c r="K19" s="54"/>
      <c r="L19" s="13"/>
      <c r="M19" s="54"/>
    </row>
    <row r="20" spans="1:18" x14ac:dyDescent="0.2">
      <c r="A20" s="13"/>
      <c r="B20" s="57"/>
      <c r="C20" s="56"/>
      <c r="D20" s="20"/>
      <c r="E20" s="20"/>
      <c r="F20" s="20"/>
      <c r="G20" s="20"/>
      <c r="H20" s="20"/>
      <c r="I20" s="13"/>
      <c r="J20" s="20"/>
      <c r="K20" s="54"/>
      <c r="L20" s="13"/>
      <c r="M20" s="54"/>
    </row>
    <row r="21" spans="1:18" x14ac:dyDescent="0.2">
      <c r="A21" s="58" t="s">
        <v>26</v>
      </c>
      <c r="B21" s="59" t="s">
        <v>80</v>
      </c>
      <c r="C21" s="60">
        <f t="shared" ref="C21:I21" si="0">SUM(C19:C20)</f>
        <v>7724.5529999998835</v>
      </c>
      <c r="D21" s="169">
        <f t="shared" si="0"/>
        <v>5612.6789999999</v>
      </c>
      <c r="E21" s="61">
        <f t="shared" si="0"/>
        <v>1211.8729999999939</v>
      </c>
      <c r="F21" s="61">
        <f t="shared" si="0"/>
        <v>504.00099999998895</v>
      </c>
      <c r="G21" s="61"/>
      <c r="H21" s="64"/>
      <c r="I21" s="169">
        <f t="shared" si="0"/>
        <v>396</v>
      </c>
      <c r="J21" s="61"/>
      <c r="K21" s="62"/>
      <c r="L21" s="63"/>
      <c r="M21" s="64"/>
    </row>
    <row r="22" spans="1:18" x14ac:dyDescent="0.2">
      <c r="A22" s="13"/>
      <c r="B22" s="65"/>
      <c r="C22" s="66"/>
      <c r="D22" s="20"/>
      <c r="E22" s="20"/>
      <c r="F22" s="20"/>
      <c r="G22" s="20"/>
      <c r="H22" s="20"/>
      <c r="I22" s="13"/>
      <c r="J22" s="20"/>
      <c r="K22" s="54"/>
      <c r="L22" s="13"/>
      <c r="M22" s="54"/>
    </row>
    <row r="23" spans="1:18" x14ac:dyDescent="0.2">
      <c r="A23" s="52" t="s">
        <v>64</v>
      </c>
      <c r="B23" s="55" t="s">
        <v>28</v>
      </c>
      <c r="C23" s="56">
        <f>SUM(D23:M23)</f>
        <v>11582.608000000011</v>
      </c>
      <c r="D23" s="20">
        <f>1045.35000000001+269.615-385.795</f>
        <v>929.17000000000985</v>
      </c>
      <c r="E23" s="20">
        <f>93.2200000000012+23.591-26.374</f>
        <v>90.437000000001206</v>
      </c>
      <c r="F23" s="20">
        <f>2186.001+980</f>
        <v>3166.0010000000002</v>
      </c>
      <c r="G23" s="20"/>
      <c r="H23" s="20"/>
      <c r="I23" s="13"/>
      <c r="J23" s="20">
        <v>7397</v>
      </c>
      <c r="K23" s="54"/>
      <c r="L23" s="13"/>
      <c r="M23" s="54"/>
    </row>
    <row r="24" spans="1:18" x14ac:dyDescent="0.2">
      <c r="A24" s="52" t="s">
        <v>65</v>
      </c>
      <c r="B24" s="55" t="s">
        <v>30</v>
      </c>
      <c r="C24" s="56">
        <f>SUM(D24:M24)</f>
        <v>2526.7530000000061</v>
      </c>
      <c r="D24" s="20">
        <f>1269.39600000001+2.5-1473.5</f>
        <v>-201.60399999999004</v>
      </c>
      <c r="E24" s="20">
        <f>247.481999999996+0.438-287.563</f>
        <v>-39.643000000004008</v>
      </c>
      <c r="F24" s="20">
        <f>1004+1764</f>
        <v>2768</v>
      </c>
      <c r="G24" s="20"/>
      <c r="H24" s="20"/>
      <c r="I24" s="13"/>
      <c r="J24" s="20"/>
      <c r="K24" s="54"/>
      <c r="L24" s="13"/>
      <c r="M24" s="54"/>
    </row>
    <row r="25" spans="1:18" x14ac:dyDescent="0.2">
      <c r="A25" s="52" t="s">
        <v>66</v>
      </c>
      <c r="B25" s="55" t="s">
        <v>32</v>
      </c>
      <c r="C25" s="56">
        <f t="shared" ref="C25:C34" si="1">SUM(D25:M25)</f>
        <v>2280.1839999999934</v>
      </c>
      <c r="D25" s="20">
        <f>537.399999999994-256</f>
        <v>281.39999999999395</v>
      </c>
      <c r="E25" s="20">
        <v>104.78299999999945</v>
      </c>
      <c r="F25" s="20">
        <f>1578.001+256</f>
        <v>1834.001</v>
      </c>
      <c r="G25" s="20"/>
      <c r="H25" s="20"/>
      <c r="I25" s="13">
        <v>60</v>
      </c>
      <c r="J25" s="20"/>
      <c r="K25" s="54"/>
      <c r="L25" s="13"/>
      <c r="M25" s="54"/>
    </row>
    <row r="26" spans="1:18" x14ac:dyDescent="0.2">
      <c r="A26" s="52" t="s">
        <v>67</v>
      </c>
      <c r="B26" s="55" t="s">
        <v>34</v>
      </c>
      <c r="C26" s="56">
        <f>SUM(D26:M26)</f>
        <v>863.04200000000128</v>
      </c>
      <c r="D26" s="20">
        <f>-341.199999999997-3327</f>
        <v>-3668.1999999999971</v>
      </c>
      <c r="E26" s="20">
        <f>98.2409999999982-282-649</f>
        <v>-832.75900000000183</v>
      </c>
      <c r="F26" s="20">
        <f>1106+282+3976.001</f>
        <v>5364.0010000000002</v>
      </c>
      <c r="G26" s="20"/>
      <c r="H26" s="20"/>
      <c r="I26" s="13"/>
      <c r="J26" s="20"/>
      <c r="K26" s="54"/>
      <c r="L26" s="13"/>
      <c r="M26" s="54"/>
    </row>
    <row r="27" spans="1:18" x14ac:dyDescent="0.2">
      <c r="A27" s="52" t="s">
        <v>68</v>
      </c>
      <c r="B27" s="55" t="s">
        <v>35</v>
      </c>
      <c r="C27" s="56">
        <f>SUM(D27:M27)</f>
        <v>2228.7529999999706</v>
      </c>
      <c r="D27" s="20">
        <f>-5327.00000000003+0.3+0.3</f>
        <v>-5326.4000000000296</v>
      </c>
      <c r="E27" s="20">
        <f>-1038.952+0.052+0.053</f>
        <v>-1038.847</v>
      </c>
      <c r="F27" s="20">
        <v>8594</v>
      </c>
      <c r="G27" s="20"/>
      <c r="H27" s="20"/>
      <c r="I27" s="13"/>
      <c r="J27" s="20"/>
      <c r="K27" s="54"/>
      <c r="L27" s="13"/>
      <c r="M27" s="54"/>
    </row>
    <row r="28" spans="1:18" x14ac:dyDescent="0.2">
      <c r="A28" s="52" t="s">
        <v>69</v>
      </c>
      <c r="B28" s="55" t="s">
        <v>36</v>
      </c>
      <c r="C28" s="56">
        <f>SUM(D28:M28)</f>
        <v>20178.336000000003</v>
      </c>
      <c r="D28" s="20">
        <v>-1750.1999999999971</v>
      </c>
      <c r="E28" s="20">
        <v>-341.46399999999994</v>
      </c>
      <c r="F28" s="20">
        <v>13379.999999999998</v>
      </c>
      <c r="G28" s="20"/>
      <c r="H28" s="20"/>
      <c r="I28" s="13">
        <v>8890</v>
      </c>
      <c r="J28" s="20"/>
      <c r="K28" s="54"/>
      <c r="L28" s="13"/>
      <c r="M28" s="54"/>
      <c r="R28" s="67"/>
    </row>
    <row r="29" spans="1:18" x14ac:dyDescent="0.2">
      <c r="A29" s="52" t="s">
        <v>70</v>
      </c>
      <c r="B29" s="55" t="s">
        <v>37</v>
      </c>
      <c r="C29" s="56">
        <f t="shared" si="1"/>
        <v>1024.9540000000172</v>
      </c>
      <c r="D29" s="20">
        <f>296.800000000017+1.6+1.6</f>
        <v>300.00000000001705</v>
      </c>
      <c r="E29" s="20">
        <f>57.3940000000002+0.28+0.28</f>
        <v>57.9540000000002</v>
      </c>
      <c r="F29" s="20">
        <v>667</v>
      </c>
      <c r="G29" s="20"/>
      <c r="H29" s="20"/>
      <c r="I29" s="13"/>
      <c r="J29" s="20"/>
      <c r="K29" s="54"/>
      <c r="L29" s="13"/>
      <c r="M29" s="54"/>
    </row>
    <row r="30" spans="1:18" s="163" customFormat="1" x14ac:dyDescent="0.2">
      <c r="A30" s="25" t="s">
        <v>71</v>
      </c>
      <c r="B30" s="164" t="s">
        <v>38</v>
      </c>
      <c r="C30" s="165">
        <f t="shared" si="1"/>
        <v>9219.7379999999539</v>
      </c>
      <c r="D30" s="166">
        <f>4086.06599999996+6.9+204.9</f>
        <v>4297.86599999996</v>
      </c>
      <c r="E30" s="166">
        <f>796.583999999995+1.207+1.207</f>
        <v>798.99799999999493</v>
      </c>
      <c r="F30" s="166">
        <f>1747.101+2375.773</f>
        <v>4122.8739999999998</v>
      </c>
      <c r="G30" s="166"/>
      <c r="H30" s="166"/>
      <c r="I30" s="167"/>
      <c r="J30" s="166"/>
      <c r="K30" s="168"/>
      <c r="L30" s="167"/>
      <c r="M30" s="168"/>
    </row>
    <row r="31" spans="1:18" x14ac:dyDescent="0.2">
      <c r="A31" s="52" t="s">
        <v>74</v>
      </c>
      <c r="B31" s="55" t="s">
        <v>39</v>
      </c>
      <c r="C31" s="56">
        <f t="shared" si="1"/>
        <v>1799.9109999999901</v>
      </c>
      <c r="D31" s="20">
        <f>-5669.60000000001</f>
        <v>-5669.6000000000104</v>
      </c>
      <c r="E31" s="20">
        <v>-1084.0720000000001</v>
      </c>
      <c r="F31" s="20">
        <f>8517.001+736.582</f>
        <v>9253.5830000000005</v>
      </c>
      <c r="G31" s="20"/>
      <c r="H31" s="20"/>
      <c r="I31" s="13">
        <v>-700</v>
      </c>
      <c r="J31" s="20"/>
      <c r="K31" s="54"/>
      <c r="L31" s="13"/>
      <c r="M31" s="54"/>
    </row>
    <row r="32" spans="1:18" x14ac:dyDescent="0.2">
      <c r="A32" s="52" t="s">
        <v>72</v>
      </c>
      <c r="B32" s="55" t="s">
        <v>40</v>
      </c>
      <c r="C32" s="56">
        <f t="shared" si="1"/>
        <v>2382.6170000000056</v>
      </c>
      <c r="D32" s="20">
        <v>-4527.7099999999919</v>
      </c>
      <c r="E32" s="20">
        <v>-882.6730000000025</v>
      </c>
      <c r="F32" s="20">
        <v>7793</v>
      </c>
      <c r="G32" s="20"/>
      <c r="H32" s="20"/>
      <c r="I32" s="13"/>
      <c r="J32" s="20"/>
      <c r="K32" s="54"/>
      <c r="L32" s="13"/>
      <c r="M32" s="54"/>
    </row>
    <row r="33" spans="1:19" x14ac:dyDescent="0.2">
      <c r="A33" s="52" t="s">
        <v>73</v>
      </c>
      <c r="B33" s="55" t="s">
        <v>85</v>
      </c>
      <c r="C33" s="56">
        <f t="shared" si="1"/>
        <v>2402.7979999999993</v>
      </c>
      <c r="D33" s="20">
        <f>-459.111000000004-2960</f>
        <v>-3419.111000000004</v>
      </c>
      <c r="E33" s="20">
        <f>-55.0919999999969-390</f>
        <v>-445.09199999999691</v>
      </c>
      <c r="F33" s="20">
        <f>3006.001+3350</f>
        <v>6356.0010000000002</v>
      </c>
      <c r="G33" s="20"/>
      <c r="H33" s="20"/>
      <c r="I33" s="13">
        <v>-89</v>
      </c>
      <c r="J33" s="20"/>
      <c r="K33" s="54"/>
      <c r="L33" s="13"/>
      <c r="M33" s="54"/>
      <c r="R33" s="67"/>
    </row>
    <row r="34" spans="1:19" x14ac:dyDescent="0.2">
      <c r="A34" s="52" t="s">
        <v>87</v>
      </c>
      <c r="B34" s="55" t="s">
        <v>88</v>
      </c>
      <c r="C34" s="56">
        <f t="shared" si="1"/>
        <v>2955.8359999999921</v>
      </c>
      <c r="D34" s="20">
        <v>-1366.2000000000116</v>
      </c>
      <c r="E34" s="20">
        <v>-265.96399999999994</v>
      </c>
      <c r="F34" s="20">
        <v>4539.0000000000036</v>
      </c>
      <c r="G34" s="20"/>
      <c r="H34" s="20"/>
      <c r="I34" s="13">
        <v>49</v>
      </c>
      <c r="J34" s="20"/>
      <c r="K34" s="54"/>
      <c r="L34" s="13"/>
      <c r="M34" s="54"/>
    </row>
    <row r="35" spans="1:19" x14ac:dyDescent="0.2">
      <c r="A35" s="52"/>
      <c r="B35" s="68"/>
      <c r="C35" s="56"/>
      <c r="D35" s="20"/>
      <c r="E35" s="20"/>
      <c r="F35" s="20"/>
      <c r="G35" s="20"/>
      <c r="H35" s="20"/>
      <c r="I35" s="13"/>
      <c r="J35" s="20"/>
      <c r="K35" s="54"/>
      <c r="L35" s="13"/>
      <c r="M35" s="54"/>
    </row>
    <row r="36" spans="1:19" x14ac:dyDescent="0.2">
      <c r="A36" s="58" t="s">
        <v>29</v>
      </c>
      <c r="B36" s="59" t="s">
        <v>81</v>
      </c>
      <c r="C36" s="60">
        <f>SUM(C23:C35)</f>
        <v>59445.529999999955</v>
      </c>
      <c r="D36" s="69">
        <f>SUM(D23:D35)</f>
        <v>-20120.589000000051</v>
      </c>
      <c r="E36" s="69">
        <f t="shared" ref="E36:F36" si="2">SUM(E23:E35)</f>
        <v>-3878.3420000000092</v>
      </c>
      <c r="F36" s="69">
        <f t="shared" si="2"/>
        <v>67837.460999999996</v>
      </c>
      <c r="G36" s="69"/>
      <c r="H36" s="73"/>
      <c r="I36" s="170">
        <f t="shared" ref="I36:J36" si="3">SUM(I23:I35)</f>
        <v>8210</v>
      </c>
      <c r="J36" s="69">
        <f t="shared" si="3"/>
        <v>7397</v>
      </c>
      <c r="K36" s="71"/>
      <c r="L36" s="72"/>
      <c r="M36" s="73"/>
    </row>
    <row r="37" spans="1:19" x14ac:dyDescent="0.2">
      <c r="A37" s="13"/>
      <c r="B37" s="14"/>
      <c r="C37" s="56"/>
      <c r="D37" s="20"/>
      <c r="E37" s="20"/>
      <c r="F37" s="20"/>
      <c r="G37" s="20"/>
      <c r="H37" s="20"/>
      <c r="I37" s="13"/>
      <c r="J37" s="20"/>
      <c r="K37" s="54"/>
      <c r="L37" s="13"/>
      <c r="M37" s="54"/>
    </row>
    <row r="38" spans="1:19" x14ac:dyDescent="0.2">
      <c r="A38" s="52" t="s">
        <v>64</v>
      </c>
      <c r="B38" s="55" t="s">
        <v>41</v>
      </c>
      <c r="C38" s="56">
        <f>SUM(D38:M38)</f>
        <v>6693.2610000000013</v>
      </c>
      <c r="D38" s="74">
        <f>3394.156+794.098+794.094</f>
        <v>4982.348</v>
      </c>
      <c r="E38" s="75">
        <f>645.979000000001+138.967+138.966</f>
        <v>923.91200000000094</v>
      </c>
      <c r="F38" s="20">
        <f>817.001+759</f>
        <v>1576.001</v>
      </c>
      <c r="G38" s="20"/>
      <c r="H38" s="20"/>
      <c r="I38" s="13">
        <f>-30-759</f>
        <v>-789</v>
      </c>
      <c r="J38" s="20"/>
      <c r="K38" s="54"/>
      <c r="L38" s="13"/>
      <c r="M38" s="54"/>
    </row>
    <row r="39" spans="1:19" x14ac:dyDescent="0.2">
      <c r="A39" s="52" t="s">
        <v>65</v>
      </c>
      <c r="B39" s="55" t="s">
        <v>42</v>
      </c>
      <c r="C39" s="56">
        <f>SUM(D39:M39)</f>
        <v>916.47999999999774</v>
      </c>
      <c r="D39" s="76">
        <f>3843.545+939.737+946.236</f>
        <v>5729.518</v>
      </c>
      <c r="E39" s="75">
        <f>730.914999999997+164.455+165.591</f>
        <v>1060.9609999999971</v>
      </c>
      <c r="F39" s="20">
        <f>363+0.001</f>
        <v>363.00099999999998</v>
      </c>
      <c r="G39" s="20"/>
      <c r="H39" s="20"/>
      <c r="I39" s="13">
        <v>-6237</v>
      </c>
      <c r="J39" s="20"/>
      <c r="K39" s="54"/>
      <c r="L39" s="13"/>
      <c r="M39" s="54"/>
      <c r="S39" s="67"/>
    </row>
    <row r="40" spans="1:19" x14ac:dyDescent="0.2">
      <c r="A40" s="52" t="s">
        <v>66</v>
      </c>
      <c r="B40" s="55" t="s">
        <v>43</v>
      </c>
      <c r="C40" s="56">
        <f>SUM(D40:M40)</f>
        <v>6932.0310000000054</v>
      </c>
      <c r="D40" s="74">
        <f>3965.03200000001+862.932+850.051</f>
        <v>5678.0150000000103</v>
      </c>
      <c r="E40" s="75">
        <f>756.238999999998+148.76+151.014</f>
        <v>1056.0129999999981</v>
      </c>
      <c r="F40" s="20">
        <v>198.00299999999697</v>
      </c>
      <c r="G40" s="20"/>
      <c r="H40" s="20"/>
      <c r="I40" s="13"/>
      <c r="J40" s="20"/>
      <c r="K40" s="54"/>
      <c r="L40" s="13"/>
      <c r="M40" s="54"/>
    </row>
    <row r="41" spans="1:19" x14ac:dyDescent="0.2">
      <c r="A41" s="52" t="s">
        <v>67</v>
      </c>
      <c r="B41" s="55" t="s">
        <v>44</v>
      </c>
      <c r="C41" s="56">
        <f>SUM(D41:M41)</f>
        <v>4643.51</v>
      </c>
      <c r="D41" s="20">
        <f>2632.195+608.268+610.67</f>
        <v>3851.1330000000003</v>
      </c>
      <c r="E41" s="20">
        <f>501.064+106.446+106.867</f>
        <v>714.37699999999995</v>
      </c>
      <c r="F41" s="20">
        <f>78+948</f>
        <v>1026</v>
      </c>
      <c r="G41" s="20"/>
      <c r="H41" s="20"/>
      <c r="I41" s="13">
        <v>-948</v>
      </c>
      <c r="J41" s="20"/>
      <c r="K41" s="54"/>
      <c r="L41" s="13"/>
      <c r="M41" s="54"/>
      <c r="R41" s="67"/>
    </row>
    <row r="42" spans="1:19" x14ac:dyDescent="0.2">
      <c r="A42" s="52" t="s">
        <v>68</v>
      </c>
      <c r="B42" s="55" t="s">
        <v>91</v>
      </c>
      <c r="C42" s="56">
        <f>SUM(D42:M42)</f>
        <v>28723.850000000002</v>
      </c>
      <c r="D42" s="20">
        <f>12748.717+4755.011+3078.304</f>
        <v>20582.032000000003</v>
      </c>
      <c r="E42" s="20">
        <f>2361.743+531.569+820.506</f>
        <v>3713.8179999999998</v>
      </c>
      <c r="F42" s="20">
        <f>2492+1837</f>
        <v>4329</v>
      </c>
      <c r="G42" s="20"/>
      <c r="H42" s="20"/>
      <c r="I42" s="13">
        <v>99</v>
      </c>
      <c r="J42" s="20"/>
      <c r="K42" s="54"/>
      <c r="L42" s="13"/>
      <c r="M42" s="54"/>
    </row>
    <row r="43" spans="1:19" x14ac:dyDescent="0.2">
      <c r="A43" s="52"/>
      <c r="B43" s="14"/>
      <c r="C43" s="56"/>
      <c r="D43" s="20"/>
      <c r="E43" s="20"/>
      <c r="F43" s="20"/>
      <c r="G43" s="20"/>
      <c r="H43" s="20"/>
      <c r="I43" s="13"/>
      <c r="J43" s="20"/>
      <c r="K43" s="54"/>
      <c r="L43" s="13"/>
      <c r="M43" s="54"/>
    </row>
    <row r="44" spans="1:19" x14ac:dyDescent="0.2">
      <c r="A44" s="58" t="s">
        <v>31</v>
      </c>
      <c r="B44" s="77" t="s">
        <v>82</v>
      </c>
      <c r="C44" s="60">
        <f>SUM(C38:C43)</f>
        <v>47909.132000000012</v>
      </c>
      <c r="D44" s="69">
        <f t="shared" ref="D44:I44" si="4">SUM(D38:D43)</f>
        <v>40823.046000000017</v>
      </c>
      <c r="E44" s="69">
        <f t="shared" si="4"/>
        <v>7469.0809999999956</v>
      </c>
      <c r="F44" s="69">
        <f t="shared" si="4"/>
        <v>7492.0049999999974</v>
      </c>
      <c r="G44" s="69"/>
      <c r="H44" s="73"/>
      <c r="I44" s="170">
        <f t="shared" si="4"/>
        <v>-7875</v>
      </c>
      <c r="J44" s="69"/>
      <c r="K44" s="73"/>
      <c r="L44" s="72"/>
      <c r="M44" s="73"/>
    </row>
    <row r="45" spans="1:19" x14ac:dyDescent="0.2">
      <c r="A45" s="78"/>
      <c r="B45" s="79"/>
      <c r="C45" s="80"/>
      <c r="D45" s="81"/>
      <c r="E45" s="81"/>
      <c r="F45" s="81"/>
      <c r="G45" s="81"/>
      <c r="H45" s="81"/>
      <c r="I45" s="82"/>
      <c r="J45" s="81"/>
      <c r="K45" s="83"/>
      <c r="L45" s="82"/>
      <c r="M45" s="83"/>
    </row>
    <row r="46" spans="1:19" x14ac:dyDescent="0.2">
      <c r="A46" s="43" t="s">
        <v>33</v>
      </c>
      <c r="B46" s="84" t="s">
        <v>45</v>
      </c>
      <c r="C46" s="85">
        <f>SUM(D46:M46)</f>
        <v>11794.057999999974</v>
      </c>
      <c r="D46" s="86">
        <f>463.599999999977+24.3+28.4-0.25</f>
        <v>516.04999999997699</v>
      </c>
      <c r="E46" s="87">
        <f>89.7849999999962+4.253+4.97</f>
        <v>99.007999999996201</v>
      </c>
      <c r="F46" s="87">
        <f>0-428-50</f>
        <v>-478</v>
      </c>
      <c r="G46" s="88"/>
      <c r="H46" s="88"/>
      <c r="I46" s="89">
        <f>11179+428+50</f>
        <v>11657</v>
      </c>
      <c r="J46" s="88"/>
      <c r="K46" s="73"/>
      <c r="L46" s="72"/>
      <c r="M46" s="73"/>
      <c r="R46" s="67"/>
      <c r="S46" s="67"/>
    </row>
    <row r="47" spans="1:19" ht="13.5" thickBot="1" x14ac:dyDescent="0.25">
      <c r="A47" s="13"/>
      <c r="B47" s="90"/>
      <c r="C47" s="56"/>
      <c r="D47" s="20"/>
      <c r="E47" s="20"/>
      <c r="F47" s="20"/>
      <c r="G47" s="20"/>
      <c r="H47" s="20"/>
      <c r="I47" s="13">
        <v>0</v>
      </c>
      <c r="J47" s="20"/>
      <c r="K47" s="54"/>
      <c r="L47" s="13"/>
      <c r="M47" s="54"/>
    </row>
    <row r="48" spans="1:19" ht="22.5" thickBot="1" x14ac:dyDescent="0.25">
      <c r="A48" s="91" t="s">
        <v>75</v>
      </c>
      <c r="B48" s="92" t="s">
        <v>79</v>
      </c>
      <c r="C48" s="93">
        <f>C21+C36+C44+C46</f>
        <v>126873.27299999983</v>
      </c>
      <c r="D48" s="96">
        <f>D21+D36+D44+D46</f>
        <v>26831.185999999845</v>
      </c>
      <c r="E48" s="94">
        <f t="shared" ref="E48:J48" si="5">E21+E36+E44+E46</f>
        <v>4901.6199999999762</v>
      </c>
      <c r="F48" s="94">
        <f t="shared" si="5"/>
        <v>75355.466999999975</v>
      </c>
      <c r="G48" s="94"/>
      <c r="H48" s="95"/>
      <c r="I48" s="171">
        <f t="shared" si="5"/>
        <v>12388</v>
      </c>
      <c r="J48" s="94">
        <f t="shared" si="5"/>
        <v>7397</v>
      </c>
      <c r="K48" s="95"/>
      <c r="L48" s="96"/>
      <c r="M48" s="95"/>
    </row>
    <row r="49" spans="1:14" x14ac:dyDescent="0.2">
      <c r="A49" s="39"/>
      <c r="B49" s="97"/>
      <c r="C49" s="98"/>
      <c r="D49" s="99"/>
      <c r="E49" s="99"/>
      <c r="F49" s="99"/>
      <c r="G49" s="99"/>
      <c r="H49" s="99"/>
      <c r="I49" s="100">
        <v>0</v>
      </c>
      <c r="J49" s="99"/>
      <c r="K49" s="101"/>
      <c r="L49" s="100"/>
      <c r="M49" s="101"/>
    </row>
    <row r="50" spans="1:14" x14ac:dyDescent="0.2">
      <c r="A50" s="102" t="s">
        <v>76</v>
      </c>
      <c r="B50" s="103" t="s">
        <v>77</v>
      </c>
      <c r="C50" s="85">
        <f>SUM(D50:M50)</f>
        <v>11453.929000000002</v>
      </c>
      <c r="D50" s="104">
        <f>4267.199+976.104+999.398+2371.944</f>
        <v>8614.6450000000004</v>
      </c>
      <c r="E50" s="105">
        <f>812.12+174.895+170.818+462.529</f>
        <v>1620.3620000000001</v>
      </c>
      <c r="F50" s="106">
        <f>460.158+758.764</f>
        <v>1218.922</v>
      </c>
      <c r="G50" s="105"/>
      <c r="H50" s="107"/>
      <c r="I50" s="108">
        <v>0</v>
      </c>
      <c r="J50" s="109"/>
      <c r="K50" s="107"/>
      <c r="L50" s="108"/>
      <c r="M50" s="107"/>
    </row>
    <row r="51" spans="1:14" ht="13.5" thickBot="1" x14ac:dyDescent="0.25">
      <c r="A51" s="34"/>
      <c r="B51" s="14"/>
      <c r="C51" s="56"/>
      <c r="D51" s="20"/>
      <c r="E51" s="20"/>
      <c r="F51" s="20"/>
      <c r="G51" s="20"/>
      <c r="H51" s="20"/>
      <c r="I51" s="13"/>
      <c r="J51" s="20"/>
      <c r="K51" s="54"/>
      <c r="L51" s="13"/>
      <c r="M51" s="54"/>
    </row>
    <row r="52" spans="1:14" ht="13.5" thickBot="1" x14ac:dyDescent="0.25">
      <c r="A52" s="110" t="s">
        <v>78</v>
      </c>
      <c r="B52" s="111" t="s">
        <v>84</v>
      </c>
      <c r="C52" s="112">
        <f>C48+C50</f>
        <v>138327.20199999982</v>
      </c>
      <c r="D52" s="113">
        <f t="shared" ref="D52:I52" si="6">D48+D50</f>
        <v>35445.830999999846</v>
      </c>
      <c r="E52" s="113">
        <f t="shared" si="6"/>
        <v>6521.9819999999763</v>
      </c>
      <c r="F52" s="113">
        <f t="shared" si="6"/>
        <v>76574.388999999981</v>
      </c>
      <c r="G52" s="113"/>
      <c r="H52" s="114"/>
      <c r="I52" s="149">
        <f t="shared" si="6"/>
        <v>12388</v>
      </c>
      <c r="J52" s="113">
        <f t="shared" ref="J52" si="7">J48+J50</f>
        <v>7397</v>
      </c>
      <c r="K52" s="114"/>
      <c r="L52" s="115"/>
      <c r="M52" s="114"/>
    </row>
    <row r="53" spans="1:14" x14ac:dyDescent="0.2">
      <c r="A53" s="116"/>
      <c r="B53" s="20"/>
      <c r="C53" s="117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4" x14ac:dyDescent="0.2">
      <c r="A54" s="116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4" x14ac:dyDescent="0.2">
      <c r="A55" s="116"/>
      <c r="B55" s="20"/>
      <c r="C55" s="120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4" x14ac:dyDescent="0.2">
      <c r="A56" s="116"/>
      <c r="B56" s="20"/>
      <c r="C56" s="120"/>
      <c r="D56" s="20"/>
      <c r="E56" s="20"/>
      <c r="F56" s="20"/>
      <c r="G56" s="20"/>
      <c r="H56" s="120"/>
      <c r="I56" s="120"/>
      <c r="J56" s="120"/>
      <c r="K56" s="120"/>
      <c r="L56" s="120"/>
      <c r="M56" s="120"/>
    </row>
    <row r="57" spans="1:14" x14ac:dyDescent="0.2">
      <c r="C57" s="120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4" x14ac:dyDescent="0.2">
      <c r="C58" s="120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4" x14ac:dyDescent="0.2">
      <c r="C59" s="120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4" x14ac:dyDescent="0.2">
      <c r="C60" s="120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4" x14ac:dyDescent="0.2">
      <c r="C61" s="120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2"/>
    </row>
    <row r="62" spans="1:14" x14ac:dyDescent="0.2">
      <c r="C62" s="120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2"/>
    </row>
    <row r="63" spans="1:14" x14ac:dyDescent="0.2">
      <c r="C63" s="120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2"/>
    </row>
    <row r="64" spans="1:14" x14ac:dyDescent="0.2">
      <c r="C64" s="120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2"/>
    </row>
    <row r="65" spans="2:15" x14ac:dyDescent="0.2">
      <c r="C65" s="120">
        <f t="shared" ref="C65:C75" si="8">D65+E65+F65+G65+H65+I65+J65</f>
        <v>0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2"/>
    </row>
    <row r="66" spans="2:15" x14ac:dyDescent="0.2">
      <c r="C66" s="120">
        <f t="shared" si="8"/>
        <v>0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2"/>
    </row>
    <row r="67" spans="2:15" x14ac:dyDescent="0.2">
      <c r="C67" s="120">
        <f t="shared" si="8"/>
        <v>0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"/>
    </row>
    <row r="68" spans="2:15" x14ac:dyDescent="0.2">
      <c r="B68" s="121"/>
      <c r="C68" s="120">
        <f t="shared" si="8"/>
        <v>0</v>
      </c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2"/>
    </row>
    <row r="69" spans="2:15" x14ac:dyDescent="0.2">
      <c r="C69" s="120">
        <f t="shared" si="8"/>
        <v>0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2"/>
    </row>
    <row r="70" spans="2:15" x14ac:dyDescent="0.2">
      <c r="C70" s="120">
        <f t="shared" si="8"/>
        <v>0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2"/>
    </row>
    <row r="71" spans="2:15" x14ac:dyDescent="0.2">
      <c r="C71" s="120">
        <f>D71+E71+F71+G71+H71+I71+J71</f>
        <v>0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2"/>
      <c r="O71" s="2"/>
    </row>
    <row r="72" spans="2:15" x14ac:dyDescent="0.2">
      <c r="C72" s="120">
        <f t="shared" si="8"/>
        <v>0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2"/>
      <c r="O72" s="2"/>
    </row>
    <row r="73" spans="2:15" x14ac:dyDescent="0.2">
      <c r="C73" s="120">
        <f t="shared" si="8"/>
        <v>0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2"/>
      <c r="O73" s="2"/>
    </row>
    <row r="74" spans="2:15" x14ac:dyDescent="0.2">
      <c r="C74" s="120">
        <f t="shared" si="8"/>
        <v>0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2"/>
      <c r="O74" s="2"/>
    </row>
    <row r="75" spans="2:15" x14ac:dyDescent="0.2">
      <c r="C75" s="120">
        <f t="shared" si="8"/>
        <v>0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2"/>
      <c r="O75" s="2"/>
    </row>
    <row r="76" spans="2:15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2"/>
      <c r="O76" s="2"/>
    </row>
    <row r="77" spans="2:15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2"/>
      <c r="O77" s="2"/>
    </row>
    <row r="78" spans="2:15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2"/>
      <c r="O78" s="2"/>
    </row>
    <row r="79" spans="2:15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2"/>
      <c r="O79" s="2"/>
    </row>
    <row r="80" spans="2:15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2"/>
      <c r="O80" s="2"/>
    </row>
    <row r="81" spans="3:15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2"/>
      <c r="O81" s="2"/>
    </row>
    <row r="82" spans="3:15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2"/>
      <c r="O82" s="2"/>
    </row>
    <row r="83" spans="3:15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2"/>
      <c r="O83" s="2"/>
    </row>
    <row r="84" spans="3:15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2"/>
      <c r="O84" s="2"/>
    </row>
    <row r="85" spans="3:15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2"/>
      <c r="O85" s="2"/>
    </row>
    <row r="86" spans="3:15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2"/>
      <c r="O86" s="2"/>
    </row>
    <row r="87" spans="3:15" x14ac:dyDescent="0.2"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2"/>
      <c r="O87" s="2"/>
    </row>
    <row r="88" spans="3:15" x14ac:dyDescent="0.2"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2"/>
      <c r="O88" s="2"/>
    </row>
    <row r="89" spans="3:15" x14ac:dyDescent="0.2"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2"/>
      <c r="O89" s="2"/>
    </row>
    <row r="90" spans="3:15" x14ac:dyDescent="0.2"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2"/>
      <c r="O90" s="2"/>
    </row>
    <row r="91" spans="3:15" x14ac:dyDescent="0.2"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2"/>
      <c r="O91" s="2"/>
    </row>
    <row r="92" spans="3:15" x14ac:dyDescent="0.2"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2"/>
      <c r="O92" s="2"/>
    </row>
    <row r="93" spans="3:15" x14ac:dyDescent="0.2"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2"/>
      <c r="O93" s="2"/>
    </row>
    <row r="94" spans="3:15" x14ac:dyDescent="0.2"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2"/>
      <c r="O94" s="2"/>
    </row>
    <row r="95" spans="3:15" x14ac:dyDescent="0.2"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2"/>
      <c r="O95" s="2"/>
    </row>
    <row r="96" spans="3:15" x14ac:dyDescent="0.2"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2"/>
      <c r="O96" s="2"/>
    </row>
    <row r="97" spans="3:15" x14ac:dyDescent="0.2"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2"/>
      <c r="O97" s="2"/>
    </row>
    <row r="98" spans="3:15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3:15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3:15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3:15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3:15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3:15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3:15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3:15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3:15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3:15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3:15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3:15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3:15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3:15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3:15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3:15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3:15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3:15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3:15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3:15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3:15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15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3:15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5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3:15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3:15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3:15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3:15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3:15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</sheetData>
  <mergeCells count="6">
    <mergeCell ref="L1:M1"/>
    <mergeCell ref="A4:M4"/>
    <mergeCell ref="D9:K9"/>
    <mergeCell ref="D10:H10"/>
    <mergeCell ref="I10:K10"/>
    <mergeCell ref="A6:M6"/>
  </mergeCells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zoomScale="110" zoomScaleNormal="110" workbookViewId="0">
      <pane xSplit="2" ySplit="16" topLeftCell="C19" activePane="bottomRight" state="frozen"/>
      <selection activeCell="M1" sqref="M1:M65536"/>
      <selection pane="topRight" activeCell="M1" sqref="M1:M65536"/>
      <selection pane="bottomLeft" activeCell="M1" sqref="M1:M65536"/>
      <selection pane="bottomRight" activeCell="S50" sqref="S50"/>
    </sheetView>
  </sheetViews>
  <sheetFormatPr defaultRowHeight="12.75" x14ac:dyDescent="0.2"/>
  <cols>
    <col min="1" max="1" width="3.85546875" style="1" customWidth="1"/>
    <col min="2" max="2" width="30.7109375" style="1" customWidth="1"/>
    <col min="3" max="3" width="15.5703125" style="1" customWidth="1"/>
    <col min="4" max="4" width="13.42578125" style="1" customWidth="1"/>
    <col min="5" max="6" width="10.7109375" style="1" customWidth="1"/>
    <col min="7" max="7" width="11.85546875" style="1" customWidth="1"/>
    <col min="8" max="15" width="10.7109375" style="1" customWidth="1"/>
    <col min="16" max="16" width="7.7109375" style="1" customWidth="1"/>
    <col min="17" max="18" width="10.28515625" style="1" bestFit="1" customWidth="1"/>
    <col min="19" max="16384" width="9.140625" style="1"/>
  </cols>
  <sheetData>
    <row r="1" spans="1:16" x14ac:dyDescent="0.2">
      <c r="M1" s="2"/>
      <c r="N1" s="173" t="s">
        <v>93</v>
      </c>
      <c r="O1" s="173"/>
    </row>
    <row r="2" spans="1:16" x14ac:dyDescent="0.2">
      <c r="M2" s="2"/>
      <c r="N2" s="2"/>
      <c r="O2" s="122"/>
    </row>
    <row r="3" spans="1:16" x14ac:dyDescent="0.2">
      <c r="M3" s="2"/>
      <c r="N3" s="2"/>
      <c r="O3" s="122"/>
    </row>
    <row r="4" spans="1:16" x14ac:dyDescent="0.2">
      <c r="A4" s="174" t="s">
        <v>90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6" hidden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x14ac:dyDescent="0.2">
      <c r="A6" s="3"/>
      <c r="B6" s="174" t="s">
        <v>94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4"/>
      <c r="P6" s="5"/>
    </row>
    <row r="7" spans="1:16" x14ac:dyDescent="0.2">
      <c r="A7" s="3"/>
      <c r="B7" s="4"/>
      <c r="C7" s="4"/>
      <c r="D7" s="4"/>
      <c r="E7" s="4"/>
      <c r="F7" s="4"/>
      <c r="G7" s="4"/>
      <c r="H7" s="123"/>
      <c r="I7" s="4"/>
      <c r="J7" s="4"/>
      <c r="K7" s="4"/>
      <c r="L7" s="4"/>
      <c r="M7" s="4"/>
      <c r="N7" s="4"/>
      <c r="O7" s="6"/>
      <c r="P7" s="5"/>
    </row>
    <row r="8" spans="1:16" ht="13.5" thickBo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 t="s">
        <v>0</v>
      </c>
      <c r="P8" s="124"/>
    </row>
    <row r="9" spans="1:16" ht="13.5" thickBot="1" x14ac:dyDescent="0.25">
      <c r="A9" s="9"/>
      <c r="B9" s="10"/>
      <c r="C9" s="10"/>
      <c r="D9" s="180" t="s">
        <v>1</v>
      </c>
      <c r="E9" s="180"/>
      <c r="F9" s="180"/>
      <c r="G9" s="175"/>
      <c r="H9" s="175"/>
      <c r="I9" s="175"/>
      <c r="J9" s="180"/>
      <c r="K9" s="180"/>
      <c r="L9" s="180"/>
      <c r="M9" s="180"/>
      <c r="N9" s="181" t="s">
        <v>2</v>
      </c>
      <c r="O9" s="176"/>
      <c r="P9" s="116"/>
    </row>
    <row r="10" spans="1:16" ht="13.5" thickBot="1" x14ac:dyDescent="0.25">
      <c r="A10" s="13"/>
      <c r="B10" s="125"/>
      <c r="C10" s="10"/>
      <c r="D10" s="182" t="s">
        <v>61</v>
      </c>
      <c r="E10" s="183"/>
      <c r="F10" s="183"/>
      <c r="G10" s="183"/>
      <c r="H10" s="183"/>
      <c r="I10" s="184"/>
      <c r="J10" s="182" t="s">
        <v>56</v>
      </c>
      <c r="K10" s="183"/>
      <c r="L10" s="183"/>
      <c r="M10" s="183"/>
      <c r="N10" s="126"/>
      <c r="O10" s="127"/>
      <c r="P10" s="116"/>
    </row>
    <row r="11" spans="1:16" ht="12.75" customHeight="1" x14ac:dyDescent="0.2">
      <c r="A11" s="128"/>
      <c r="B11" s="19" t="s">
        <v>60</v>
      </c>
      <c r="C11" s="19" t="s">
        <v>3</v>
      </c>
      <c r="D11" s="116"/>
      <c r="E11" s="35"/>
      <c r="F11" s="129"/>
      <c r="G11" s="9"/>
      <c r="H11" s="130"/>
      <c r="I11" s="131"/>
      <c r="J11" s="132"/>
      <c r="K11" s="133"/>
      <c r="L11" s="132"/>
      <c r="M11" s="133"/>
      <c r="N11" s="25" t="s">
        <v>10</v>
      </c>
      <c r="O11" s="26" t="s">
        <v>13</v>
      </c>
      <c r="P11" s="116"/>
    </row>
    <row r="12" spans="1:16" x14ac:dyDescent="0.2">
      <c r="A12" s="128"/>
      <c r="B12" s="19" t="s">
        <v>20</v>
      </c>
      <c r="C12" s="19" t="s">
        <v>46</v>
      </c>
      <c r="D12" s="134" t="s">
        <v>10</v>
      </c>
      <c r="E12" s="135" t="s">
        <v>10</v>
      </c>
      <c r="F12" s="135" t="s">
        <v>10</v>
      </c>
      <c r="G12" s="25" t="s">
        <v>13</v>
      </c>
      <c r="H12" s="135" t="s">
        <v>49</v>
      </c>
      <c r="I12" s="26" t="s">
        <v>13</v>
      </c>
      <c r="J12" s="136" t="s">
        <v>10</v>
      </c>
      <c r="K12" s="29" t="s">
        <v>10</v>
      </c>
      <c r="L12" s="136" t="s">
        <v>13</v>
      </c>
      <c r="M12" s="29" t="s">
        <v>13</v>
      </c>
      <c r="N12" s="25" t="s">
        <v>17</v>
      </c>
      <c r="O12" s="26" t="s">
        <v>17</v>
      </c>
      <c r="P12" s="116"/>
    </row>
    <row r="13" spans="1:16" x14ac:dyDescent="0.2">
      <c r="A13" s="137"/>
      <c r="B13" s="19"/>
      <c r="C13" s="19" t="s">
        <v>14</v>
      </c>
      <c r="D13" s="134" t="s">
        <v>46</v>
      </c>
      <c r="E13" s="135" t="s">
        <v>46</v>
      </c>
      <c r="F13" s="135" t="s">
        <v>17</v>
      </c>
      <c r="G13" s="25" t="s">
        <v>46</v>
      </c>
      <c r="H13" s="135" t="s">
        <v>46</v>
      </c>
      <c r="I13" s="26" t="s">
        <v>17</v>
      </c>
      <c r="J13" s="136" t="s">
        <v>57</v>
      </c>
      <c r="K13" s="29" t="s">
        <v>59</v>
      </c>
      <c r="L13" s="136" t="s">
        <v>57</v>
      </c>
      <c r="M13" s="29" t="s">
        <v>59</v>
      </c>
      <c r="N13" s="25"/>
      <c r="O13" s="26"/>
      <c r="P13" s="116"/>
    </row>
    <row r="14" spans="1:16" x14ac:dyDescent="0.2">
      <c r="A14" s="31" t="s">
        <v>19</v>
      </c>
      <c r="B14" s="19"/>
      <c r="C14" s="37"/>
      <c r="D14" s="27" t="s">
        <v>50</v>
      </c>
      <c r="E14" s="135"/>
      <c r="F14" s="135" t="s">
        <v>54</v>
      </c>
      <c r="G14" s="52" t="s">
        <v>50</v>
      </c>
      <c r="H14" s="135"/>
      <c r="I14" s="26" t="s">
        <v>54</v>
      </c>
      <c r="J14" s="136" t="s">
        <v>55</v>
      </c>
      <c r="K14" s="29" t="s">
        <v>48</v>
      </c>
      <c r="L14" s="136" t="s">
        <v>55</v>
      </c>
      <c r="M14" s="29" t="s">
        <v>48</v>
      </c>
      <c r="N14" s="25"/>
      <c r="O14" s="26"/>
      <c r="P14" s="116"/>
    </row>
    <row r="15" spans="1:16" x14ac:dyDescent="0.2">
      <c r="A15" s="31"/>
      <c r="B15" s="19"/>
      <c r="C15" s="37"/>
      <c r="D15" s="27" t="s">
        <v>52</v>
      </c>
      <c r="E15" s="135"/>
      <c r="F15" s="135" t="s">
        <v>23</v>
      </c>
      <c r="G15" s="52" t="s">
        <v>52</v>
      </c>
      <c r="H15" s="135"/>
      <c r="I15" s="26" t="s">
        <v>23</v>
      </c>
      <c r="J15" s="136" t="s">
        <v>58</v>
      </c>
      <c r="K15" s="26"/>
      <c r="L15" s="136" t="s">
        <v>58</v>
      </c>
      <c r="M15" s="26"/>
      <c r="N15" s="25"/>
      <c r="O15" s="26"/>
      <c r="P15" s="116"/>
    </row>
    <row r="16" spans="1:16" x14ac:dyDescent="0.2">
      <c r="A16" s="30"/>
      <c r="B16" s="36"/>
      <c r="C16" s="37"/>
      <c r="D16" s="99"/>
      <c r="E16" s="135"/>
      <c r="F16" s="135"/>
      <c r="G16" s="100"/>
      <c r="H16" s="135"/>
      <c r="I16" s="26"/>
      <c r="J16" s="138"/>
      <c r="K16" s="26"/>
      <c r="L16" s="138"/>
      <c r="M16" s="41"/>
      <c r="N16" s="13"/>
      <c r="O16" s="42"/>
      <c r="P16" s="116"/>
    </row>
    <row r="17" spans="1:16" x14ac:dyDescent="0.2">
      <c r="A17" s="43">
        <v>1</v>
      </c>
      <c r="B17" s="44">
        <v>2</v>
      </c>
      <c r="C17" s="44">
        <v>3</v>
      </c>
      <c r="D17" s="45">
        <v>4</v>
      </c>
      <c r="E17" s="45">
        <v>5</v>
      </c>
      <c r="F17" s="47">
        <v>6</v>
      </c>
      <c r="G17" s="43">
        <v>7</v>
      </c>
      <c r="H17" s="47">
        <v>8</v>
      </c>
      <c r="I17" s="50">
        <v>9</v>
      </c>
      <c r="J17" s="43">
        <v>10</v>
      </c>
      <c r="K17" s="50">
        <v>11</v>
      </c>
      <c r="L17" s="43">
        <v>12</v>
      </c>
      <c r="M17" s="50">
        <v>13</v>
      </c>
      <c r="N17" s="43">
        <v>14</v>
      </c>
      <c r="O17" s="50">
        <v>15</v>
      </c>
      <c r="P17" s="116"/>
    </row>
    <row r="18" spans="1:16" x14ac:dyDescent="0.2">
      <c r="A18" s="52"/>
      <c r="B18" s="19"/>
      <c r="C18" s="53"/>
      <c r="D18" s="20"/>
      <c r="E18" s="139"/>
      <c r="F18" s="20"/>
      <c r="G18" s="13"/>
      <c r="H18" s="20"/>
      <c r="I18" s="54"/>
      <c r="J18" s="13"/>
      <c r="K18" s="54"/>
      <c r="L18" s="13"/>
      <c r="M18" s="54"/>
      <c r="N18" s="13"/>
      <c r="O18" s="54"/>
      <c r="P18" s="116"/>
    </row>
    <row r="19" spans="1:16" x14ac:dyDescent="0.2">
      <c r="A19" s="52" t="s">
        <v>64</v>
      </c>
      <c r="B19" s="55" t="s">
        <v>27</v>
      </c>
      <c r="C19" s="56">
        <f>SUM(D19:I19)</f>
        <v>9.9999999656574801E-4</v>
      </c>
      <c r="D19" s="20"/>
      <c r="E19" s="140">
        <v>9.9999999656574801E-4</v>
      </c>
      <c r="F19" s="20"/>
      <c r="G19" s="13"/>
      <c r="H19" s="20"/>
      <c r="I19" s="54"/>
      <c r="J19" s="13"/>
      <c r="K19" s="54">
        <f>5281.07700000004+901.925+1145.55</f>
        <v>7328.5520000000406</v>
      </c>
      <c r="L19" s="13"/>
      <c r="M19" s="54">
        <f>165+231</f>
        <v>396</v>
      </c>
      <c r="N19" s="13"/>
      <c r="O19" s="54"/>
      <c r="P19" s="116"/>
    </row>
    <row r="20" spans="1:16" x14ac:dyDescent="0.2">
      <c r="A20" s="13"/>
      <c r="B20" s="57"/>
      <c r="C20" s="56"/>
      <c r="D20" s="20"/>
      <c r="E20" s="140"/>
      <c r="F20" s="20"/>
      <c r="G20" s="13"/>
      <c r="H20" s="20"/>
      <c r="I20" s="54"/>
      <c r="J20" s="13"/>
      <c r="K20" s="54"/>
      <c r="L20" s="13"/>
      <c r="M20" s="54"/>
      <c r="N20" s="13"/>
      <c r="O20" s="54"/>
      <c r="P20" s="116"/>
    </row>
    <row r="21" spans="1:16" x14ac:dyDescent="0.2">
      <c r="A21" s="58" t="s">
        <v>26</v>
      </c>
      <c r="B21" s="59" t="s">
        <v>80</v>
      </c>
      <c r="C21" s="60">
        <f t="shared" ref="C21:M21" si="0">SUM(C19:C20)</f>
        <v>9.9999999656574801E-4</v>
      </c>
      <c r="D21" s="172"/>
      <c r="E21" s="69">
        <f t="shared" si="0"/>
        <v>9.9999999656574801E-4</v>
      </c>
      <c r="F21" s="73"/>
      <c r="G21" s="172"/>
      <c r="H21" s="69"/>
      <c r="I21" s="73"/>
      <c r="J21" s="172"/>
      <c r="K21" s="73">
        <f t="shared" si="0"/>
        <v>7328.5520000000406</v>
      </c>
      <c r="L21" s="172"/>
      <c r="M21" s="73">
        <f t="shared" si="0"/>
        <v>396</v>
      </c>
      <c r="N21" s="72"/>
      <c r="O21" s="73"/>
      <c r="P21" s="116"/>
    </row>
    <row r="22" spans="1:16" x14ac:dyDescent="0.2">
      <c r="A22" s="13"/>
      <c r="B22" s="141"/>
      <c r="C22" s="66"/>
      <c r="D22" s="20"/>
      <c r="E22" s="140"/>
      <c r="F22" s="20"/>
      <c r="G22" s="13"/>
      <c r="H22" s="20"/>
      <c r="I22" s="54"/>
      <c r="J22" s="13"/>
      <c r="K22" s="54"/>
      <c r="L22" s="13"/>
      <c r="M22" s="54"/>
      <c r="N22" s="13"/>
      <c r="O22" s="54"/>
      <c r="P22" s="116"/>
    </row>
    <row r="23" spans="1:16" x14ac:dyDescent="0.2">
      <c r="A23" s="52" t="s">
        <v>64</v>
      </c>
      <c r="B23" s="55" t="s">
        <v>28</v>
      </c>
      <c r="C23" s="56">
        <f>SUM(D23:I23)</f>
        <v>2269.6930000000002</v>
      </c>
      <c r="D23" s="20">
        <f>1408.655+293.206+567.831</f>
        <v>2269.692</v>
      </c>
      <c r="E23" s="140">
        <v>1E-3</v>
      </c>
      <c r="F23" s="20"/>
      <c r="G23" s="13"/>
      <c r="H23" s="20"/>
      <c r="I23" s="54"/>
      <c r="J23" s="13"/>
      <c r="K23" s="54">
        <f>1915.91500000001</f>
        <v>1915.91500000001</v>
      </c>
      <c r="L23" s="13"/>
      <c r="M23" s="54">
        <v>7397</v>
      </c>
      <c r="N23" s="13"/>
      <c r="O23" s="54"/>
      <c r="P23" s="116"/>
    </row>
    <row r="24" spans="1:16" x14ac:dyDescent="0.2">
      <c r="A24" s="52" t="s">
        <v>65</v>
      </c>
      <c r="B24" s="55" t="s">
        <v>30</v>
      </c>
      <c r="C24" s="56"/>
      <c r="D24" s="20"/>
      <c r="E24" s="140"/>
      <c r="F24" s="20"/>
      <c r="G24" s="13"/>
      <c r="H24" s="20"/>
      <c r="I24" s="54"/>
      <c r="J24" s="13"/>
      <c r="K24" s="54">
        <f>2520.87800000002+2.938+2.937</f>
        <v>2526.7530000000202</v>
      </c>
      <c r="L24" s="13"/>
      <c r="M24" s="54"/>
      <c r="N24" s="13"/>
      <c r="O24" s="54"/>
      <c r="P24" s="116"/>
    </row>
    <row r="25" spans="1:16" x14ac:dyDescent="0.2">
      <c r="A25" s="52" t="s">
        <v>66</v>
      </c>
      <c r="B25" s="55" t="s">
        <v>32</v>
      </c>
      <c r="C25" s="56">
        <f t="shared" ref="C25:C34" si="1">SUM(D25:I25)</f>
        <v>60.000999999999998</v>
      </c>
      <c r="D25" s="20"/>
      <c r="E25" s="140">
        <v>1E-3</v>
      </c>
      <c r="F25" s="20">
        <v>60</v>
      </c>
      <c r="G25" s="13"/>
      <c r="H25" s="20"/>
      <c r="I25" s="54"/>
      <c r="J25" s="13"/>
      <c r="K25" s="54">
        <v>2220.18299999999</v>
      </c>
      <c r="L25" s="13"/>
      <c r="M25" s="54"/>
      <c r="N25" s="13"/>
      <c r="O25" s="54"/>
      <c r="P25" s="116"/>
    </row>
    <row r="26" spans="1:16" x14ac:dyDescent="0.2">
      <c r="A26" s="52" t="s">
        <v>67</v>
      </c>
      <c r="B26" s="55" t="s">
        <v>34</v>
      </c>
      <c r="C26" s="56">
        <f t="shared" si="1"/>
        <v>1E-3</v>
      </c>
      <c r="D26" s="20"/>
      <c r="E26" s="140">
        <v>1E-3</v>
      </c>
      <c r="F26" s="20"/>
      <c r="G26" s="13"/>
      <c r="H26" s="20"/>
      <c r="I26" s="54"/>
      <c r="J26" s="13"/>
      <c r="K26" s="54">
        <v>863.04099999999744</v>
      </c>
      <c r="L26" s="13"/>
      <c r="M26" s="54"/>
      <c r="N26" s="13"/>
      <c r="O26" s="54"/>
      <c r="P26" s="116"/>
    </row>
    <row r="27" spans="1:16" x14ac:dyDescent="0.2">
      <c r="A27" s="52" t="s">
        <v>68</v>
      </c>
      <c r="B27" s="55" t="s">
        <v>35</v>
      </c>
      <c r="C27" s="56">
        <f t="shared" si="1"/>
        <v>1</v>
      </c>
      <c r="D27" s="20"/>
      <c r="E27" s="140">
        <v>1</v>
      </c>
      <c r="F27" s="20"/>
      <c r="G27" s="13"/>
      <c r="H27" s="20"/>
      <c r="I27" s="54"/>
      <c r="J27" s="13"/>
      <c r="K27" s="54">
        <f>2227.04800000001+0.353+0.352</f>
        <v>2227.7530000000097</v>
      </c>
      <c r="L27" s="13"/>
      <c r="M27" s="54"/>
      <c r="N27" s="13"/>
      <c r="O27" s="54"/>
      <c r="P27" s="116"/>
    </row>
    <row r="28" spans="1:16" x14ac:dyDescent="0.2">
      <c r="A28" s="52" t="s">
        <v>69</v>
      </c>
      <c r="B28" s="55" t="s">
        <v>36</v>
      </c>
      <c r="C28" s="56"/>
      <c r="D28" s="20"/>
      <c r="E28" s="140"/>
      <c r="F28" s="20"/>
      <c r="G28" s="13"/>
      <c r="H28" s="20"/>
      <c r="I28" s="54"/>
      <c r="J28" s="13"/>
      <c r="K28" s="54">
        <v>11288.33600000001</v>
      </c>
      <c r="L28" s="13"/>
      <c r="M28" s="54">
        <v>8890</v>
      </c>
      <c r="N28" s="13"/>
      <c r="O28" s="54"/>
      <c r="P28" s="116"/>
    </row>
    <row r="29" spans="1:16" x14ac:dyDescent="0.2">
      <c r="A29" s="52" t="s">
        <v>70</v>
      </c>
      <c r="B29" s="55" t="s">
        <v>37</v>
      </c>
      <c r="C29" s="56"/>
      <c r="D29" s="20"/>
      <c r="E29" s="140"/>
      <c r="F29" s="20"/>
      <c r="G29" s="13"/>
      <c r="H29" s="20"/>
      <c r="I29" s="54"/>
      <c r="J29" s="13"/>
      <c r="K29" s="54">
        <f>1021.19400000002+1.88+1.88</f>
        <v>1024.95400000002</v>
      </c>
      <c r="L29" s="13"/>
      <c r="M29" s="54"/>
      <c r="N29" s="13"/>
      <c r="O29" s="54"/>
      <c r="P29" s="116"/>
    </row>
    <row r="30" spans="1:16" x14ac:dyDescent="0.2">
      <c r="A30" s="52" t="s">
        <v>71</v>
      </c>
      <c r="B30" s="55" t="s">
        <v>38</v>
      </c>
      <c r="C30" s="56">
        <f t="shared" si="1"/>
        <v>9.9999999999988987E-4</v>
      </c>
      <c r="D30" s="20"/>
      <c r="E30" s="140">
        <v>9.9999999999988987E-4</v>
      </c>
      <c r="F30" s="20"/>
      <c r="G30" s="13"/>
      <c r="H30" s="20"/>
      <c r="I30" s="54"/>
      <c r="J30" s="13"/>
      <c r="K30" s="54">
        <f>6629.75+2581.88+8.107</f>
        <v>9219.737000000001</v>
      </c>
      <c r="L30" s="13"/>
      <c r="M30" s="54"/>
      <c r="N30" s="13"/>
      <c r="O30" s="54"/>
      <c r="P30" s="116"/>
    </row>
    <row r="31" spans="1:16" x14ac:dyDescent="0.2">
      <c r="A31" s="52" t="s">
        <v>74</v>
      </c>
      <c r="B31" s="55" t="s">
        <v>39</v>
      </c>
      <c r="C31" s="56">
        <f t="shared" si="1"/>
        <v>1E-3</v>
      </c>
      <c r="D31" s="20"/>
      <c r="E31" s="140">
        <v>1E-3</v>
      </c>
      <c r="F31" s="20"/>
      <c r="G31" s="13"/>
      <c r="H31" s="20"/>
      <c r="I31" s="54"/>
      <c r="J31" s="13"/>
      <c r="K31" s="54">
        <f>1763.32800000004+736.582</f>
        <v>2499.9100000000399</v>
      </c>
      <c r="L31" s="13"/>
      <c r="M31" s="54">
        <v>-700</v>
      </c>
      <c r="N31" s="13"/>
      <c r="O31" s="54"/>
      <c r="P31" s="116"/>
    </row>
    <row r="32" spans="1:16" x14ac:dyDescent="0.2">
      <c r="A32" s="52" t="s">
        <v>72</v>
      </c>
      <c r="B32" s="55" t="s">
        <v>40</v>
      </c>
      <c r="C32" s="56"/>
      <c r="D32" s="20"/>
      <c r="E32" s="140"/>
      <c r="F32" s="20"/>
      <c r="G32" s="13"/>
      <c r="H32" s="20"/>
      <c r="I32" s="54"/>
      <c r="J32" s="13"/>
      <c r="K32" s="54">
        <v>2382.6169999999984</v>
      </c>
      <c r="L32" s="13"/>
      <c r="M32" s="54"/>
      <c r="N32" s="13"/>
      <c r="O32" s="54"/>
      <c r="P32" s="116"/>
    </row>
    <row r="33" spans="1:16" x14ac:dyDescent="0.2">
      <c r="A33" s="52" t="s">
        <v>73</v>
      </c>
      <c r="B33" s="55" t="s">
        <v>85</v>
      </c>
      <c r="C33" s="56">
        <f t="shared" si="1"/>
        <v>1E-3</v>
      </c>
      <c r="D33" s="20"/>
      <c r="E33" s="140">
        <v>1E-3</v>
      </c>
      <c r="F33" s="20"/>
      <c r="G33" s="13"/>
      <c r="H33" s="20"/>
      <c r="I33" s="54"/>
      <c r="J33" s="13"/>
      <c r="K33" s="54">
        <v>2491.7970000000205</v>
      </c>
      <c r="L33" s="13"/>
      <c r="M33" s="54">
        <v>-89</v>
      </c>
      <c r="N33" s="13"/>
      <c r="O33" s="54"/>
      <c r="P33" s="116"/>
    </row>
    <row r="34" spans="1:16" x14ac:dyDescent="0.2">
      <c r="A34" s="52" t="s">
        <v>87</v>
      </c>
      <c r="B34" s="55" t="s">
        <v>89</v>
      </c>
      <c r="C34" s="56">
        <f t="shared" si="1"/>
        <v>100</v>
      </c>
      <c r="D34" s="20"/>
      <c r="E34" s="140"/>
      <c r="F34" s="20">
        <v>100</v>
      </c>
      <c r="G34" s="13"/>
      <c r="H34" s="20"/>
      <c r="I34" s="54"/>
      <c r="J34" s="13"/>
      <c r="K34" s="54">
        <v>2855.8360000000102</v>
      </c>
      <c r="L34" s="13"/>
      <c r="M34" s="54"/>
      <c r="N34" s="13"/>
      <c r="O34" s="54"/>
      <c r="P34" s="116"/>
    </row>
    <row r="35" spans="1:16" x14ac:dyDescent="0.2">
      <c r="A35" s="52"/>
      <c r="B35" s="14"/>
      <c r="C35" s="56"/>
      <c r="D35" s="20"/>
      <c r="E35" s="140"/>
      <c r="F35" s="20"/>
      <c r="G35" s="13"/>
      <c r="H35" s="20"/>
      <c r="I35" s="54"/>
      <c r="J35" s="13"/>
      <c r="K35" s="54">
        <v>0</v>
      </c>
      <c r="L35" s="13"/>
      <c r="M35" s="54"/>
      <c r="N35" s="13"/>
      <c r="O35" s="54"/>
      <c r="P35" s="116"/>
    </row>
    <row r="36" spans="1:16" x14ac:dyDescent="0.2">
      <c r="A36" s="58" t="s">
        <v>29</v>
      </c>
      <c r="B36" s="77" t="s">
        <v>81</v>
      </c>
      <c r="C36" s="60">
        <f>SUM(C23:C35)</f>
        <v>2430.6980000000012</v>
      </c>
      <c r="D36" s="172">
        <f t="shared" ref="D36:F36" si="2">SUM(D23:D35)</f>
        <v>2269.692</v>
      </c>
      <c r="E36" s="69">
        <f t="shared" si="2"/>
        <v>1.0059999999999996</v>
      </c>
      <c r="F36" s="73">
        <f t="shared" si="2"/>
        <v>160</v>
      </c>
      <c r="G36" s="72"/>
      <c r="H36" s="69"/>
      <c r="I36" s="71"/>
      <c r="J36" s="72"/>
      <c r="K36" s="142">
        <f>SUM(K23:K35)</f>
        <v>41516.832000000126</v>
      </c>
      <c r="L36" s="70"/>
      <c r="M36" s="73">
        <f>SUM(M22:M35)</f>
        <v>15498</v>
      </c>
      <c r="N36" s="72"/>
      <c r="O36" s="73"/>
      <c r="P36" s="116"/>
    </row>
    <row r="37" spans="1:16" x14ac:dyDescent="0.2">
      <c r="A37" s="13"/>
      <c r="B37" s="14"/>
      <c r="C37" s="56"/>
      <c r="D37" s="20"/>
      <c r="E37" s="140"/>
      <c r="F37" s="20"/>
      <c r="G37" s="13"/>
      <c r="H37" s="20"/>
      <c r="I37" s="54"/>
      <c r="J37" s="13"/>
      <c r="K37" s="54">
        <v>0</v>
      </c>
      <c r="L37" s="13"/>
      <c r="M37" s="54"/>
      <c r="N37" s="13"/>
      <c r="O37" s="54"/>
      <c r="P37" s="116"/>
    </row>
    <row r="38" spans="1:16" x14ac:dyDescent="0.2">
      <c r="A38" s="52" t="s">
        <v>64</v>
      </c>
      <c r="B38" s="55" t="s">
        <v>41</v>
      </c>
      <c r="C38" s="56">
        <f>SUM(D38:I38)</f>
        <v>9.9999999997635314E-4</v>
      </c>
      <c r="D38" s="20"/>
      <c r="E38" s="140">
        <v>9.9999999997635314E-4</v>
      </c>
      <c r="F38" s="20"/>
      <c r="G38" s="13"/>
      <c r="H38" s="20"/>
      <c r="I38" s="54"/>
      <c r="J38" s="13"/>
      <c r="K38" s="54">
        <f>4857.135+933.06+1692.065</f>
        <v>7482.26</v>
      </c>
      <c r="L38" s="13"/>
      <c r="M38" s="54">
        <f>-30-759</f>
        <v>-789</v>
      </c>
      <c r="N38" s="13"/>
      <c r="O38" s="54"/>
      <c r="P38" s="116"/>
    </row>
    <row r="39" spans="1:16" x14ac:dyDescent="0.2">
      <c r="A39" s="52" t="s">
        <v>65</v>
      </c>
      <c r="B39" s="55" t="s">
        <v>42</v>
      </c>
      <c r="C39" s="56">
        <f t="shared" ref="C39:C42" si="3">SUM(D39:I39)</f>
        <v>1E-3</v>
      </c>
      <c r="D39" s="20"/>
      <c r="E39" s="140">
        <f>0.001</f>
        <v>1E-3</v>
      </c>
      <c r="F39" s="20"/>
      <c r="G39" s="13"/>
      <c r="H39" s="20"/>
      <c r="I39" s="54"/>
      <c r="J39" s="13"/>
      <c r="K39" s="54">
        <f>4937.46000000002+1111.827+1104.192</f>
        <v>7153.4790000000203</v>
      </c>
      <c r="L39" s="13"/>
      <c r="M39" s="54">
        <v>-6237</v>
      </c>
      <c r="N39" s="13"/>
      <c r="O39" s="54"/>
      <c r="P39" s="116"/>
    </row>
    <row r="40" spans="1:16" x14ac:dyDescent="0.2">
      <c r="A40" s="52" t="s">
        <v>66</v>
      </c>
      <c r="B40" s="55" t="s">
        <v>43</v>
      </c>
      <c r="C40" s="56">
        <f t="shared" si="3"/>
        <v>3.0000000006111804E-3</v>
      </c>
      <c r="D40" s="20"/>
      <c r="E40" s="140">
        <v>3.0000000006111804E-3</v>
      </c>
      <c r="F40" s="20"/>
      <c r="G40" s="13"/>
      <c r="H40" s="20"/>
      <c r="I40" s="54"/>
      <c r="J40" s="13"/>
      <c r="K40" s="54">
        <f>4919.27100000001+998.811+1013.946</f>
        <v>6932.0280000000093</v>
      </c>
      <c r="L40" s="13"/>
      <c r="M40" s="54"/>
      <c r="N40" s="13"/>
      <c r="O40" s="54"/>
      <c r="P40" s="116"/>
    </row>
    <row r="41" spans="1:16" x14ac:dyDescent="0.2">
      <c r="A41" s="52" t="s">
        <v>67</v>
      </c>
      <c r="B41" s="55" t="s">
        <v>44</v>
      </c>
      <c r="C41" s="56"/>
      <c r="D41" s="20"/>
      <c r="E41" s="140"/>
      <c r="F41" s="20"/>
      <c r="G41" s="13"/>
      <c r="H41" s="20"/>
      <c r="I41" s="54"/>
      <c r="J41" s="13"/>
      <c r="K41" s="54">
        <f>3211.25899999999+1665.537+714.714</f>
        <v>5591.5099999999902</v>
      </c>
      <c r="L41" s="13"/>
      <c r="M41" s="54">
        <v>-948</v>
      </c>
      <c r="N41" s="13"/>
      <c r="O41" s="54"/>
      <c r="P41" s="116"/>
    </row>
    <row r="42" spans="1:16" x14ac:dyDescent="0.2">
      <c r="A42" s="52" t="s">
        <v>68</v>
      </c>
      <c r="B42" s="55" t="s">
        <v>91</v>
      </c>
      <c r="C42" s="56">
        <f t="shared" si="3"/>
        <v>5966.48</v>
      </c>
      <c r="D42" s="20">
        <f>2070.023+193.634+102.823</f>
        <v>2366.48</v>
      </c>
      <c r="E42" s="140">
        <v>3600</v>
      </c>
      <c r="F42" s="20"/>
      <c r="G42" s="13"/>
      <c r="H42" s="20"/>
      <c r="I42" s="54"/>
      <c r="J42" s="13"/>
      <c r="K42" s="54">
        <f>15532.437+3618.883+3507.05</f>
        <v>22658.37</v>
      </c>
      <c r="L42" s="13"/>
      <c r="M42" s="54">
        <v>99</v>
      </c>
      <c r="N42" s="13"/>
      <c r="O42" s="54"/>
      <c r="P42" s="116"/>
    </row>
    <row r="43" spans="1:16" x14ac:dyDescent="0.2">
      <c r="A43" s="52"/>
      <c r="B43" s="55"/>
      <c r="C43" s="56"/>
      <c r="D43" s="20"/>
      <c r="E43" s="140"/>
      <c r="F43" s="20"/>
      <c r="G43" s="13"/>
      <c r="H43" s="20"/>
      <c r="I43" s="54"/>
      <c r="J43" s="13"/>
      <c r="K43" s="54">
        <v>0</v>
      </c>
      <c r="L43" s="13"/>
      <c r="M43" s="54"/>
      <c r="N43" s="13"/>
      <c r="O43" s="54"/>
      <c r="P43" s="116"/>
    </row>
    <row r="44" spans="1:16" x14ac:dyDescent="0.2">
      <c r="A44" s="58" t="s">
        <v>31</v>
      </c>
      <c r="B44" s="77" t="s">
        <v>83</v>
      </c>
      <c r="C44" s="60">
        <f>SUM(C38:C43)</f>
        <v>5966.4850000000006</v>
      </c>
      <c r="D44" s="142">
        <f>SUM(D37:D43)</f>
        <v>2366.48</v>
      </c>
      <c r="E44" s="69">
        <f>SUM(E37:E43)</f>
        <v>3600.0050000000006</v>
      </c>
      <c r="F44" s="69"/>
      <c r="G44" s="72"/>
      <c r="H44" s="69"/>
      <c r="I44" s="71"/>
      <c r="J44" s="72"/>
      <c r="K44" s="71">
        <f>SUM(K37:K43)</f>
        <v>49817.647000000019</v>
      </c>
      <c r="L44" s="72"/>
      <c r="M44" s="73">
        <f>SUM(M38:M43)</f>
        <v>-7875</v>
      </c>
      <c r="N44" s="72"/>
      <c r="O44" s="73"/>
      <c r="P44" s="116"/>
    </row>
    <row r="45" spans="1:16" x14ac:dyDescent="0.2">
      <c r="A45" s="78"/>
      <c r="B45" s="79"/>
      <c r="C45" s="80"/>
      <c r="D45" s="81"/>
      <c r="E45" s="143"/>
      <c r="F45" s="81"/>
      <c r="G45" s="82"/>
      <c r="H45" s="81"/>
      <c r="I45" s="83"/>
      <c r="J45" s="82"/>
      <c r="K45" s="83"/>
      <c r="L45" s="82"/>
      <c r="M45" s="83"/>
      <c r="N45" s="82"/>
      <c r="O45" s="83"/>
      <c r="P45" s="116"/>
    </row>
    <row r="46" spans="1:16" x14ac:dyDescent="0.2">
      <c r="A46" s="43" t="s">
        <v>33</v>
      </c>
      <c r="B46" s="84" t="s">
        <v>45</v>
      </c>
      <c r="C46" s="144"/>
      <c r="D46" s="86"/>
      <c r="E46" s="69"/>
      <c r="F46" s="86"/>
      <c r="G46" s="72"/>
      <c r="H46" s="145"/>
      <c r="I46" s="146"/>
      <c r="J46" s="72"/>
      <c r="K46" s="147">
        <f>553.384999999951-394.63-21.447-0.25</f>
        <v>137.05799999995099</v>
      </c>
      <c r="L46" s="72"/>
      <c r="M46" s="148">
        <f>11179+50+428</f>
        <v>11657</v>
      </c>
      <c r="N46" s="72"/>
      <c r="O46" s="73"/>
      <c r="P46" s="116"/>
    </row>
    <row r="47" spans="1:16" ht="13.5" thickBot="1" x14ac:dyDescent="0.25">
      <c r="A47" s="13"/>
      <c r="B47" s="90"/>
      <c r="C47" s="56"/>
      <c r="D47" s="20"/>
      <c r="E47" s="140"/>
      <c r="F47" s="20"/>
      <c r="G47" s="13"/>
      <c r="H47" s="20"/>
      <c r="I47" s="54"/>
      <c r="J47" s="13"/>
      <c r="K47" s="54"/>
      <c r="L47" s="13"/>
      <c r="M47" s="54"/>
      <c r="N47" s="13"/>
      <c r="O47" s="54"/>
      <c r="P47" s="116"/>
    </row>
    <row r="48" spans="1:16" ht="22.5" thickBot="1" x14ac:dyDescent="0.25">
      <c r="A48" s="91" t="s">
        <v>75</v>
      </c>
      <c r="B48" s="92" t="s">
        <v>79</v>
      </c>
      <c r="C48" s="93">
        <f t="shared" ref="C48:M48" si="4">C21+C36+C44+C46</f>
        <v>8397.1839999999975</v>
      </c>
      <c r="D48" s="149">
        <f>D21+D36+D44+D46</f>
        <v>4636.1720000000005</v>
      </c>
      <c r="E48" s="113">
        <f t="shared" si="4"/>
        <v>3601.011999999997</v>
      </c>
      <c r="F48" s="114">
        <f t="shared" si="4"/>
        <v>160</v>
      </c>
      <c r="G48" s="150"/>
      <c r="H48" s="151"/>
      <c r="I48" s="152"/>
      <c r="J48" s="150"/>
      <c r="K48" s="114">
        <f>K21+K36+K44+K46</f>
        <v>98800.089000000138</v>
      </c>
      <c r="L48" s="150"/>
      <c r="M48" s="114">
        <f t="shared" si="4"/>
        <v>19676</v>
      </c>
      <c r="N48" s="150"/>
      <c r="O48" s="152"/>
      <c r="P48" s="116"/>
    </row>
    <row r="49" spans="1:16" x14ac:dyDescent="0.2">
      <c r="A49" s="39"/>
      <c r="B49" s="97"/>
      <c r="C49" s="98"/>
      <c r="D49" s="153"/>
      <c r="E49" s="154"/>
      <c r="F49" s="20"/>
      <c r="G49" s="13"/>
      <c r="H49" s="20"/>
      <c r="I49" s="54"/>
      <c r="J49" s="13"/>
      <c r="K49" s="54"/>
      <c r="L49" s="13"/>
      <c r="M49" s="54">
        <v>0</v>
      </c>
      <c r="N49" s="13"/>
      <c r="O49" s="54"/>
      <c r="P49" s="116"/>
    </row>
    <row r="50" spans="1:16" x14ac:dyDescent="0.2">
      <c r="A50" s="102" t="s">
        <v>76</v>
      </c>
      <c r="B50" s="103" t="s">
        <v>77</v>
      </c>
      <c r="C50" s="144"/>
      <c r="D50" s="20"/>
      <c r="E50" s="106"/>
      <c r="F50" s="155"/>
      <c r="G50" s="108"/>
      <c r="H50" s="109"/>
      <c r="I50" s="107"/>
      <c r="J50" s="108"/>
      <c r="K50" s="107">
        <f>5539.477+1146.922+1174.293+3593.237</f>
        <v>11453.929</v>
      </c>
      <c r="L50" s="108"/>
      <c r="M50" s="107"/>
      <c r="N50" s="108"/>
      <c r="O50" s="107"/>
      <c r="P50" s="116"/>
    </row>
    <row r="51" spans="1:16" ht="13.5" thickBot="1" x14ac:dyDescent="0.25">
      <c r="A51" s="34"/>
      <c r="B51" s="14"/>
      <c r="C51" s="56"/>
      <c r="D51" s="156"/>
      <c r="E51" s="157"/>
      <c r="F51" s="20"/>
      <c r="G51" s="13"/>
      <c r="H51" s="20"/>
      <c r="I51" s="54"/>
      <c r="J51" s="13"/>
      <c r="K51" s="54"/>
      <c r="L51" s="13"/>
      <c r="M51" s="54"/>
      <c r="N51" s="13"/>
      <c r="O51" s="54"/>
      <c r="P51" s="116"/>
    </row>
    <row r="52" spans="1:16" ht="13.5" thickBot="1" x14ac:dyDescent="0.25">
      <c r="A52" s="158" t="s">
        <v>78</v>
      </c>
      <c r="B52" s="111" t="s">
        <v>84</v>
      </c>
      <c r="C52" s="112">
        <f t="shared" ref="C52:F52" si="5">C48+C50</f>
        <v>8397.1839999999975</v>
      </c>
      <c r="D52" s="159">
        <f>D48+D50</f>
        <v>4636.1720000000005</v>
      </c>
      <c r="E52" s="160">
        <f t="shared" si="5"/>
        <v>3601.011999999997</v>
      </c>
      <c r="F52" s="161">
        <f t="shared" si="5"/>
        <v>160</v>
      </c>
      <c r="G52" s="159"/>
      <c r="H52" s="160"/>
      <c r="I52" s="161"/>
      <c r="J52" s="159"/>
      <c r="K52" s="161">
        <f>K48+K50</f>
        <v>110254.01800000014</v>
      </c>
      <c r="L52" s="159"/>
      <c r="M52" s="161">
        <f>M48+M50</f>
        <v>19676</v>
      </c>
      <c r="N52" s="159"/>
      <c r="O52" s="161"/>
      <c r="P52" s="116"/>
    </row>
    <row r="53" spans="1:16" x14ac:dyDescent="0.2">
      <c r="C53" s="2"/>
      <c r="P53" s="116"/>
    </row>
    <row r="54" spans="1:16" hidden="1" x14ac:dyDescent="0.2">
      <c r="C54" s="2"/>
      <c r="P54" s="116">
        <f>C54-'5.sz. melléklet'!C54</f>
        <v>0</v>
      </c>
    </row>
    <row r="55" spans="1:16" hidden="1" x14ac:dyDescent="0.2">
      <c r="C55" s="2" t="s">
        <v>92</v>
      </c>
      <c r="P55" s="116"/>
    </row>
    <row r="56" spans="1:16" hidden="1" x14ac:dyDescent="0.2">
      <c r="B56" s="1">
        <v>2400000</v>
      </c>
      <c r="C56" s="2"/>
      <c r="P56" s="116"/>
    </row>
    <row r="57" spans="1:16" hidden="1" x14ac:dyDescent="0.2">
      <c r="B57" s="1">
        <v>378900</v>
      </c>
      <c r="C57" s="2"/>
      <c r="D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16"/>
    </row>
    <row r="58" spans="1:16" hidden="1" x14ac:dyDescent="0.2">
      <c r="B58" s="1">
        <v>2500000</v>
      </c>
      <c r="C58" s="2"/>
      <c r="D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16"/>
    </row>
    <row r="59" spans="1:16" hidden="1" x14ac:dyDescent="0.2">
      <c r="C59" s="1">
        <v>702648</v>
      </c>
      <c r="F59" s="2"/>
      <c r="G59" s="2"/>
      <c r="H59" s="2"/>
      <c r="I59" s="2"/>
      <c r="M59" s="2"/>
      <c r="N59" s="2"/>
      <c r="O59" s="2"/>
      <c r="P59" s="116"/>
    </row>
    <row r="60" spans="1:16" hidden="1" x14ac:dyDescent="0.2">
      <c r="B60" s="1">
        <v>1600000</v>
      </c>
      <c r="C60" s="2"/>
      <c r="F60" s="2"/>
      <c r="G60" s="2"/>
      <c r="H60" s="2"/>
      <c r="I60" s="2"/>
      <c r="M60" s="2"/>
      <c r="N60" s="2"/>
      <c r="O60" s="2"/>
      <c r="P60" s="116"/>
    </row>
    <row r="61" spans="1:16" hidden="1" x14ac:dyDescent="0.2">
      <c r="C61" s="1">
        <v>1288000</v>
      </c>
      <c r="F61" s="2"/>
      <c r="G61" s="2"/>
      <c r="H61" s="2"/>
      <c r="I61" s="2"/>
      <c r="M61" s="2"/>
      <c r="N61" s="2"/>
      <c r="O61" s="2"/>
      <c r="P61" s="116"/>
    </row>
    <row r="62" spans="1:16" hidden="1" x14ac:dyDescent="0.2">
      <c r="B62" s="1">
        <v>1166000</v>
      </c>
      <c r="C62" s="2"/>
      <c r="F62" s="2"/>
      <c r="G62" s="2"/>
      <c r="H62" s="2"/>
      <c r="I62" s="2"/>
      <c r="M62" s="2"/>
      <c r="N62" s="2"/>
      <c r="O62" s="2"/>
      <c r="P62" s="116"/>
    </row>
    <row r="63" spans="1:16" hidden="1" x14ac:dyDescent="0.2">
      <c r="B63" s="1">
        <v>4816560</v>
      </c>
      <c r="C63" s="2"/>
      <c r="F63" s="2"/>
      <c r="G63" s="2"/>
      <c r="H63" s="2"/>
      <c r="I63" s="2"/>
      <c r="M63" s="2"/>
      <c r="N63" s="2"/>
      <c r="O63" s="2"/>
      <c r="P63" s="116"/>
    </row>
    <row r="64" spans="1:16" hidden="1" x14ac:dyDescent="0.2">
      <c r="C64" s="1">
        <v>4976624</v>
      </c>
      <c r="F64" s="2"/>
      <c r="G64" s="2"/>
      <c r="H64" s="2"/>
      <c r="I64" s="2"/>
      <c r="M64" s="2"/>
      <c r="N64" s="2"/>
      <c r="O64" s="2"/>
      <c r="P64" s="116"/>
    </row>
    <row r="65" spans="2:16" hidden="1" x14ac:dyDescent="0.2">
      <c r="B65" s="1">
        <v>23507261</v>
      </c>
      <c r="C65" s="2"/>
      <c r="F65" s="2"/>
      <c r="G65" s="2"/>
      <c r="H65" s="2"/>
      <c r="I65" s="2"/>
      <c r="M65" s="2"/>
      <c r="N65" s="2"/>
      <c r="O65" s="2"/>
      <c r="P65" s="116"/>
    </row>
    <row r="66" spans="2:16" hidden="1" x14ac:dyDescent="0.2">
      <c r="B66" s="1">
        <v>7290774</v>
      </c>
      <c r="C66" s="2"/>
      <c r="D66" s="2"/>
      <c r="F66" s="2"/>
      <c r="G66" s="2"/>
      <c r="H66" s="2"/>
      <c r="I66" s="2"/>
      <c r="M66" s="2"/>
      <c r="N66" s="2"/>
      <c r="O66" s="2"/>
      <c r="P66" s="116"/>
    </row>
    <row r="67" spans="2:16" hidden="1" x14ac:dyDescent="0.2">
      <c r="B67" s="1">
        <v>1570000</v>
      </c>
      <c r="C67" s="2"/>
      <c r="D67" s="2"/>
      <c r="F67" s="2"/>
      <c r="G67" s="2"/>
      <c r="H67" s="2"/>
      <c r="I67" s="2"/>
      <c r="M67" s="2"/>
      <c r="N67" s="2"/>
      <c r="O67" s="2"/>
      <c r="P67" s="116"/>
    </row>
    <row r="68" spans="2:16" hidden="1" x14ac:dyDescent="0.2">
      <c r="B68" s="1">
        <v>10550000</v>
      </c>
      <c r="C68" s="2"/>
      <c r="D68" s="2"/>
      <c r="F68" s="2"/>
      <c r="G68" s="2"/>
      <c r="H68" s="2"/>
      <c r="I68" s="2"/>
      <c r="M68" s="2"/>
      <c r="N68" s="2"/>
      <c r="O68" s="2"/>
      <c r="P68" s="116"/>
    </row>
    <row r="69" spans="2:16" hidden="1" x14ac:dyDescent="0.2">
      <c r="B69" s="1">
        <v>6600000</v>
      </c>
      <c r="C69" s="2"/>
      <c r="D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16"/>
    </row>
    <row r="70" spans="2:16" hidden="1" x14ac:dyDescent="0.2">
      <c r="B70" s="1">
        <v>4392000</v>
      </c>
      <c r="C70" s="2"/>
      <c r="D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16"/>
    </row>
    <row r="71" spans="2:16" hidden="1" x14ac:dyDescent="0.2">
      <c r="B71" s="1">
        <v>4514000</v>
      </c>
      <c r="C71" s="2"/>
      <c r="D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16"/>
    </row>
    <row r="72" spans="2:16" hidden="1" x14ac:dyDescent="0.2">
      <c r="C72" s="2">
        <v>244000</v>
      </c>
      <c r="D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16"/>
    </row>
    <row r="73" spans="2:16" hidden="1" x14ac:dyDescent="0.2">
      <c r="B73" s="1">
        <v>1464000</v>
      </c>
      <c r="C73" s="2"/>
      <c r="D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16"/>
    </row>
    <row r="74" spans="2:16" hidden="1" x14ac:dyDescent="0.2">
      <c r="C74" s="1">
        <v>10000000</v>
      </c>
      <c r="D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16"/>
    </row>
    <row r="75" spans="2:16" hidden="1" x14ac:dyDescent="0.2">
      <c r="B75" s="1">
        <v>2658136</v>
      </c>
      <c r="D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16"/>
    </row>
    <row r="76" spans="2:16" hidden="1" x14ac:dyDescent="0.2">
      <c r="B76" s="1">
        <v>1291000</v>
      </c>
      <c r="D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16"/>
    </row>
    <row r="77" spans="2:16" hidden="1" x14ac:dyDescent="0.2">
      <c r="B77" s="1">
        <v>10595000</v>
      </c>
      <c r="D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16"/>
    </row>
    <row r="78" spans="2:16" hidden="1" x14ac:dyDescent="0.2">
      <c r="B78" s="1">
        <f>219676+180996</f>
        <v>400672</v>
      </c>
      <c r="C78" s="2"/>
      <c r="D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16"/>
    </row>
    <row r="79" spans="2:16" hidden="1" x14ac:dyDescent="0.2">
      <c r="C79" s="2">
        <v>3285142</v>
      </c>
      <c r="D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16"/>
    </row>
    <row r="80" spans="2:16" hidden="1" x14ac:dyDescent="0.2">
      <c r="B80" s="1">
        <v>1695750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16"/>
    </row>
    <row r="81" spans="2:16" hidden="1" x14ac:dyDescent="0.2">
      <c r="B81" s="1">
        <v>3522994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16"/>
    </row>
    <row r="82" spans="2:16" hidden="1" x14ac:dyDescent="0.2">
      <c r="B82" s="1">
        <v>2968000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16"/>
    </row>
    <row r="83" spans="2:16" hidden="1" x14ac:dyDescent="0.2">
      <c r="B83" s="1">
        <v>2228000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16"/>
    </row>
    <row r="84" spans="2:16" hidden="1" x14ac:dyDescent="0.2">
      <c r="B84" s="1">
        <v>3182000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16"/>
    </row>
    <row r="85" spans="2:16" hidden="1" x14ac:dyDescent="0.2">
      <c r="B85" s="1">
        <v>3405000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16"/>
    </row>
    <row r="86" spans="2:16" hidden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16"/>
    </row>
    <row r="87" spans="2:16" hidden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16"/>
    </row>
    <row r="88" spans="2:16" hidden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16"/>
    </row>
    <row r="89" spans="2:16" hidden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16"/>
    </row>
    <row r="90" spans="2:16" hidden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16"/>
    </row>
    <row r="91" spans="2:16" hidden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16"/>
    </row>
    <row r="92" spans="2:16" x14ac:dyDescent="0.2">
      <c r="C92" s="3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2"/>
      <c r="O92" s="2"/>
      <c r="P92" s="116"/>
    </row>
    <row r="93" spans="2:16" x14ac:dyDescent="0.2">
      <c r="C93" s="3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2"/>
      <c r="O93" s="2"/>
      <c r="P93" s="116"/>
    </row>
    <row r="94" spans="2:16" x14ac:dyDescent="0.2"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16"/>
    </row>
    <row r="95" spans="2:16" x14ac:dyDescent="0.2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16"/>
    </row>
    <row r="96" spans="2:16" x14ac:dyDescent="0.2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16"/>
    </row>
    <row r="97" spans="2:16" x14ac:dyDescent="0.2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16"/>
    </row>
    <row r="98" spans="2:16" x14ac:dyDescent="0.2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16"/>
    </row>
    <row r="99" spans="2:16" x14ac:dyDescent="0.2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16"/>
    </row>
    <row r="100" spans="2:16" x14ac:dyDescent="0.2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16"/>
    </row>
    <row r="101" spans="2:16" x14ac:dyDescent="0.2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16"/>
    </row>
    <row r="102" spans="2:16" x14ac:dyDescent="0.2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16"/>
    </row>
    <row r="103" spans="2:16" x14ac:dyDescent="0.2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16"/>
    </row>
    <row r="104" spans="2:16" x14ac:dyDescent="0.2">
      <c r="B104" s="12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x14ac:dyDescent="0.2">
      <c r="B105" s="12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x14ac:dyDescent="0.2">
      <c r="B106" s="12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x14ac:dyDescent="0.2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x14ac:dyDescent="0.2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x14ac:dyDescent="0.2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x14ac:dyDescent="0.2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x14ac:dyDescent="0.2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x14ac:dyDescent="0.2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4:16" x14ac:dyDescent="0.2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4:16" x14ac:dyDescent="0.2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4:16" x14ac:dyDescent="0.2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4:16" x14ac:dyDescent="0.2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4:16" x14ac:dyDescent="0.2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4:16" x14ac:dyDescent="0.2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4:16" x14ac:dyDescent="0.2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4:16" x14ac:dyDescent="0.2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4:16" x14ac:dyDescent="0.2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4:16" x14ac:dyDescent="0.2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4:16" x14ac:dyDescent="0.2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4:16" x14ac:dyDescent="0.2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4:16" x14ac:dyDescent="0.2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4:16" x14ac:dyDescent="0.2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4:16" x14ac:dyDescent="0.2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4:16" x14ac:dyDescent="0.2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3:16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3:16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3:16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</sheetData>
  <mergeCells count="7">
    <mergeCell ref="N1:O1"/>
    <mergeCell ref="D9:M9"/>
    <mergeCell ref="N9:O9"/>
    <mergeCell ref="D10:I10"/>
    <mergeCell ref="J10:M10"/>
    <mergeCell ref="A4:O4"/>
    <mergeCell ref="B6:N6"/>
  </mergeCells>
  <phoneticPr fontId="19" type="noConversion"/>
  <printOptions horizontalCentered="1" verticalCentered="1"/>
  <pageMargins left="7.874015748031496E-2" right="7.874015748031496E-2" top="0.31496062992125984" bottom="0.31496062992125984" header="0.19685039370078741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5.sz. melléklet</vt:lpstr>
      <vt:lpstr>6. sz. melléklet</vt:lpstr>
      <vt:lpstr>'5.sz. melléklet'!Nyomtatási_terület</vt:lpstr>
      <vt:lpstr>'6. sz. melléklet'!Nyomtatási_terület</vt:lpstr>
    </vt:vector>
  </TitlesOfParts>
  <Company>Budapest II. Kerületi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</dc:creator>
  <cp:lastModifiedBy>Tariné Godó Ágnes</cp:lastModifiedBy>
  <cp:lastPrinted>2019-11-15T09:36:53Z</cp:lastPrinted>
  <dcterms:created xsi:type="dcterms:W3CDTF">2013-05-29T08:17:59Z</dcterms:created>
  <dcterms:modified xsi:type="dcterms:W3CDTF">2019-11-15T12:33:14Z</dcterms:modified>
</cp:coreProperties>
</file>