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i es Koltsegvetesi Osztaly\HUPENZU\2019\Rendelet módosítások\Második mód 10.31\Leadott\"/>
    </mc:Choice>
  </mc:AlternateContent>
  <bookViews>
    <workbookView xWindow="0" yWindow="0" windowWidth="28800" windowHeight="11835" tabRatio="668"/>
  </bookViews>
  <sheets>
    <sheet name="1.sz.melléklet" sheetId="1" r:id="rId1"/>
    <sheet name="2.sz.melléklet" sheetId="2" r:id="rId2"/>
    <sheet name="3.sz.melléklet" sheetId="3" r:id="rId3"/>
    <sheet name="4.sz.melléklet" sheetId="4" r:id="rId4"/>
  </sheets>
  <definedNames>
    <definedName name="Excel_BuiltIn__FilterDatabase_2">'2.sz.melléklet'!$A$15:$AP$168</definedName>
    <definedName name="Excel_BuiltIn__FilterDatabase_3">#REF!</definedName>
    <definedName name="Excel_BuiltIn__FilterDatabase_3_3">'1.sz.melléklet'!$C$7:$W$17</definedName>
    <definedName name="_xlnm.Print_Titles" localSheetId="0">'1.sz.melléklet'!$7:$13</definedName>
    <definedName name="_xlnm.Print_Titles" localSheetId="1">'2.sz.melléklet'!$7:$14</definedName>
    <definedName name="_xlnm.Print_Titles" localSheetId="2">'3.sz.melléklet'!$7:$13</definedName>
    <definedName name="_xlnm.Print_Titles" localSheetId="3">'4.sz.melléklet'!$7:$14</definedName>
    <definedName name="_xlnm.Print_Area" localSheetId="0">'1.sz.melléklet'!$A$1:$W$139</definedName>
    <definedName name="_xlnm.Print_Area" localSheetId="1">'2.sz.melléklet'!$A$1:$Z$350</definedName>
    <definedName name="_xlnm.Print_Area" localSheetId="2">'3.sz.melléklet'!$A$1:$X$109</definedName>
    <definedName name="_xlnm.Print_Area" localSheetId="3">'4.sz.melléklet'!$A$1:$Y$141</definedName>
  </definedNames>
  <calcPr calcId="152511"/>
</workbook>
</file>

<file path=xl/calcChain.xml><?xml version="1.0" encoding="utf-8"?>
<calcChain xmlns="http://schemas.openxmlformats.org/spreadsheetml/2006/main">
  <c r="Y136" i="4" l="1"/>
  <c r="W104" i="3"/>
  <c r="E140" i="4"/>
  <c r="E132" i="4"/>
  <c r="F101" i="3"/>
  <c r="K313" i="2" l="1"/>
  <c r="E192" i="2"/>
  <c r="X343" i="2" l="1"/>
  <c r="R343" i="2"/>
  <c r="Y343" i="2" l="1"/>
  <c r="X341" i="2" l="1"/>
  <c r="R341" i="2"/>
  <c r="Y341" i="2" s="1"/>
  <c r="X340" i="2" l="1"/>
  <c r="R340" i="2"/>
  <c r="Y340" i="2" l="1"/>
  <c r="X337" i="2"/>
  <c r="X338" i="2"/>
  <c r="R337" i="2"/>
  <c r="R338" i="2"/>
  <c r="X335" i="2"/>
  <c r="X336" i="2"/>
  <c r="R335" i="2"/>
  <c r="R336" i="2"/>
  <c r="Y338" i="2" l="1"/>
  <c r="Y337" i="2"/>
  <c r="Y336" i="2"/>
  <c r="Y335" i="2"/>
  <c r="X332" i="2"/>
  <c r="X333" i="2"/>
  <c r="X334" i="2"/>
  <c r="R332" i="2"/>
  <c r="R333" i="2"/>
  <c r="R334" i="2"/>
  <c r="U121" i="1"/>
  <c r="U122" i="1"/>
  <c r="U123" i="1"/>
  <c r="O121" i="1"/>
  <c r="O122" i="1"/>
  <c r="O123" i="1"/>
  <c r="X330" i="2"/>
  <c r="X331" i="2"/>
  <c r="R330" i="2"/>
  <c r="R331" i="2"/>
  <c r="W123" i="1" l="1"/>
  <c r="Y333" i="2"/>
  <c r="W122" i="1"/>
  <c r="W121" i="1"/>
  <c r="Y334" i="2"/>
  <c r="Y332" i="2"/>
  <c r="Y331" i="2"/>
  <c r="Y330" i="2"/>
  <c r="L133" i="4"/>
  <c r="F133" i="4"/>
  <c r="X328" i="2"/>
  <c r="R328" i="2"/>
  <c r="X327" i="2"/>
  <c r="R327" i="2"/>
  <c r="L110" i="4"/>
  <c r="Y327" i="2" l="1"/>
  <c r="Y328" i="2"/>
  <c r="F324" i="2"/>
  <c r="H115" i="1"/>
  <c r="F108" i="4" l="1"/>
  <c r="F107" i="4"/>
  <c r="Z318" i="2"/>
  <c r="X318" i="2"/>
  <c r="R318" i="2"/>
  <c r="F320" i="2"/>
  <c r="F319" i="2"/>
  <c r="F316" i="2"/>
  <c r="Y318" i="2" l="1"/>
  <c r="X315" i="2"/>
  <c r="X316" i="2"/>
  <c r="X317" i="2"/>
  <c r="X319" i="2"/>
  <c r="X320" i="2"/>
  <c r="X321" i="2"/>
  <c r="R315" i="2"/>
  <c r="R316" i="2"/>
  <c r="R317" i="2"/>
  <c r="R319" i="2"/>
  <c r="R320" i="2"/>
  <c r="R321" i="2"/>
  <c r="Y321" i="2" l="1"/>
  <c r="Y317" i="2"/>
  <c r="Y316" i="2"/>
  <c r="Y320" i="2"/>
  <c r="Y319" i="2"/>
  <c r="Y315" i="2"/>
  <c r="X312" i="2" l="1"/>
  <c r="L312" i="2"/>
  <c r="K312" i="2"/>
  <c r="R312" i="2" s="1"/>
  <c r="Y312" i="2" l="1"/>
  <c r="K314" i="2"/>
  <c r="F314" i="2"/>
  <c r="F114" i="1"/>
  <c r="D132" i="4"/>
  <c r="X303" i="2" l="1"/>
  <c r="X304" i="2"/>
  <c r="X305" i="2"/>
  <c r="E106" i="4" l="1"/>
  <c r="D106" i="4"/>
  <c r="F106" i="4"/>
  <c r="Z311" i="2" l="1"/>
  <c r="K311" i="2"/>
  <c r="J310" i="2"/>
  <c r="K310" i="2"/>
  <c r="R310" i="2" s="1"/>
  <c r="D309" i="2"/>
  <c r="F309" i="2"/>
  <c r="F308" i="2"/>
  <c r="K308" i="2"/>
  <c r="J307" i="2"/>
  <c r="K307" i="2"/>
  <c r="X310" i="2"/>
  <c r="X311" i="2"/>
  <c r="X313" i="2"/>
  <c r="X314" i="2"/>
  <c r="X322" i="2"/>
  <c r="X323" i="2"/>
  <c r="X324" i="2"/>
  <c r="X325" i="2"/>
  <c r="R311" i="2"/>
  <c r="R313" i="2"/>
  <c r="R314" i="2"/>
  <c r="R322" i="2"/>
  <c r="R323" i="2"/>
  <c r="R324" i="2"/>
  <c r="R325" i="2"/>
  <c r="F100" i="3"/>
  <c r="F131" i="4"/>
  <c r="Y325" i="2" l="1"/>
  <c r="Y323" i="2"/>
  <c r="Y314" i="2"/>
  <c r="Y322" i="2"/>
  <c r="Y311" i="2"/>
  <c r="Y324" i="2"/>
  <c r="Y313" i="2"/>
  <c r="Y310" i="2"/>
  <c r="Z304" i="2" l="1"/>
  <c r="R304" i="2"/>
  <c r="U111" i="1"/>
  <c r="O111" i="1"/>
  <c r="D110" i="1"/>
  <c r="Z302" i="2"/>
  <c r="X302" i="2"/>
  <c r="R302" i="2"/>
  <c r="R303" i="2"/>
  <c r="U109" i="1"/>
  <c r="U110" i="1"/>
  <c r="O110" i="1"/>
  <c r="D109" i="1"/>
  <c r="O109" i="1" s="1"/>
  <c r="F306" i="2"/>
  <c r="H113" i="1"/>
  <c r="K305" i="2"/>
  <c r="R305" i="2" s="1"/>
  <c r="D112" i="1"/>
  <c r="U80" i="3"/>
  <c r="U81" i="3"/>
  <c r="U82" i="3"/>
  <c r="U83" i="3"/>
  <c r="U84" i="3"/>
  <c r="U85" i="3"/>
  <c r="O80" i="3"/>
  <c r="O81" i="3"/>
  <c r="O82" i="3"/>
  <c r="O83" i="3"/>
  <c r="O84" i="3"/>
  <c r="O85" i="3"/>
  <c r="X80" i="3"/>
  <c r="E105" i="4"/>
  <c r="D105" i="4"/>
  <c r="U112" i="1"/>
  <c r="U113" i="1"/>
  <c r="U114" i="1"/>
  <c r="U115" i="1"/>
  <c r="U116" i="1"/>
  <c r="U117" i="1"/>
  <c r="U118" i="1"/>
  <c r="U119" i="1"/>
  <c r="U120" i="1"/>
  <c r="U124" i="1"/>
  <c r="O112" i="1"/>
  <c r="O113" i="1"/>
  <c r="O114" i="1"/>
  <c r="O115" i="1"/>
  <c r="O116" i="1"/>
  <c r="O117" i="1"/>
  <c r="O118" i="1"/>
  <c r="O119" i="1"/>
  <c r="O120" i="1"/>
  <c r="O124" i="1"/>
  <c r="D108" i="1"/>
  <c r="Z301" i="2"/>
  <c r="L300" i="2"/>
  <c r="K300" i="2"/>
  <c r="Z299" i="2"/>
  <c r="K299" i="2"/>
  <c r="L104" i="4"/>
  <c r="F103" i="4"/>
  <c r="X78" i="3"/>
  <c r="K298" i="2"/>
  <c r="K297" i="2"/>
  <c r="F297" i="2"/>
  <c r="L296" i="2"/>
  <c r="F296" i="2"/>
  <c r="H107" i="1"/>
  <c r="F294" i="2"/>
  <c r="E294" i="2"/>
  <c r="D294" i="2"/>
  <c r="M293" i="2"/>
  <c r="F293" i="2"/>
  <c r="W84" i="3" l="1"/>
  <c r="W85" i="3"/>
  <c r="W81" i="3"/>
  <c r="W80" i="3"/>
  <c r="W109" i="1"/>
  <c r="W110" i="1"/>
  <c r="W111" i="1"/>
  <c r="W124" i="1"/>
  <c r="W117" i="1"/>
  <c r="W113" i="1"/>
  <c r="W112" i="1"/>
  <c r="W120" i="1"/>
  <c r="W116" i="1"/>
  <c r="W118" i="1"/>
  <c r="W119" i="1"/>
  <c r="W115" i="1"/>
  <c r="W114" i="1"/>
  <c r="W82" i="3"/>
  <c r="W83" i="3"/>
  <c r="Y303" i="2"/>
  <c r="Y304" i="2"/>
  <c r="Y302" i="2"/>
  <c r="F102" i="4" l="1"/>
  <c r="R102" i="4" s="1"/>
  <c r="X77" i="3"/>
  <c r="L292" i="2"/>
  <c r="K292" i="2"/>
  <c r="R292" i="2" s="1"/>
  <c r="L291" i="2"/>
  <c r="F291" i="2"/>
  <c r="L290" i="2"/>
  <c r="F290" i="2"/>
  <c r="L289" i="2"/>
  <c r="K289" i="2"/>
  <c r="X102" i="4"/>
  <c r="X103" i="4"/>
  <c r="X104" i="4"/>
  <c r="X105" i="4"/>
  <c r="X106" i="4"/>
  <c r="X107" i="4"/>
  <c r="X108" i="4"/>
  <c r="X109" i="4"/>
  <c r="X110" i="4"/>
  <c r="R103" i="4"/>
  <c r="R104" i="4"/>
  <c r="R105" i="4"/>
  <c r="Y105" i="4" s="1"/>
  <c r="R106" i="4"/>
  <c r="Y106" i="4" s="1"/>
  <c r="R107" i="4"/>
  <c r="R108" i="4"/>
  <c r="R109" i="4"/>
  <c r="Y109" i="4" s="1"/>
  <c r="R110" i="4"/>
  <c r="Y110" i="4" s="1"/>
  <c r="O79" i="3"/>
  <c r="U77" i="3"/>
  <c r="U78" i="3"/>
  <c r="U79" i="3"/>
  <c r="O77" i="3"/>
  <c r="O78" i="3"/>
  <c r="F288" i="2"/>
  <c r="Z288" i="2"/>
  <c r="X291" i="2"/>
  <c r="X292" i="2"/>
  <c r="X293" i="2"/>
  <c r="X294" i="2"/>
  <c r="X295" i="2"/>
  <c r="X296" i="2"/>
  <c r="X297" i="2"/>
  <c r="X298" i="2"/>
  <c r="X299" i="2"/>
  <c r="X300" i="2"/>
  <c r="X301" i="2"/>
  <c r="X306" i="2"/>
  <c r="X307" i="2"/>
  <c r="X308" i="2"/>
  <c r="R291" i="2"/>
  <c r="R293" i="2"/>
  <c r="R294" i="2"/>
  <c r="Y294" i="2" s="1"/>
  <c r="R295" i="2"/>
  <c r="R296" i="2"/>
  <c r="R297" i="2"/>
  <c r="R298" i="2"/>
  <c r="R299" i="2"/>
  <c r="R300" i="2"/>
  <c r="R301" i="2"/>
  <c r="Y305" i="2"/>
  <c r="R306" i="2"/>
  <c r="R307" i="2"/>
  <c r="R308" i="2"/>
  <c r="Y102" i="4" l="1"/>
  <c r="Y108" i="4"/>
  <c r="Y104" i="4"/>
  <c r="Y107" i="4"/>
  <c r="Y103" i="4"/>
  <c r="W77" i="3"/>
  <c r="W78" i="3"/>
  <c r="Y301" i="2"/>
  <c r="Y297" i="2"/>
  <c r="Y298" i="2"/>
  <c r="Y293" i="2"/>
  <c r="Y308" i="2"/>
  <c r="Y300" i="2"/>
  <c r="Y299" i="2"/>
  <c r="W79" i="3"/>
  <c r="Y292" i="2"/>
  <c r="Y291" i="2"/>
  <c r="Y307" i="2"/>
  <c r="Y296" i="2"/>
  <c r="Y306" i="2"/>
  <c r="Y295" i="2"/>
  <c r="F286" i="2" l="1"/>
  <c r="H106" i="1"/>
  <c r="F285" i="2" l="1"/>
  <c r="H105" i="1"/>
  <c r="F284" i="2"/>
  <c r="D284" i="2"/>
  <c r="I104" i="1"/>
  <c r="Z281" i="2" l="1"/>
  <c r="X281" i="2"/>
  <c r="F281" i="2"/>
  <c r="R281" i="2" s="1"/>
  <c r="Y281" i="2" l="1"/>
  <c r="H103" i="1"/>
  <c r="F283" i="2"/>
  <c r="L282" i="2"/>
  <c r="F282" i="2"/>
  <c r="X284" i="2"/>
  <c r="X285" i="2"/>
  <c r="X286" i="2"/>
  <c r="X287" i="2"/>
  <c r="X288" i="2"/>
  <c r="X289" i="2"/>
  <c r="X290" i="2"/>
  <c r="X309" i="2"/>
  <c r="R284" i="2"/>
  <c r="R285" i="2"/>
  <c r="Y285" i="2" s="1"/>
  <c r="R286" i="2"/>
  <c r="R287" i="2"/>
  <c r="Y287" i="2" s="1"/>
  <c r="R288" i="2"/>
  <c r="R289" i="2"/>
  <c r="Y289" i="2" s="1"/>
  <c r="R290" i="2"/>
  <c r="R309" i="2"/>
  <c r="Y309" i="2" s="1"/>
  <c r="F280" i="2"/>
  <c r="L280" i="2"/>
  <c r="Y286" i="2" l="1"/>
  <c r="Y284" i="2"/>
  <c r="Y288" i="2"/>
  <c r="Y290" i="2"/>
  <c r="F130" i="4"/>
  <c r="E130" i="4"/>
  <c r="L279" i="2"/>
  <c r="K279" i="2"/>
  <c r="K278" i="2"/>
  <c r="J278" i="2"/>
  <c r="Z276" i="2" l="1"/>
  <c r="X276" i="2"/>
  <c r="K276" i="2"/>
  <c r="R276" i="2" s="1"/>
  <c r="K277" i="2"/>
  <c r="F277" i="2"/>
  <c r="H102" i="1"/>
  <c r="Y276" i="2" l="1"/>
  <c r="K275" i="2"/>
  <c r="F275" i="2"/>
  <c r="X273" i="2" l="1"/>
  <c r="R273" i="2"/>
  <c r="U100" i="1"/>
  <c r="O100" i="1"/>
  <c r="G100" i="4"/>
  <c r="U94" i="1"/>
  <c r="F94" i="1"/>
  <c r="O94" i="1" s="1"/>
  <c r="W94" i="1" s="1"/>
  <c r="X269" i="2"/>
  <c r="R269" i="2"/>
  <c r="W100" i="1" l="1"/>
  <c r="Y273" i="2"/>
  <c r="Y269" i="2"/>
  <c r="D101" i="1" l="1"/>
  <c r="D97" i="1"/>
  <c r="Z271" i="2"/>
  <c r="K270" i="2" l="1"/>
  <c r="H95" i="1"/>
  <c r="E129" i="4" l="1"/>
  <c r="D129" i="4"/>
  <c r="Z263" i="2"/>
  <c r="L268" i="2"/>
  <c r="F268" i="2"/>
  <c r="L99" i="4"/>
  <c r="X74" i="3"/>
  <c r="Z267" i="2"/>
  <c r="K267" i="2"/>
  <c r="F98" i="4"/>
  <c r="X73" i="3"/>
  <c r="Z266" i="2"/>
  <c r="K266" i="2"/>
  <c r="F265" i="2"/>
  <c r="L265" i="2"/>
  <c r="X72" i="3"/>
  <c r="Z264" i="2"/>
  <c r="K264" i="2"/>
  <c r="L96" i="4"/>
  <c r="X71" i="3"/>
  <c r="K263" i="2"/>
  <c r="F95" i="4"/>
  <c r="X70" i="3"/>
  <c r="Z262" i="2"/>
  <c r="K262" i="2"/>
  <c r="F129" i="4"/>
  <c r="X129" i="4"/>
  <c r="X130" i="4"/>
  <c r="X131" i="4"/>
  <c r="X132" i="4"/>
  <c r="X133" i="4"/>
  <c r="R130" i="4"/>
  <c r="Y130" i="4" s="1"/>
  <c r="R131" i="4"/>
  <c r="Y131" i="4" s="1"/>
  <c r="R132" i="4"/>
  <c r="Y132" i="4" s="1"/>
  <c r="R133" i="4"/>
  <c r="R129" i="4" l="1"/>
  <c r="Y129" i="4" s="1"/>
  <c r="Y133" i="4"/>
  <c r="L261" i="2"/>
  <c r="F261" i="2"/>
  <c r="Z260" i="2"/>
  <c r="K260" i="2"/>
  <c r="L259" i="2"/>
  <c r="F259" i="2"/>
  <c r="L258" i="2"/>
  <c r="K258" i="2"/>
  <c r="L257" i="2"/>
  <c r="K257" i="2"/>
  <c r="L256" i="2"/>
  <c r="K256" i="2"/>
  <c r="F255" i="2"/>
  <c r="K255" i="2"/>
  <c r="L254" i="2"/>
  <c r="K254" i="2"/>
  <c r="F126" i="4" l="1"/>
  <c r="D126" i="4"/>
  <c r="E126" i="4"/>
  <c r="R126" i="4" s="1"/>
  <c r="F97" i="3"/>
  <c r="O97" i="3" s="1"/>
  <c r="W97" i="3" s="1"/>
  <c r="X126" i="4"/>
  <c r="J125" i="4"/>
  <c r="I125" i="4"/>
  <c r="U97" i="3"/>
  <c r="F96" i="3"/>
  <c r="Y126" i="4" l="1"/>
  <c r="E128" i="4" l="1"/>
  <c r="D128" i="4"/>
  <c r="F99" i="3"/>
  <c r="F98" i="3"/>
  <c r="E127" i="4"/>
  <c r="D127" i="4"/>
  <c r="X124" i="4"/>
  <c r="F124" i="4"/>
  <c r="R124" i="4" s="1"/>
  <c r="D124" i="4"/>
  <c r="Y124" i="4" l="1"/>
  <c r="Z239" i="2"/>
  <c r="Q248" i="2"/>
  <c r="D92" i="1"/>
  <c r="Z252" i="2"/>
  <c r="X250" i="2"/>
  <c r="X251" i="2"/>
  <c r="Y251" i="2" s="1"/>
  <c r="R250" i="2"/>
  <c r="R251" i="2"/>
  <c r="U90" i="1"/>
  <c r="U91" i="1"/>
  <c r="D91" i="1"/>
  <c r="O91" i="1" s="1"/>
  <c r="D90" i="1"/>
  <c r="O90" i="1" s="1"/>
  <c r="Z250" i="2"/>
  <c r="X240" i="2"/>
  <c r="X241" i="2"/>
  <c r="Z241" i="2"/>
  <c r="L241" i="2"/>
  <c r="R241" i="2" s="1"/>
  <c r="Z240" i="2"/>
  <c r="F240" i="2"/>
  <c r="R240" i="2" s="1"/>
  <c r="K253" i="2"/>
  <c r="D93" i="1"/>
  <c r="Z249" i="2"/>
  <c r="D89" i="1"/>
  <c r="K248" i="2"/>
  <c r="F247" i="2"/>
  <c r="H88" i="1"/>
  <c r="K246" i="2"/>
  <c r="F246" i="2"/>
  <c r="H87" i="1"/>
  <c r="H85" i="1"/>
  <c r="F244" i="2"/>
  <c r="L243" i="2"/>
  <c r="K243" i="2"/>
  <c r="L242" i="2"/>
  <c r="K242" i="2"/>
  <c r="W90" i="1" l="1"/>
  <c r="W91" i="1"/>
  <c r="Y241" i="2"/>
  <c r="Y250" i="2"/>
  <c r="Y240" i="2"/>
  <c r="F239" i="2" l="1"/>
  <c r="U84" i="1"/>
  <c r="U85" i="1"/>
  <c r="O84" i="1"/>
  <c r="O85" i="1"/>
  <c r="X238" i="2"/>
  <c r="X239" i="2"/>
  <c r="X242" i="2"/>
  <c r="X243" i="2"/>
  <c r="X244" i="2"/>
  <c r="R239" i="2"/>
  <c r="R242" i="2"/>
  <c r="R243" i="2"/>
  <c r="Y243" i="2" s="1"/>
  <c r="R244" i="2"/>
  <c r="K238" i="2"/>
  <c r="R238" i="2" s="1"/>
  <c r="Y239" i="2" l="1"/>
  <c r="W84" i="1"/>
  <c r="W85" i="1"/>
  <c r="Y238" i="2"/>
  <c r="Y242" i="2"/>
  <c r="Y244" i="2"/>
  <c r="H95" i="3" l="1"/>
  <c r="U94" i="3"/>
  <c r="U95" i="3"/>
  <c r="U96" i="3"/>
  <c r="U98" i="3"/>
  <c r="U99" i="3"/>
  <c r="U100" i="3"/>
  <c r="U101" i="3"/>
  <c r="O95" i="3"/>
  <c r="O96" i="3"/>
  <c r="O98" i="3"/>
  <c r="W98" i="3" s="1"/>
  <c r="O99" i="3"/>
  <c r="O100" i="3"/>
  <c r="O101" i="3"/>
  <c r="F94" i="3"/>
  <c r="O94" i="3" s="1"/>
  <c r="E122" i="4"/>
  <c r="D122" i="4"/>
  <c r="D121" i="4"/>
  <c r="E121" i="4"/>
  <c r="F93" i="3"/>
  <c r="W94" i="3" l="1"/>
  <c r="W99" i="3"/>
  <c r="W96" i="3"/>
  <c r="W100" i="3"/>
  <c r="W101" i="3"/>
  <c r="W95" i="3"/>
  <c r="Z234" i="2"/>
  <c r="F213" i="2"/>
  <c r="X234" i="2"/>
  <c r="R234" i="2"/>
  <c r="Y234" i="2" l="1"/>
  <c r="Z223" i="2" l="1"/>
  <c r="K223" i="2"/>
  <c r="M224" i="2"/>
  <c r="D214" i="2"/>
  <c r="Z212" i="2"/>
  <c r="K245" i="2"/>
  <c r="G86" i="1"/>
  <c r="F227" i="2"/>
  <c r="Z227" i="2"/>
  <c r="X227" i="2"/>
  <c r="E227" i="2"/>
  <c r="D227" i="2"/>
  <c r="Z222" i="2"/>
  <c r="X222" i="2"/>
  <c r="X223" i="2"/>
  <c r="R223" i="2"/>
  <c r="E222" i="2"/>
  <c r="D222" i="2"/>
  <c r="R222" i="2" s="1"/>
  <c r="U79" i="1"/>
  <c r="O79" i="1"/>
  <c r="X220" i="2"/>
  <c r="R220" i="2"/>
  <c r="Y220" i="2" s="1"/>
  <c r="X209" i="2"/>
  <c r="X210" i="2"/>
  <c r="X211" i="2"/>
  <c r="X212" i="2"/>
  <c r="X213" i="2"/>
  <c r="X214" i="2"/>
  <c r="X215" i="2"/>
  <c r="X216" i="2"/>
  <c r="X217" i="2"/>
  <c r="X218" i="2"/>
  <c r="R213" i="2"/>
  <c r="R217" i="2"/>
  <c r="R218" i="2"/>
  <c r="Z218" i="2"/>
  <c r="U76" i="1"/>
  <c r="U77" i="1"/>
  <c r="O77" i="1"/>
  <c r="D76" i="1"/>
  <c r="O76" i="1" s="1"/>
  <c r="Z217" i="2"/>
  <c r="Z216" i="2"/>
  <c r="E216" i="2"/>
  <c r="D216" i="2"/>
  <c r="Z215" i="2"/>
  <c r="J215" i="2"/>
  <c r="R215" i="2" s="1"/>
  <c r="Z214" i="2"/>
  <c r="E214" i="2"/>
  <c r="R214" i="2" s="1"/>
  <c r="Z213" i="2"/>
  <c r="E212" i="2"/>
  <c r="D212" i="2"/>
  <c r="Z211" i="2"/>
  <c r="E211" i="2"/>
  <c r="D211" i="2"/>
  <c r="R211" i="2" s="1"/>
  <c r="Z210" i="2"/>
  <c r="E210" i="2"/>
  <c r="D210" i="2"/>
  <c r="Z209" i="2"/>
  <c r="J209" i="2"/>
  <c r="R209" i="2" s="1"/>
  <c r="F237" i="2"/>
  <c r="L236" i="2"/>
  <c r="F236" i="2"/>
  <c r="L235" i="2"/>
  <c r="F235" i="2"/>
  <c r="K233" i="2"/>
  <c r="J233" i="2"/>
  <c r="K232" i="2"/>
  <c r="E82" i="1"/>
  <c r="Z231" i="2"/>
  <c r="F93" i="4"/>
  <c r="X68" i="3"/>
  <c r="K231" i="2"/>
  <c r="L230" i="2"/>
  <c r="K230" i="2"/>
  <c r="F229" i="2"/>
  <c r="H81" i="1"/>
  <c r="M228" i="2"/>
  <c r="F228" i="2"/>
  <c r="K226" i="2"/>
  <c r="H80" i="1"/>
  <c r="I225" i="2"/>
  <c r="J225" i="2"/>
  <c r="F224" i="2"/>
  <c r="J221" i="2"/>
  <c r="K221" i="2"/>
  <c r="E92" i="4"/>
  <c r="D92" i="4"/>
  <c r="D78" i="1"/>
  <c r="L208" i="2"/>
  <c r="K208" i="2"/>
  <c r="E207" i="2"/>
  <c r="D207" i="2"/>
  <c r="F207" i="2"/>
  <c r="F206" i="2"/>
  <c r="H75" i="1"/>
  <c r="K205" i="2"/>
  <c r="F205" i="2"/>
  <c r="X203" i="2"/>
  <c r="F203" i="2"/>
  <c r="J203" i="2"/>
  <c r="R203" i="2" s="1"/>
  <c r="R212" i="2" l="1"/>
  <c r="R227" i="2"/>
  <c r="Y227" i="2" s="1"/>
  <c r="R210" i="2"/>
  <c r="Y210" i="2" s="1"/>
  <c r="R216" i="2"/>
  <c r="Y216" i="2" s="1"/>
  <c r="Y215" i="2"/>
  <c r="Y213" i="2"/>
  <c r="Y222" i="2"/>
  <c r="Y212" i="2"/>
  <c r="Y223" i="2"/>
  <c r="Y214" i="2"/>
  <c r="Y217" i="2"/>
  <c r="Y218" i="2"/>
  <c r="Y211" i="2"/>
  <c r="W77" i="1"/>
  <c r="W76" i="1"/>
  <c r="W79" i="1"/>
  <c r="Y209" i="2"/>
  <c r="Y203" i="2"/>
  <c r="K204" i="2" l="1"/>
  <c r="L204" i="2"/>
  <c r="K202" i="2"/>
  <c r="J202" i="2"/>
  <c r="K201" i="2"/>
  <c r="J201" i="2"/>
  <c r="K200" i="2"/>
  <c r="J200" i="2"/>
  <c r="F120" i="4" l="1"/>
  <c r="H92" i="3"/>
  <c r="Q199" i="2" l="1"/>
  <c r="J197" i="2"/>
  <c r="D74" i="1"/>
  <c r="X196" i="2"/>
  <c r="R196" i="2"/>
  <c r="Z195" i="2"/>
  <c r="D73" i="1"/>
  <c r="D72" i="1"/>
  <c r="Z194" i="2"/>
  <c r="Z192" i="2"/>
  <c r="D192" i="2"/>
  <c r="Z191" i="2"/>
  <c r="E191" i="2"/>
  <c r="F191" i="2"/>
  <c r="D191" i="2"/>
  <c r="Z190" i="2"/>
  <c r="K190" i="2"/>
  <c r="Y196" i="2" l="1"/>
  <c r="K199" i="2"/>
  <c r="Q198" i="2"/>
  <c r="K198" i="2"/>
  <c r="E91" i="4"/>
  <c r="D91" i="4"/>
  <c r="X66" i="3"/>
  <c r="X190" i="2"/>
  <c r="X191" i="2"/>
  <c r="X192" i="2"/>
  <c r="X193" i="2"/>
  <c r="X194" i="2"/>
  <c r="X195" i="2"/>
  <c r="R190" i="2"/>
  <c r="R191" i="2"/>
  <c r="R192" i="2"/>
  <c r="R193" i="2"/>
  <c r="R194" i="2"/>
  <c r="R195" i="2"/>
  <c r="D71" i="1"/>
  <c r="Y191" i="2" l="1"/>
  <c r="Y193" i="2"/>
  <c r="Y195" i="2"/>
  <c r="Y194" i="2"/>
  <c r="Y192" i="2"/>
  <c r="Y190" i="2"/>
  <c r="F197" i="2"/>
  <c r="K182" i="2" l="1"/>
  <c r="K189" i="2" l="1"/>
  <c r="L70" i="1"/>
  <c r="I188" i="2" l="1"/>
  <c r="F188" i="2"/>
  <c r="D187" i="2" l="1"/>
  <c r="F187" i="2"/>
  <c r="H69" i="1"/>
  <c r="F186" i="2"/>
  <c r="F185" i="2"/>
  <c r="H68" i="1"/>
  <c r="N67" i="1"/>
  <c r="K184" i="2"/>
  <c r="K183" i="2"/>
  <c r="H66" i="1"/>
  <c r="F90" i="4"/>
  <c r="X65" i="3"/>
  <c r="Z182" i="2"/>
  <c r="M181" i="2"/>
  <c r="F181" i="2"/>
  <c r="Z180" i="2"/>
  <c r="K180" i="2"/>
  <c r="X64" i="3"/>
  <c r="F89" i="4"/>
  <c r="F88" i="4" l="1"/>
  <c r="U63" i="3"/>
  <c r="O63" i="3"/>
  <c r="W63" i="3" s="1"/>
  <c r="Z178" i="2"/>
  <c r="K178" i="2"/>
  <c r="L87" i="4" l="1"/>
  <c r="X62" i="3"/>
  <c r="X177" i="2" l="1"/>
  <c r="Z177" i="2"/>
  <c r="K177" i="2"/>
  <c r="R177" i="2" s="1"/>
  <c r="Y177" i="2" l="1"/>
  <c r="H65" i="1"/>
  <c r="H126" i="1" s="1"/>
  <c r="F176" i="2"/>
  <c r="F179" i="2"/>
  <c r="K179" i="2"/>
  <c r="F346" i="2" l="1"/>
  <c r="H91" i="3"/>
  <c r="F118" i="4"/>
  <c r="F119" i="4"/>
  <c r="D118" i="4"/>
  <c r="L117" i="4"/>
  <c r="F117" i="4"/>
  <c r="L116" i="4"/>
  <c r="F116" i="4"/>
  <c r="R61" i="1" l="1"/>
  <c r="K124" i="2" l="1"/>
  <c r="F156" i="2"/>
  <c r="F159" i="2" l="1"/>
  <c r="F157" i="2"/>
  <c r="F148" i="2"/>
  <c r="F144" i="2"/>
  <c r="F142" i="2"/>
  <c r="F138" i="2"/>
  <c r="F134" i="2"/>
  <c r="F125" i="2"/>
  <c r="Q144" i="2" l="1"/>
  <c r="J144" i="2"/>
  <c r="L167" i="2"/>
  <c r="L165" i="2"/>
  <c r="L162" i="2"/>
  <c r="L161" i="2"/>
  <c r="Q161" i="2"/>
  <c r="L159" i="2"/>
  <c r="Q159" i="2" l="1"/>
  <c r="J159" i="2"/>
  <c r="F154" i="2" l="1"/>
  <c r="M153" i="2"/>
  <c r="L148" i="2"/>
  <c r="F147" i="2"/>
  <c r="L146" i="2"/>
  <c r="F145" i="2"/>
  <c r="G145" i="2"/>
  <c r="K143" i="2"/>
  <c r="F143" i="2"/>
  <c r="F131" i="2"/>
  <c r="F130" i="2"/>
  <c r="E130" i="2"/>
  <c r="D130" i="2"/>
  <c r="K125" i="2"/>
  <c r="Z124" i="2"/>
  <c r="L31" i="4" l="1"/>
  <c r="F31" i="4"/>
  <c r="M31" i="4"/>
  <c r="U29" i="3"/>
  <c r="O29" i="3"/>
  <c r="X29" i="3"/>
  <c r="R55" i="3"/>
  <c r="F80" i="4"/>
  <c r="F79" i="4"/>
  <c r="F77" i="4"/>
  <c r="D77" i="4"/>
  <c r="F75" i="4"/>
  <c r="F73" i="4"/>
  <c r="F71" i="4"/>
  <c r="F70" i="4"/>
  <c r="E68" i="4"/>
  <c r="D68" i="4"/>
  <c r="F66" i="4"/>
  <c r="W29" i="3" l="1"/>
  <c r="F49" i="4"/>
  <c r="E49" i="4"/>
  <c r="D49" i="4"/>
  <c r="F30" i="4"/>
  <c r="D30" i="4"/>
  <c r="E55" i="4"/>
  <c r="G55" i="4"/>
  <c r="H55" i="4"/>
  <c r="I55" i="4"/>
  <c r="J55" i="4"/>
  <c r="K55" i="4"/>
  <c r="M55" i="4"/>
  <c r="N55" i="4"/>
  <c r="O55" i="4"/>
  <c r="P55" i="4"/>
  <c r="Q55" i="4"/>
  <c r="E30" i="4" l="1"/>
  <c r="X28" i="3"/>
  <c r="X107" i="2"/>
  <c r="R107" i="2"/>
  <c r="Z107" i="2"/>
  <c r="K107" i="2"/>
  <c r="F44" i="3"/>
  <c r="H55" i="1"/>
  <c r="K108" i="2"/>
  <c r="X102" i="2"/>
  <c r="L102" i="2"/>
  <c r="F102" i="2"/>
  <c r="R102" i="2" l="1"/>
  <c r="Y102" i="2" s="1"/>
  <c r="Y107" i="2"/>
  <c r="Z93" i="2"/>
  <c r="X93" i="2"/>
  <c r="K93" i="2"/>
  <c r="R93" i="2" s="1"/>
  <c r="U46" i="1"/>
  <c r="U47" i="1"/>
  <c r="U48" i="1"/>
  <c r="D48" i="1"/>
  <c r="O48" i="1" s="1"/>
  <c r="X92" i="2"/>
  <c r="R92" i="2"/>
  <c r="X90" i="2"/>
  <c r="X91" i="2"/>
  <c r="R90" i="2"/>
  <c r="R91" i="2"/>
  <c r="D47" i="1"/>
  <c r="O47" i="1" s="1"/>
  <c r="D46" i="1"/>
  <c r="O46" i="1" s="1"/>
  <c r="L54" i="1"/>
  <c r="K106" i="2"/>
  <c r="K105" i="2"/>
  <c r="J105" i="2"/>
  <c r="M104" i="2"/>
  <c r="F104" i="2"/>
  <c r="L103" i="2"/>
  <c r="F103" i="2"/>
  <c r="F29" i="4"/>
  <c r="X27" i="3"/>
  <c r="F101" i="2"/>
  <c r="Z101" i="2"/>
  <c r="L100" i="2"/>
  <c r="K100" i="2"/>
  <c r="W46" i="1" l="1"/>
  <c r="W47" i="1"/>
  <c r="W48" i="1"/>
  <c r="Y92" i="2"/>
  <c r="Y91" i="2"/>
  <c r="Y93" i="2"/>
  <c r="Y90" i="2"/>
  <c r="L99" i="2"/>
  <c r="F99" i="2"/>
  <c r="F98" i="2"/>
  <c r="J136" i="2" l="1"/>
  <c r="J97" i="2" l="1"/>
  <c r="I52" i="1"/>
  <c r="F96" i="2"/>
  <c r="H51" i="1"/>
  <c r="X49" i="4" l="1"/>
  <c r="X50" i="4"/>
  <c r="X51" i="4"/>
  <c r="X52" i="4"/>
  <c r="X53" i="4"/>
  <c r="R49" i="4"/>
  <c r="R50" i="4"/>
  <c r="Y50" i="4" s="1"/>
  <c r="R51" i="4"/>
  <c r="R52" i="4"/>
  <c r="R53" i="4"/>
  <c r="Y53" i="4" s="1"/>
  <c r="Y49" i="4" l="1"/>
  <c r="Y52" i="4"/>
  <c r="Y51" i="4"/>
  <c r="E28" i="4"/>
  <c r="D28" i="4"/>
  <c r="X26" i="3"/>
  <c r="Z89" i="2"/>
  <c r="D45" i="1"/>
  <c r="L80" i="4" l="1"/>
  <c r="F47" i="4"/>
  <c r="H43" i="3"/>
  <c r="L42" i="3"/>
  <c r="G41" i="3"/>
  <c r="F45" i="4"/>
  <c r="D44" i="4"/>
  <c r="F44" i="4"/>
  <c r="K95" i="2"/>
  <c r="H50" i="1"/>
  <c r="O50" i="1" s="1"/>
  <c r="K94" i="2"/>
  <c r="F49" i="1"/>
  <c r="O49" i="1" s="1"/>
  <c r="F88" i="2"/>
  <c r="H44" i="1"/>
  <c r="O44" i="1" s="1"/>
  <c r="U44" i="1"/>
  <c r="U45" i="1"/>
  <c r="U49" i="1"/>
  <c r="U50" i="1"/>
  <c r="U51" i="1"/>
  <c r="U52" i="1"/>
  <c r="U53" i="1"/>
  <c r="O45" i="1"/>
  <c r="O51" i="1"/>
  <c r="O52" i="1"/>
  <c r="O53" i="1"/>
  <c r="O54" i="1"/>
  <c r="J125" i="2"/>
  <c r="L134" i="2"/>
  <c r="W52" i="1" l="1"/>
  <c r="W44" i="1"/>
  <c r="W51" i="1"/>
  <c r="W45" i="1"/>
  <c r="W50" i="1"/>
  <c r="W53" i="1"/>
  <c r="W49" i="1"/>
  <c r="F27" i="4"/>
  <c r="K87" i="2" l="1"/>
  <c r="F87" i="2"/>
  <c r="X25" i="3" l="1"/>
  <c r="Z86" i="2"/>
  <c r="F86" i="2"/>
  <c r="L85" i="2" l="1"/>
  <c r="F85" i="2"/>
  <c r="L26" i="4"/>
  <c r="X24" i="3"/>
  <c r="Z84" i="2"/>
  <c r="K84" i="2"/>
  <c r="F83" i="2"/>
  <c r="E83" i="2"/>
  <c r="K82" i="2"/>
  <c r="D82" i="2"/>
  <c r="F166" i="2"/>
  <c r="L81" i="2" l="1"/>
  <c r="F81" i="2"/>
  <c r="F77" i="2"/>
  <c r="D77" i="2"/>
  <c r="X79" i="2" l="1"/>
  <c r="L79" i="2"/>
  <c r="K79" i="2"/>
  <c r="F79" i="2"/>
  <c r="K80" i="2"/>
  <c r="F43" i="1"/>
  <c r="L153" i="2"/>
  <c r="R79" i="2" l="1"/>
  <c r="Y79" i="2" s="1"/>
  <c r="K78" i="2"/>
  <c r="F78" i="2"/>
  <c r="E77" i="2"/>
  <c r="L77" i="2"/>
  <c r="K77" i="2"/>
  <c r="J77" i="2"/>
  <c r="F132" i="2"/>
  <c r="H41" i="1" l="1"/>
  <c r="F41" i="1"/>
  <c r="H42" i="1"/>
  <c r="K76" i="2"/>
  <c r="K75" i="2"/>
  <c r="F40" i="1"/>
  <c r="K74" i="2"/>
  <c r="F136" i="2" l="1"/>
  <c r="J127" i="2"/>
  <c r="F73" i="2"/>
  <c r="F72" i="2"/>
  <c r="E73" i="2"/>
  <c r="E72" i="2"/>
  <c r="D73" i="2"/>
  <c r="D72" i="2"/>
  <c r="M148" i="2" l="1"/>
  <c r="H39" i="1" l="1"/>
  <c r="K71" i="2"/>
  <c r="L166" i="2" l="1"/>
  <c r="F149" i="2"/>
  <c r="H38" i="1" l="1"/>
  <c r="K70" i="2"/>
  <c r="H37" i="1" l="1"/>
  <c r="K69" i="2"/>
  <c r="K68" i="2" l="1"/>
  <c r="K67" i="2"/>
  <c r="H36" i="1"/>
  <c r="G35" i="1"/>
  <c r="G66" i="2" l="1"/>
  <c r="F66" i="2"/>
  <c r="K65" i="2" l="1"/>
  <c r="H34" i="1"/>
  <c r="X23" i="3" l="1"/>
  <c r="L25" i="4"/>
  <c r="X62" i="2"/>
  <c r="R62" i="2"/>
  <c r="Y62" i="2" s="1"/>
  <c r="Z62" i="2"/>
  <c r="K62" i="2"/>
  <c r="F33" i="1"/>
  <c r="D33" i="1"/>
  <c r="K64" i="2"/>
  <c r="K63" i="2" l="1"/>
  <c r="H32" i="1"/>
  <c r="F61" i="2" l="1"/>
  <c r="I61" i="2"/>
  <c r="X48" i="2" l="1"/>
  <c r="L48" i="2"/>
  <c r="F48" i="2"/>
  <c r="R48" i="2" s="1"/>
  <c r="X50" i="3"/>
  <c r="T50" i="3"/>
  <c r="S50" i="3"/>
  <c r="F50" i="3"/>
  <c r="I50" i="3"/>
  <c r="J50" i="3"/>
  <c r="K50" i="3"/>
  <c r="L50" i="3"/>
  <c r="M50" i="3"/>
  <c r="N50" i="3"/>
  <c r="D50" i="3"/>
  <c r="E50" i="3"/>
  <c r="Y48" i="2" l="1"/>
  <c r="X164" i="2" l="1"/>
  <c r="L164" i="2"/>
  <c r="F164" i="2"/>
  <c r="R164" i="2" s="1"/>
  <c r="H40" i="3"/>
  <c r="F43" i="4"/>
  <c r="F42" i="4"/>
  <c r="G39" i="3"/>
  <c r="H38" i="3"/>
  <c r="O38" i="3" s="1"/>
  <c r="F41" i="4"/>
  <c r="F39" i="4"/>
  <c r="F40" i="4"/>
  <c r="H37" i="3"/>
  <c r="O37" i="3" s="1"/>
  <c r="H36" i="3"/>
  <c r="G35" i="3"/>
  <c r="O35" i="3" l="1"/>
  <c r="G50" i="3"/>
  <c r="O36" i="3"/>
  <c r="H50" i="3"/>
  <c r="Y164" i="2"/>
  <c r="K60" i="2"/>
  <c r="H31" i="1"/>
  <c r="Q143" i="2" l="1"/>
  <c r="L58" i="2" l="1"/>
  <c r="F58" i="2"/>
  <c r="K57" i="2" l="1"/>
  <c r="H29" i="1"/>
  <c r="F38" i="4" l="1"/>
  <c r="D38" i="4"/>
  <c r="D55" i="4" s="1"/>
  <c r="X22" i="3" l="1"/>
  <c r="O19" i="3" l="1"/>
  <c r="W19" i="3" s="1"/>
  <c r="X21" i="4"/>
  <c r="E21" i="4"/>
  <c r="D21" i="4"/>
  <c r="R21" i="4" s="1"/>
  <c r="Y21" i="4" s="1"/>
  <c r="X20" i="4" l="1"/>
  <c r="R20" i="4"/>
  <c r="O18" i="3"/>
  <c r="W18" i="3" s="1"/>
  <c r="W20" i="3"/>
  <c r="Y20" i="4" l="1"/>
  <c r="K31" i="2"/>
  <c r="Z56" i="2"/>
  <c r="K56" i="2"/>
  <c r="Z55" i="2"/>
  <c r="X51" i="2"/>
  <c r="R51" i="2"/>
  <c r="Y51" i="2" s="1"/>
  <c r="Z51" i="2"/>
  <c r="F51" i="2"/>
  <c r="D25" i="1"/>
  <c r="L79" i="4" l="1"/>
  <c r="L77" i="4"/>
  <c r="X36" i="2" l="1"/>
  <c r="F36" i="2"/>
  <c r="R36" i="2" s="1"/>
  <c r="U21" i="1"/>
  <c r="O21" i="1"/>
  <c r="H21" i="1"/>
  <c r="X32" i="2"/>
  <c r="L32" i="2"/>
  <c r="F32" i="2"/>
  <c r="X43" i="2"/>
  <c r="F43" i="2"/>
  <c r="R43" i="2" s="1"/>
  <c r="H24" i="1"/>
  <c r="X35" i="2"/>
  <c r="K35" i="2"/>
  <c r="R35" i="2" s="1"/>
  <c r="U20" i="1"/>
  <c r="H20" i="1"/>
  <c r="O20" i="1" s="1"/>
  <c r="X38" i="2"/>
  <c r="L38" i="2"/>
  <c r="K38" i="2"/>
  <c r="U22" i="1"/>
  <c r="L22" i="1"/>
  <c r="O22" i="1" s="1"/>
  <c r="Q154" i="2"/>
  <c r="U35" i="3"/>
  <c r="U36" i="3"/>
  <c r="W36" i="3" s="1"/>
  <c r="U37" i="3"/>
  <c r="W37" i="3" s="1"/>
  <c r="U38" i="3"/>
  <c r="W38" i="3" s="1"/>
  <c r="X41" i="2"/>
  <c r="F41" i="2"/>
  <c r="E41" i="2"/>
  <c r="D41" i="2"/>
  <c r="K41" i="2"/>
  <c r="L42" i="2"/>
  <c r="J42" i="2"/>
  <c r="F42" i="2"/>
  <c r="E42" i="2"/>
  <c r="D42" i="2"/>
  <c r="K42" i="2"/>
  <c r="X47" i="2"/>
  <c r="L47" i="2"/>
  <c r="F47" i="2"/>
  <c r="X46" i="2"/>
  <c r="L46" i="2"/>
  <c r="F46" i="2"/>
  <c r="K44" i="2"/>
  <c r="J44" i="2"/>
  <c r="K45" i="2"/>
  <c r="J45" i="2"/>
  <c r="K50" i="2"/>
  <c r="J50" i="2"/>
  <c r="D49" i="2"/>
  <c r="F49" i="2"/>
  <c r="Z39" i="2"/>
  <c r="X39" i="2"/>
  <c r="F39" i="2"/>
  <c r="R39" i="2" s="1"/>
  <c r="R47" i="2" l="1"/>
  <c r="Y47" i="2" s="1"/>
  <c r="W35" i="3"/>
  <c r="W21" i="1"/>
  <c r="R38" i="2"/>
  <c r="Y38" i="2" s="1"/>
  <c r="R46" i="2"/>
  <c r="Y46" i="2" s="1"/>
  <c r="R41" i="2"/>
  <c r="Y41" i="2" s="1"/>
  <c r="R32" i="2"/>
  <c r="Y32" i="2" s="1"/>
  <c r="Y36" i="2"/>
  <c r="W20" i="1"/>
  <c r="W22" i="1"/>
  <c r="Y43" i="2"/>
  <c r="Y35" i="2"/>
  <c r="Y39" i="2"/>
  <c r="Z31" i="2" l="1"/>
  <c r="X31" i="2"/>
  <c r="R31" i="2"/>
  <c r="Y31" i="2" l="1"/>
  <c r="F29" i="2" l="1"/>
  <c r="Z29" i="2"/>
  <c r="X28" i="2"/>
  <c r="X29" i="2"/>
  <c r="R29" i="2"/>
  <c r="Z28" i="2"/>
  <c r="F28" i="2"/>
  <c r="R28" i="2" s="1"/>
  <c r="Z18" i="2"/>
  <c r="K18" i="2"/>
  <c r="Y28" i="2" l="1"/>
  <c r="Y29" i="2"/>
  <c r="F37" i="4"/>
  <c r="F40" i="2"/>
  <c r="G23" i="1"/>
  <c r="E23" i="4" l="1"/>
  <c r="D23" i="4"/>
  <c r="X21" i="3"/>
  <c r="Z37" i="2"/>
  <c r="E37" i="2"/>
  <c r="D37" i="2"/>
  <c r="Z30" i="2" l="1"/>
  <c r="X30" i="2"/>
  <c r="F30" i="2"/>
  <c r="R30" i="2" s="1"/>
  <c r="D27" i="2"/>
  <c r="E27" i="2"/>
  <c r="F27" i="2"/>
  <c r="X27" i="2"/>
  <c r="R27" i="2" l="1"/>
  <c r="Y27" i="2" s="1"/>
  <c r="Y30" i="2"/>
  <c r="H19" i="1" l="1"/>
  <c r="D19" i="1"/>
  <c r="L36" i="4" l="1"/>
  <c r="L55" i="4" s="1"/>
  <c r="F36" i="4"/>
  <c r="F55" i="4" s="1"/>
  <c r="L26" i="2" l="1"/>
  <c r="L22" i="4" l="1"/>
  <c r="Z34" i="2"/>
  <c r="K34" i="2"/>
  <c r="L33" i="2"/>
  <c r="K33" i="2"/>
  <c r="X26" i="2"/>
  <c r="F26" i="2"/>
  <c r="R26" i="2" s="1"/>
  <c r="X22" i="2"/>
  <c r="L22" i="2"/>
  <c r="K22" i="2"/>
  <c r="R22" i="2" l="1"/>
  <c r="Y22" i="2" s="1"/>
  <c r="Y26" i="2"/>
  <c r="Z20" i="2" l="1"/>
  <c r="K20" i="2"/>
  <c r="X20" i="2"/>
  <c r="R20" i="2"/>
  <c r="Y20" i="2" s="1"/>
  <c r="H25" i="2"/>
  <c r="F25" i="2"/>
  <c r="K24" i="2"/>
  <c r="F24" i="2"/>
  <c r="H18" i="1"/>
  <c r="F23" i="2"/>
  <c r="H17" i="1"/>
  <c r="L21" i="2"/>
  <c r="K21" i="2"/>
  <c r="K19" i="2"/>
  <c r="F19" i="2"/>
  <c r="J34" i="4" l="1"/>
  <c r="R165" i="2" l="1"/>
  <c r="R166" i="2"/>
  <c r="R167" i="2"/>
  <c r="R168" i="2"/>
  <c r="R169" i="2"/>
  <c r="R170" i="2"/>
  <c r="X72" i="4"/>
  <c r="X73" i="4"/>
  <c r="X74" i="4"/>
  <c r="R72" i="4"/>
  <c r="R73" i="4"/>
  <c r="R74" i="4"/>
  <c r="X70" i="4"/>
  <c r="X71" i="4"/>
  <c r="R70" i="4"/>
  <c r="R71" i="4"/>
  <c r="X78" i="4"/>
  <c r="R78" i="4"/>
  <c r="Y73" i="4" l="1"/>
  <c r="Y74" i="4"/>
  <c r="Y72" i="4"/>
  <c r="Y71" i="4"/>
  <c r="Y70" i="4"/>
  <c r="Y78" i="4"/>
  <c r="X160" i="2" l="1"/>
  <c r="X153" i="2"/>
  <c r="X154" i="2"/>
  <c r="X155" i="2"/>
  <c r="X156" i="2"/>
  <c r="X157" i="2"/>
  <c r="X158" i="2"/>
  <c r="X159" i="2"/>
  <c r="R153" i="2"/>
  <c r="R154" i="2"/>
  <c r="R155" i="2"/>
  <c r="R156" i="2"/>
  <c r="R157" i="2"/>
  <c r="R158" i="2"/>
  <c r="R159" i="2"/>
  <c r="X151" i="2"/>
  <c r="R151" i="2"/>
  <c r="Y156" i="2" l="1"/>
  <c r="Y158" i="2"/>
  <c r="Y154" i="2"/>
  <c r="Y151" i="2"/>
  <c r="Y153" i="2"/>
  <c r="R160" i="2"/>
  <c r="Y160" i="2" s="1"/>
  <c r="Y155" i="2"/>
  <c r="Y157" i="2"/>
  <c r="Y159" i="2"/>
  <c r="X139" i="2" l="1"/>
  <c r="R139" i="2"/>
  <c r="Y139" i="2" l="1"/>
  <c r="X75" i="4" l="1"/>
  <c r="R75" i="4"/>
  <c r="Y75" i="4" l="1"/>
  <c r="U39" i="3"/>
  <c r="O39" i="3"/>
  <c r="W39" i="3" s="1"/>
  <c r="X37" i="4"/>
  <c r="R37" i="4"/>
  <c r="Y37" i="4" l="1"/>
  <c r="X38" i="4"/>
  <c r="R38" i="4"/>
  <c r="U40" i="3"/>
  <c r="O40" i="3"/>
  <c r="W40" i="3" l="1"/>
  <c r="Y38" i="4"/>
  <c r="X70" i="2"/>
  <c r="X71" i="2"/>
  <c r="X72" i="2"/>
  <c r="R70" i="2"/>
  <c r="R71" i="2"/>
  <c r="R72" i="2"/>
  <c r="Y72" i="2" l="1"/>
  <c r="Y70" i="2"/>
  <c r="Y71" i="2"/>
  <c r="U30" i="1" l="1"/>
  <c r="O30" i="1"/>
  <c r="W30" i="1" l="1"/>
  <c r="X53" i="2" l="1"/>
  <c r="R53" i="2"/>
  <c r="Y53" i="2" l="1"/>
  <c r="X52" i="2"/>
  <c r="R52" i="2"/>
  <c r="Y52" i="2" l="1"/>
  <c r="U25" i="1"/>
  <c r="U26" i="1"/>
  <c r="O25" i="1"/>
  <c r="O26" i="1"/>
  <c r="X57" i="2"/>
  <c r="X58" i="2"/>
  <c r="R57" i="2"/>
  <c r="R58" i="2"/>
  <c r="X54" i="2"/>
  <c r="X55" i="2"/>
  <c r="R55" i="2"/>
  <c r="R54" i="2"/>
  <c r="Y54" i="2" l="1"/>
  <c r="W25" i="1"/>
  <c r="W26" i="1"/>
  <c r="Y58" i="2"/>
  <c r="Y57" i="2"/>
  <c r="Y55" i="2"/>
  <c r="U24" i="1"/>
  <c r="O24" i="1"/>
  <c r="W24" i="1" l="1"/>
  <c r="U23" i="3"/>
  <c r="U24" i="3"/>
  <c r="U25" i="3"/>
  <c r="U26" i="3"/>
  <c r="U27" i="3"/>
  <c r="O23" i="3"/>
  <c r="O24" i="3"/>
  <c r="O25" i="3"/>
  <c r="O26" i="3"/>
  <c r="O27" i="3"/>
  <c r="W27" i="3" s="1"/>
  <c r="W24" i="3" l="1"/>
  <c r="W23" i="3"/>
  <c r="W25" i="3"/>
  <c r="W26" i="3"/>
  <c r="U55" i="4" l="1"/>
  <c r="V55" i="4"/>
  <c r="W55" i="4"/>
  <c r="T55" i="4"/>
  <c r="X47" i="4"/>
  <c r="R47" i="4"/>
  <c r="R48" i="4"/>
  <c r="X48" i="4"/>
  <c r="X83" i="2"/>
  <c r="R83" i="2"/>
  <c r="U39" i="1"/>
  <c r="O39" i="1"/>
  <c r="R109" i="2"/>
  <c r="X104" i="2"/>
  <c r="R104" i="2"/>
  <c r="X98" i="2"/>
  <c r="X99" i="2"/>
  <c r="X100" i="2"/>
  <c r="R98" i="2"/>
  <c r="R99" i="2"/>
  <c r="R100" i="2"/>
  <c r="X95" i="2"/>
  <c r="X96" i="2"/>
  <c r="R95" i="2"/>
  <c r="R96" i="2"/>
  <c r="X86" i="2"/>
  <c r="X87" i="2"/>
  <c r="R86" i="2"/>
  <c r="R87" i="2"/>
  <c r="R30" i="4"/>
  <c r="X33" i="3"/>
  <c r="R97" i="2"/>
  <c r="X97" i="2"/>
  <c r="U40" i="1"/>
  <c r="O40" i="1"/>
  <c r="R108" i="2"/>
  <c r="R105" i="2"/>
  <c r="U43" i="3"/>
  <c r="U44" i="3"/>
  <c r="U45" i="3"/>
  <c r="U46" i="3"/>
  <c r="U47" i="3"/>
  <c r="U48" i="3"/>
  <c r="O43" i="3"/>
  <c r="W43" i="3" s="1"/>
  <c r="O44" i="3"/>
  <c r="O45" i="3"/>
  <c r="O46" i="3"/>
  <c r="O47" i="3"/>
  <c r="O48" i="3"/>
  <c r="O42" i="3"/>
  <c r="R94" i="2"/>
  <c r="R89" i="2"/>
  <c r="R88" i="2"/>
  <c r="R85" i="2"/>
  <c r="R78" i="2"/>
  <c r="R84" i="2"/>
  <c r="O37" i="1"/>
  <c r="R80" i="2"/>
  <c r="R77" i="2"/>
  <c r="R76" i="2"/>
  <c r="U35" i="1"/>
  <c r="X60" i="4"/>
  <c r="R60" i="4"/>
  <c r="X121" i="2"/>
  <c r="R121" i="2"/>
  <c r="R77" i="4"/>
  <c r="F82" i="4"/>
  <c r="R146" i="2"/>
  <c r="R163" i="2"/>
  <c r="R162" i="2"/>
  <c r="R161" i="2"/>
  <c r="R152" i="2"/>
  <c r="R149" i="2"/>
  <c r="R148" i="2"/>
  <c r="R144" i="2"/>
  <c r="R143" i="2"/>
  <c r="L172" i="2"/>
  <c r="M172" i="2"/>
  <c r="R140" i="2"/>
  <c r="R138" i="2"/>
  <c r="X137" i="2"/>
  <c r="R137" i="2"/>
  <c r="R135" i="2"/>
  <c r="R134" i="2"/>
  <c r="R133" i="2"/>
  <c r="I172" i="2"/>
  <c r="R36" i="4"/>
  <c r="O28" i="1"/>
  <c r="R75" i="2"/>
  <c r="E119" i="2"/>
  <c r="R24" i="4"/>
  <c r="U33" i="1"/>
  <c r="O33" i="1"/>
  <c r="X66" i="2"/>
  <c r="R66" i="2"/>
  <c r="R23" i="4"/>
  <c r="R45" i="2"/>
  <c r="U29" i="1"/>
  <c r="O29" i="1"/>
  <c r="R44" i="2"/>
  <c r="R42" i="2"/>
  <c r="R40" i="2"/>
  <c r="U27" i="1"/>
  <c r="U28" i="1"/>
  <c r="O27" i="1"/>
  <c r="R34" i="2"/>
  <c r="X34" i="2"/>
  <c r="X37" i="2"/>
  <c r="X40" i="2"/>
  <c r="X42" i="2"/>
  <c r="X44" i="2"/>
  <c r="X45" i="2"/>
  <c r="R37" i="2"/>
  <c r="I59" i="1"/>
  <c r="R22" i="4"/>
  <c r="F34" i="4"/>
  <c r="R25" i="2"/>
  <c r="O23" i="1"/>
  <c r="U23" i="1"/>
  <c r="U19" i="1"/>
  <c r="H59" i="1"/>
  <c r="Q119" i="2"/>
  <c r="R74" i="2"/>
  <c r="V119" i="2"/>
  <c r="R59" i="1"/>
  <c r="R68" i="2"/>
  <c r="X68" i="2"/>
  <c r="O31" i="1"/>
  <c r="R63" i="2"/>
  <c r="R61" i="2"/>
  <c r="R60" i="2"/>
  <c r="R56" i="2"/>
  <c r="R50" i="2"/>
  <c r="R49" i="2"/>
  <c r="R19" i="2"/>
  <c r="U32" i="1"/>
  <c r="O17" i="1"/>
  <c r="U18" i="1"/>
  <c r="O18" i="1"/>
  <c r="K59" i="1"/>
  <c r="U119" i="2"/>
  <c r="W119" i="2"/>
  <c r="T119" i="2"/>
  <c r="H119" i="2"/>
  <c r="I119" i="2"/>
  <c r="M119" i="2"/>
  <c r="N119" i="2"/>
  <c r="O119" i="2"/>
  <c r="P119" i="2"/>
  <c r="R41" i="4"/>
  <c r="R42" i="4"/>
  <c r="R43" i="4"/>
  <c r="R44" i="4"/>
  <c r="R45" i="4"/>
  <c r="X40" i="4"/>
  <c r="X41" i="4"/>
  <c r="X42" i="4"/>
  <c r="X43" i="4"/>
  <c r="X44" i="4"/>
  <c r="X45" i="4"/>
  <c r="X46" i="4"/>
  <c r="R111" i="2"/>
  <c r="X25" i="4"/>
  <c r="X26" i="4"/>
  <c r="X27" i="4"/>
  <c r="X28" i="4"/>
  <c r="X29" i="4"/>
  <c r="X30" i="4"/>
  <c r="X31" i="4"/>
  <c r="R25" i="4"/>
  <c r="R26" i="4"/>
  <c r="R27" i="4"/>
  <c r="R28" i="4"/>
  <c r="R29" i="4"/>
  <c r="R31" i="4"/>
  <c r="O22" i="3"/>
  <c r="O28" i="3"/>
  <c r="U22" i="3"/>
  <c r="U28" i="3"/>
  <c r="R110" i="2"/>
  <c r="R112" i="2"/>
  <c r="R113" i="2"/>
  <c r="R114" i="2"/>
  <c r="R115" i="2"/>
  <c r="R116" i="2"/>
  <c r="X103" i="2"/>
  <c r="X105" i="2"/>
  <c r="X106" i="2"/>
  <c r="X108" i="2"/>
  <c r="X109" i="2"/>
  <c r="X110" i="2"/>
  <c r="X111" i="2"/>
  <c r="X112" i="2"/>
  <c r="X113" i="2"/>
  <c r="X114" i="2"/>
  <c r="X115" i="2"/>
  <c r="X116" i="2"/>
  <c r="E34" i="4"/>
  <c r="E58" i="4" s="1"/>
  <c r="O32" i="1"/>
  <c r="X33" i="2"/>
  <c r="U31" i="1"/>
  <c r="R33" i="2"/>
  <c r="X88" i="2"/>
  <c r="X89" i="2"/>
  <c r="X94" i="2"/>
  <c r="X76" i="2"/>
  <c r="X77" i="2"/>
  <c r="X78" i="2"/>
  <c r="X80" i="2"/>
  <c r="X81" i="2"/>
  <c r="X82" i="2"/>
  <c r="X84" i="2"/>
  <c r="X85" i="2"/>
  <c r="X101" i="2"/>
  <c r="X74" i="2"/>
  <c r="X75" i="2"/>
  <c r="R81" i="2"/>
  <c r="R101" i="2"/>
  <c r="O43" i="1"/>
  <c r="O55" i="1"/>
  <c r="O56" i="1"/>
  <c r="U43" i="1"/>
  <c r="U54" i="1"/>
  <c r="U55" i="1"/>
  <c r="U56" i="1"/>
  <c r="W56" i="1" s="1"/>
  <c r="U41" i="1"/>
  <c r="U42" i="1"/>
  <c r="U37" i="1"/>
  <c r="U38" i="1"/>
  <c r="O35" i="1"/>
  <c r="O36" i="1"/>
  <c r="O38" i="1"/>
  <c r="O41" i="1"/>
  <c r="O42" i="1"/>
  <c r="R73" i="2"/>
  <c r="R67" i="2"/>
  <c r="O34" i="1"/>
  <c r="F113" i="4"/>
  <c r="R87" i="4"/>
  <c r="E113" i="4"/>
  <c r="R122" i="4"/>
  <c r="O71" i="1"/>
  <c r="R245" i="2"/>
  <c r="D113" i="4"/>
  <c r="J136" i="4"/>
  <c r="R120" i="4"/>
  <c r="I136" i="4"/>
  <c r="R119" i="4"/>
  <c r="O91" i="3"/>
  <c r="R118" i="4"/>
  <c r="M136" i="4"/>
  <c r="X116" i="4"/>
  <c r="R116" i="4"/>
  <c r="X221" i="2"/>
  <c r="R221" i="2"/>
  <c r="R207" i="2"/>
  <c r="E346" i="2"/>
  <c r="R201" i="2"/>
  <c r="R230" i="2"/>
  <c r="R229" i="2"/>
  <c r="R228" i="2"/>
  <c r="R226" i="2"/>
  <c r="X226" i="2"/>
  <c r="X228" i="2"/>
  <c r="X229" i="2"/>
  <c r="X230" i="2"/>
  <c r="X205" i="2"/>
  <c r="X225" i="2"/>
  <c r="X206" i="2"/>
  <c r="R206" i="2"/>
  <c r="I346" i="2"/>
  <c r="R197" i="2"/>
  <c r="O70" i="1"/>
  <c r="R188" i="2"/>
  <c r="N126" i="1"/>
  <c r="R187" i="2"/>
  <c r="G346" i="2"/>
  <c r="O67" i="1"/>
  <c r="U67" i="1"/>
  <c r="U68" i="1"/>
  <c r="U69" i="1"/>
  <c r="U70" i="1"/>
  <c r="O66" i="1"/>
  <c r="G126" i="1"/>
  <c r="U66" i="1"/>
  <c r="R184" i="2"/>
  <c r="R183" i="2"/>
  <c r="X183" i="2"/>
  <c r="X184" i="2"/>
  <c r="X185" i="2"/>
  <c r="X186" i="2"/>
  <c r="X187" i="2"/>
  <c r="X188" i="2"/>
  <c r="X189" i="2"/>
  <c r="X197" i="2"/>
  <c r="X198" i="2"/>
  <c r="X199" i="2"/>
  <c r="X200" i="2"/>
  <c r="R181" i="2"/>
  <c r="O65" i="1"/>
  <c r="X180" i="2"/>
  <c r="R180" i="2"/>
  <c r="O72" i="1"/>
  <c r="R236" i="2"/>
  <c r="R235" i="2"/>
  <c r="X219" i="2"/>
  <c r="R219" i="2"/>
  <c r="R225" i="2"/>
  <c r="X231" i="2"/>
  <c r="R231" i="2"/>
  <c r="R232" i="2"/>
  <c r="R224" i="2"/>
  <c r="R208" i="2"/>
  <c r="X204" i="2"/>
  <c r="D346" i="2"/>
  <c r="R202" i="2"/>
  <c r="R178" i="2"/>
  <c r="R176" i="2"/>
  <c r="X63" i="4"/>
  <c r="X138" i="4"/>
  <c r="X128" i="4"/>
  <c r="X127" i="4"/>
  <c r="X125" i="4"/>
  <c r="X123" i="4"/>
  <c r="X122" i="4"/>
  <c r="X121" i="4"/>
  <c r="X120" i="4"/>
  <c r="X119" i="4"/>
  <c r="X118" i="4"/>
  <c r="X117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0" i="4"/>
  <c r="X79" i="4"/>
  <c r="X77" i="4"/>
  <c r="X76" i="4"/>
  <c r="X69" i="4"/>
  <c r="X68" i="4"/>
  <c r="X67" i="4"/>
  <c r="X66" i="4"/>
  <c r="X65" i="4"/>
  <c r="X64" i="4"/>
  <c r="X39" i="4"/>
  <c r="X36" i="4"/>
  <c r="X24" i="4"/>
  <c r="X23" i="4"/>
  <c r="X22" i="4"/>
  <c r="X18" i="4"/>
  <c r="X15" i="4"/>
  <c r="R138" i="4"/>
  <c r="R128" i="4"/>
  <c r="R127" i="4"/>
  <c r="R125" i="4"/>
  <c r="R123" i="4"/>
  <c r="R121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76" i="4"/>
  <c r="R69" i="4"/>
  <c r="R66" i="4"/>
  <c r="R65" i="4"/>
  <c r="R64" i="4"/>
  <c r="R63" i="4"/>
  <c r="R46" i="4"/>
  <c r="R39" i="4"/>
  <c r="R18" i="4"/>
  <c r="R15" i="4"/>
  <c r="X348" i="2"/>
  <c r="X347" i="2"/>
  <c r="X344" i="2"/>
  <c r="X339" i="2"/>
  <c r="X329" i="2"/>
  <c r="X326" i="2"/>
  <c r="X283" i="2"/>
  <c r="X282" i="2"/>
  <c r="X280" i="2"/>
  <c r="X279" i="2"/>
  <c r="X278" i="2"/>
  <c r="X277" i="2"/>
  <c r="X275" i="2"/>
  <c r="X274" i="2"/>
  <c r="X272" i="2"/>
  <c r="X271" i="2"/>
  <c r="X270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49" i="2"/>
  <c r="X248" i="2"/>
  <c r="X247" i="2"/>
  <c r="X246" i="2"/>
  <c r="X245" i="2"/>
  <c r="X237" i="2"/>
  <c r="X236" i="2"/>
  <c r="X235" i="2"/>
  <c r="X233" i="2"/>
  <c r="X232" i="2"/>
  <c r="X224" i="2"/>
  <c r="X207" i="2"/>
  <c r="X202" i="2"/>
  <c r="X201" i="2"/>
  <c r="X182" i="2"/>
  <c r="X181" i="2"/>
  <c r="X179" i="2"/>
  <c r="X178" i="2"/>
  <c r="X176" i="2"/>
  <c r="X170" i="2"/>
  <c r="Y170" i="2" s="1"/>
  <c r="X169" i="2"/>
  <c r="Y169" i="2" s="1"/>
  <c r="X168" i="2"/>
  <c r="Y168" i="2" s="1"/>
  <c r="X167" i="2"/>
  <c r="Y167" i="2" s="1"/>
  <c r="X166" i="2"/>
  <c r="Y166" i="2" s="1"/>
  <c r="X165" i="2"/>
  <c r="Y165" i="2" s="1"/>
  <c r="X163" i="2"/>
  <c r="X162" i="2"/>
  <c r="X161" i="2"/>
  <c r="X152" i="2"/>
  <c r="X150" i="2"/>
  <c r="X149" i="2"/>
  <c r="X148" i="2"/>
  <c r="X147" i="2"/>
  <c r="X146" i="2"/>
  <c r="X145" i="2"/>
  <c r="X144" i="2"/>
  <c r="X143" i="2"/>
  <c r="X142" i="2"/>
  <c r="X141" i="2"/>
  <c r="X140" i="2"/>
  <c r="X138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17" i="2"/>
  <c r="X73" i="2"/>
  <c r="X69" i="2"/>
  <c r="X67" i="2"/>
  <c r="X65" i="2"/>
  <c r="X64" i="2"/>
  <c r="X63" i="2"/>
  <c r="X61" i="2"/>
  <c r="X60" i="2"/>
  <c r="X59" i="2"/>
  <c r="X56" i="2"/>
  <c r="X50" i="2"/>
  <c r="X49" i="2"/>
  <c r="X25" i="2"/>
  <c r="X24" i="2"/>
  <c r="X23" i="2"/>
  <c r="X21" i="2"/>
  <c r="X19" i="2"/>
  <c r="X18" i="2"/>
  <c r="R348" i="2"/>
  <c r="R347" i="2"/>
  <c r="R344" i="2"/>
  <c r="R339" i="2"/>
  <c r="R329" i="2"/>
  <c r="R326" i="2"/>
  <c r="R283" i="2"/>
  <c r="R282" i="2"/>
  <c r="R280" i="2"/>
  <c r="R279" i="2"/>
  <c r="R278" i="2"/>
  <c r="R277" i="2"/>
  <c r="R275" i="2"/>
  <c r="R274" i="2"/>
  <c r="R272" i="2"/>
  <c r="R271" i="2"/>
  <c r="R270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49" i="2"/>
  <c r="R248" i="2"/>
  <c r="R247" i="2"/>
  <c r="R246" i="2"/>
  <c r="R233" i="2"/>
  <c r="R147" i="2"/>
  <c r="R145" i="2"/>
  <c r="R131" i="2"/>
  <c r="R129" i="2"/>
  <c r="R127" i="2"/>
  <c r="R125" i="2"/>
  <c r="R117" i="2"/>
  <c r="R69" i="2"/>
  <c r="R65" i="2"/>
  <c r="R64" i="2"/>
  <c r="R59" i="2"/>
  <c r="R15" i="2"/>
  <c r="X15" i="2"/>
  <c r="K172" i="2"/>
  <c r="R124" i="2"/>
  <c r="U55" i="3"/>
  <c r="U61" i="1"/>
  <c r="W61" i="1" s="1"/>
  <c r="R142" i="2"/>
  <c r="G172" i="2"/>
  <c r="E172" i="2"/>
  <c r="R136" i="2"/>
  <c r="R128" i="2"/>
  <c r="R80" i="4"/>
  <c r="R79" i="4"/>
  <c r="M82" i="4"/>
  <c r="E82" i="4"/>
  <c r="R68" i="4"/>
  <c r="R21" i="2"/>
  <c r="U172" i="2"/>
  <c r="V172" i="2"/>
  <c r="U17" i="2"/>
  <c r="V17" i="2"/>
  <c r="T82" i="4"/>
  <c r="U82" i="4"/>
  <c r="T113" i="4"/>
  <c r="U113" i="4"/>
  <c r="T136" i="4"/>
  <c r="U136" i="4"/>
  <c r="T34" i="4"/>
  <c r="U34" i="4"/>
  <c r="U58" i="4" s="1"/>
  <c r="T17" i="4"/>
  <c r="U17" i="4"/>
  <c r="U349" i="2"/>
  <c r="V349" i="2"/>
  <c r="U346" i="2"/>
  <c r="W15" i="3"/>
  <c r="U106" i="3"/>
  <c r="U93" i="3"/>
  <c r="U92" i="3"/>
  <c r="U91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2" i="3"/>
  <c r="U57" i="3"/>
  <c r="U42" i="3"/>
  <c r="W42" i="3" s="1"/>
  <c r="U41" i="3"/>
  <c r="U31" i="3"/>
  <c r="U21" i="3"/>
  <c r="O17" i="3"/>
  <c r="Q16" i="3"/>
  <c r="R16" i="3"/>
  <c r="S16" i="3"/>
  <c r="U14" i="3"/>
  <c r="U16" i="3" s="1"/>
  <c r="O106" i="3"/>
  <c r="O93" i="3"/>
  <c r="O92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2" i="3"/>
  <c r="O57" i="3"/>
  <c r="O55" i="3"/>
  <c r="O31" i="3"/>
  <c r="O21" i="3"/>
  <c r="O14" i="3"/>
  <c r="O16" i="3" s="1"/>
  <c r="U137" i="1"/>
  <c r="U136" i="1"/>
  <c r="U135" i="1"/>
  <c r="U134" i="1"/>
  <c r="U133" i="1"/>
  <c r="U132" i="1"/>
  <c r="U131" i="1"/>
  <c r="U130" i="1"/>
  <c r="U129" i="1"/>
  <c r="U128" i="1"/>
  <c r="U127" i="1"/>
  <c r="U108" i="1"/>
  <c r="U107" i="1"/>
  <c r="U106" i="1"/>
  <c r="U105" i="1"/>
  <c r="U104" i="1"/>
  <c r="U103" i="1"/>
  <c r="U102" i="1"/>
  <c r="U101" i="1"/>
  <c r="U97" i="1"/>
  <c r="U96" i="1"/>
  <c r="U95" i="1"/>
  <c r="U93" i="1"/>
  <c r="U92" i="1"/>
  <c r="U89" i="1"/>
  <c r="U88" i="1"/>
  <c r="U87" i="1"/>
  <c r="U86" i="1"/>
  <c r="U83" i="1"/>
  <c r="U82" i="1"/>
  <c r="U81" i="1"/>
  <c r="U80" i="1"/>
  <c r="U78" i="1"/>
  <c r="U75" i="1"/>
  <c r="U74" i="1"/>
  <c r="U73" i="1"/>
  <c r="U72" i="1"/>
  <c r="U71" i="1"/>
  <c r="U65" i="1"/>
  <c r="U57" i="1"/>
  <c r="U34" i="1"/>
  <c r="U17" i="1"/>
  <c r="O137" i="1"/>
  <c r="O136" i="1"/>
  <c r="O135" i="1"/>
  <c r="O134" i="1"/>
  <c r="O133" i="1"/>
  <c r="O132" i="1"/>
  <c r="O131" i="1"/>
  <c r="O130" i="1"/>
  <c r="O129" i="1"/>
  <c r="O128" i="1"/>
  <c r="O127" i="1"/>
  <c r="O108" i="1"/>
  <c r="O107" i="1"/>
  <c r="O106" i="1"/>
  <c r="O105" i="1"/>
  <c r="O104" i="1"/>
  <c r="O103" i="1"/>
  <c r="O102" i="1"/>
  <c r="O101" i="1"/>
  <c r="O97" i="1"/>
  <c r="O96" i="1"/>
  <c r="O95" i="1"/>
  <c r="O93" i="1"/>
  <c r="O92" i="1"/>
  <c r="O89" i="1"/>
  <c r="O88" i="1"/>
  <c r="O87" i="1"/>
  <c r="O86" i="1"/>
  <c r="O83" i="1"/>
  <c r="O82" i="1"/>
  <c r="O81" i="1"/>
  <c r="O80" i="1"/>
  <c r="O78" i="1"/>
  <c r="O75" i="1"/>
  <c r="O74" i="1"/>
  <c r="O73" i="1"/>
  <c r="O57" i="1"/>
  <c r="W15" i="1"/>
  <c r="U14" i="1"/>
  <c r="U16" i="1" s="1"/>
  <c r="O14" i="1"/>
  <c r="Y16" i="2"/>
  <c r="D17" i="2"/>
  <c r="D349" i="2"/>
  <c r="E17" i="2"/>
  <c r="E349" i="2"/>
  <c r="F17" i="2"/>
  <c r="F349" i="2"/>
  <c r="G17" i="2"/>
  <c r="G349" i="2"/>
  <c r="H17" i="2"/>
  <c r="H172" i="2"/>
  <c r="H349" i="2"/>
  <c r="I17" i="2"/>
  <c r="I349" i="2"/>
  <c r="J17" i="2"/>
  <c r="J349" i="2"/>
  <c r="K17" i="2"/>
  <c r="K349" i="2"/>
  <c r="L17" i="2"/>
  <c r="L349" i="2"/>
  <c r="M17" i="2"/>
  <c r="M349" i="2"/>
  <c r="N17" i="2"/>
  <c r="N346" i="2"/>
  <c r="N349" i="2"/>
  <c r="O17" i="2"/>
  <c r="O349" i="2"/>
  <c r="P17" i="2"/>
  <c r="P172" i="2"/>
  <c r="P346" i="2"/>
  <c r="P349" i="2"/>
  <c r="Q17" i="2"/>
  <c r="Q172" i="2"/>
  <c r="Q349" i="2"/>
  <c r="T17" i="2"/>
  <c r="T172" i="2"/>
  <c r="T349" i="2"/>
  <c r="W17" i="2"/>
  <c r="W172" i="2"/>
  <c r="W346" i="2"/>
  <c r="W349" i="2"/>
  <c r="Z17" i="2"/>
  <c r="Z172" i="2"/>
  <c r="Z349" i="2"/>
  <c r="Q17" i="4"/>
  <c r="Q34" i="4"/>
  <c r="Q82" i="4"/>
  <c r="Q113" i="4"/>
  <c r="Q136" i="4"/>
  <c r="V17" i="4"/>
  <c r="V34" i="4"/>
  <c r="V58" i="4" s="1"/>
  <c r="V82" i="4"/>
  <c r="V113" i="4"/>
  <c r="V136" i="4"/>
  <c r="W17" i="4"/>
  <c r="W34" i="4"/>
  <c r="W82" i="4"/>
  <c r="W113" i="4"/>
  <c r="W136" i="4"/>
  <c r="D17" i="4"/>
  <c r="E17" i="4"/>
  <c r="F17" i="4"/>
  <c r="G17" i="4"/>
  <c r="G34" i="4"/>
  <c r="G82" i="4"/>
  <c r="G113" i="4"/>
  <c r="G136" i="4"/>
  <c r="H17" i="4"/>
  <c r="H34" i="4"/>
  <c r="H82" i="4"/>
  <c r="H113" i="4"/>
  <c r="H136" i="4"/>
  <c r="I17" i="4"/>
  <c r="I34" i="4"/>
  <c r="I58" i="4" s="1"/>
  <c r="I82" i="4"/>
  <c r="I113" i="4"/>
  <c r="J17" i="4"/>
  <c r="J58" i="4"/>
  <c r="J113" i="4"/>
  <c r="K17" i="4"/>
  <c r="K34" i="4"/>
  <c r="K82" i="4"/>
  <c r="K113" i="4"/>
  <c r="K136" i="4"/>
  <c r="L17" i="4"/>
  <c r="L34" i="4"/>
  <c r="L113" i="4"/>
  <c r="M17" i="4"/>
  <c r="M34" i="4"/>
  <c r="M58" i="4" s="1"/>
  <c r="M113" i="4"/>
  <c r="N17" i="4"/>
  <c r="N34" i="4"/>
  <c r="N58" i="4" s="1"/>
  <c r="N82" i="4"/>
  <c r="N113" i="4"/>
  <c r="N136" i="4"/>
  <c r="O17" i="4"/>
  <c r="O34" i="4"/>
  <c r="O58" i="4" s="1"/>
  <c r="O82" i="4"/>
  <c r="O113" i="4"/>
  <c r="O136" i="4"/>
  <c r="P17" i="4"/>
  <c r="P34" i="4"/>
  <c r="P58" i="4" s="1"/>
  <c r="P82" i="4"/>
  <c r="P113" i="4"/>
  <c r="P136" i="4"/>
  <c r="E16" i="3"/>
  <c r="E33" i="3"/>
  <c r="E52" i="3" s="1"/>
  <c r="E88" i="3"/>
  <c r="E104" i="3"/>
  <c r="F16" i="3"/>
  <c r="F33" i="3"/>
  <c r="F52" i="3" s="1"/>
  <c r="F88" i="3"/>
  <c r="D16" i="3"/>
  <c r="D33" i="3"/>
  <c r="D52" i="3" s="1"/>
  <c r="D88" i="3"/>
  <c r="D104" i="3"/>
  <c r="G16" i="3"/>
  <c r="G33" i="3"/>
  <c r="G88" i="3"/>
  <c r="G104" i="3"/>
  <c r="H16" i="3"/>
  <c r="H33" i="3"/>
  <c r="H52" i="3" s="1"/>
  <c r="H88" i="3"/>
  <c r="H104" i="3"/>
  <c r="I16" i="3"/>
  <c r="I33" i="3"/>
  <c r="I52" i="3" s="1"/>
  <c r="I88" i="3"/>
  <c r="I104" i="3"/>
  <c r="J16" i="3"/>
  <c r="J33" i="3"/>
  <c r="J52" i="3" s="1"/>
  <c r="J88" i="3"/>
  <c r="J104" i="3"/>
  <c r="K16" i="3"/>
  <c r="K33" i="3"/>
  <c r="K52" i="3" s="1"/>
  <c r="K88" i="3"/>
  <c r="K104" i="3"/>
  <c r="L16" i="3"/>
  <c r="L33" i="3"/>
  <c r="L52" i="3" s="1"/>
  <c r="L88" i="3"/>
  <c r="L104" i="3"/>
  <c r="M16" i="3"/>
  <c r="M33" i="3"/>
  <c r="M52" i="3" s="1"/>
  <c r="M88" i="3"/>
  <c r="M104" i="3"/>
  <c r="N16" i="3"/>
  <c r="N33" i="3"/>
  <c r="N52" i="3" s="1"/>
  <c r="N88" i="3"/>
  <c r="N104" i="3"/>
  <c r="Q52" i="3"/>
  <c r="Q88" i="3"/>
  <c r="Q104" i="3"/>
  <c r="R52" i="3"/>
  <c r="R88" i="3"/>
  <c r="R104" i="3"/>
  <c r="S33" i="3"/>
  <c r="S88" i="3"/>
  <c r="S104" i="3"/>
  <c r="T16" i="3"/>
  <c r="T33" i="3"/>
  <c r="T88" i="3"/>
  <c r="T104" i="3"/>
  <c r="X16" i="3"/>
  <c r="X104" i="3"/>
  <c r="S16" i="1"/>
  <c r="S59" i="1"/>
  <c r="S126" i="1"/>
  <c r="M16" i="1"/>
  <c r="M59" i="1"/>
  <c r="M126" i="1"/>
  <c r="M138" i="1"/>
  <c r="N16" i="1"/>
  <c r="N59" i="1"/>
  <c r="N138" i="1"/>
  <c r="R16" i="1"/>
  <c r="R126" i="1"/>
  <c r="R138" i="1"/>
  <c r="T16" i="1"/>
  <c r="T59" i="1"/>
  <c r="T126" i="1"/>
  <c r="T138" i="1"/>
  <c r="E16" i="1"/>
  <c r="E59" i="1"/>
  <c r="E126" i="1"/>
  <c r="E138" i="1"/>
  <c r="F16" i="1"/>
  <c r="F59" i="1"/>
  <c r="F126" i="1"/>
  <c r="F138" i="1"/>
  <c r="L16" i="1"/>
  <c r="L59" i="1"/>
  <c r="L126" i="1"/>
  <c r="L138" i="1"/>
  <c r="J16" i="1"/>
  <c r="J59" i="1"/>
  <c r="J138" i="1"/>
  <c r="D16" i="1"/>
  <c r="D138" i="1"/>
  <c r="G16" i="1"/>
  <c r="G59" i="1"/>
  <c r="G138" i="1"/>
  <c r="H16" i="1"/>
  <c r="H138" i="1"/>
  <c r="I16" i="1"/>
  <c r="I138" i="1"/>
  <c r="K16" i="1"/>
  <c r="K138" i="1"/>
  <c r="Q16" i="1"/>
  <c r="Q59" i="1"/>
  <c r="Q126" i="1"/>
  <c r="Q138" i="1"/>
  <c r="Y16" i="4"/>
  <c r="I359" i="3"/>
  <c r="I391" i="1"/>
  <c r="O346" i="2"/>
  <c r="N172" i="2"/>
  <c r="T346" i="2"/>
  <c r="O172" i="2"/>
  <c r="X88" i="3"/>
  <c r="V346" i="2"/>
  <c r="X208" i="2"/>
  <c r="L136" i="4"/>
  <c r="D136" i="4"/>
  <c r="R67" i="4"/>
  <c r="D82" i="4"/>
  <c r="E136" i="4"/>
  <c r="F104" i="3"/>
  <c r="R117" i="4"/>
  <c r="F136" i="4"/>
  <c r="R185" i="2"/>
  <c r="O69" i="1"/>
  <c r="K126" i="1"/>
  <c r="I126" i="1"/>
  <c r="J126" i="1"/>
  <c r="D126" i="1"/>
  <c r="O68" i="1"/>
  <c r="R200" i="2"/>
  <c r="M346" i="2"/>
  <c r="R179" i="2"/>
  <c r="R199" i="2"/>
  <c r="D172" i="2"/>
  <c r="Z346" i="2"/>
  <c r="R182" i="2"/>
  <c r="R198" i="2"/>
  <c r="R205" i="2"/>
  <c r="J346" i="2"/>
  <c r="R186" i="2"/>
  <c r="Q346" i="2"/>
  <c r="R189" i="2"/>
  <c r="R204" i="2"/>
  <c r="K346" i="2"/>
  <c r="R346" i="2" s="1"/>
  <c r="R130" i="2"/>
  <c r="H346" i="2"/>
  <c r="R237" i="2"/>
  <c r="R132" i="2"/>
  <c r="L346" i="2"/>
  <c r="R103" i="2"/>
  <c r="D34" i="4"/>
  <c r="U36" i="1"/>
  <c r="O41" i="3"/>
  <c r="R40" i="4"/>
  <c r="L82" i="4"/>
  <c r="G119" i="2"/>
  <c r="R126" i="2"/>
  <c r="R150" i="2"/>
  <c r="R24" i="2"/>
  <c r="R82" i="2"/>
  <c r="J119" i="2"/>
  <c r="O19" i="1"/>
  <c r="D59" i="1"/>
  <c r="D119" i="2"/>
  <c r="K119" i="2"/>
  <c r="R141" i="2"/>
  <c r="R23" i="2"/>
  <c r="R18" i="2"/>
  <c r="J172" i="2"/>
  <c r="F119" i="2"/>
  <c r="R106" i="2"/>
  <c r="F172" i="2"/>
  <c r="L119" i="2"/>
  <c r="Z119" i="2"/>
  <c r="Y123" i="4" l="1"/>
  <c r="Y248" i="2"/>
  <c r="Y254" i="2"/>
  <c r="Y258" i="2"/>
  <c r="Y262" i="2"/>
  <c r="Y266" i="2"/>
  <c r="Y271" i="2"/>
  <c r="Y277" i="2"/>
  <c r="Y282" i="2"/>
  <c r="Y339" i="2"/>
  <c r="W71" i="1"/>
  <c r="Y122" i="4"/>
  <c r="W80" i="1"/>
  <c r="W58" i="4"/>
  <c r="W62" i="4" s="1"/>
  <c r="W84" i="4" s="1"/>
  <c r="W85" i="4" s="1"/>
  <c r="F140" i="4"/>
  <c r="X136" i="4"/>
  <c r="Y117" i="4"/>
  <c r="J140" i="4"/>
  <c r="Y127" i="4"/>
  <c r="U50" i="3"/>
  <c r="Y140" i="2"/>
  <c r="Y144" i="2"/>
  <c r="Y161" i="2"/>
  <c r="Y96" i="2"/>
  <c r="Y87" i="2"/>
  <c r="W41" i="1"/>
  <c r="W83" i="1"/>
  <c r="U126" i="1"/>
  <c r="W70" i="1"/>
  <c r="W22" i="3"/>
  <c r="W68" i="1"/>
  <c r="W69" i="1"/>
  <c r="W66" i="1"/>
  <c r="M60" i="1"/>
  <c r="M62" i="1" s="1"/>
  <c r="M63" i="1" s="1"/>
  <c r="M139" i="1" s="1"/>
  <c r="W82" i="1"/>
  <c r="W127" i="1"/>
  <c r="W39" i="1"/>
  <c r="W72" i="1"/>
  <c r="W78" i="1"/>
  <c r="W40" i="1"/>
  <c r="Y237" i="2"/>
  <c r="Y224" i="2"/>
  <c r="Y236" i="2"/>
  <c r="J123" i="2"/>
  <c r="J173" i="2" s="1"/>
  <c r="Y186" i="2"/>
  <c r="I123" i="2"/>
  <c r="I173" i="2" s="1"/>
  <c r="L123" i="2"/>
  <c r="L173" i="2" s="1"/>
  <c r="Y259" i="2"/>
  <c r="Y263" i="2"/>
  <c r="Y267" i="2"/>
  <c r="Y272" i="2"/>
  <c r="Y278" i="2"/>
  <c r="Y344" i="2"/>
  <c r="Y235" i="2"/>
  <c r="Y180" i="2"/>
  <c r="Y206" i="2"/>
  <c r="Y201" i="2"/>
  <c r="Y111" i="2"/>
  <c r="Y76" i="4"/>
  <c r="Y47" i="4"/>
  <c r="Y30" i="4"/>
  <c r="O50" i="3"/>
  <c r="W35" i="1"/>
  <c r="W55" i="1"/>
  <c r="W54" i="1"/>
  <c r="W42" i="1"/>
  <c r="Y85" i="2"/>
  <c r="W36" i="1"/>
  <c r="P123" i="2"/>
  <c r="P173" i="2" s="1"/>
  <c r="Y44" i="2"/>
  <c r="Y134" i="2"/>
  <c r="W64" i="3"/>
  <c r="W72" i="3"/>
  <c r="W106" i="3"/>
  <c r="X108" i="3"/>
  <c r="Q108" i="3"/>
  <c r="W68" i="3"/>
  <c r="W31" i="3"/>
  <c r="Y125" i="4"/>
  <c r="Y118" i="4"/>
  <c r="K140" i="4"/>
  <c r="H140" i="4"/>
  <c r="V140" i="4"/>
  <c r="F108" i="3"/>
  <c r="U104" i="3"/>
  <c r="W71" i="3"/>
  <c r="W75" i="3"/>
  <c r="W93" i="3"/>
  <c r="Y199" i="2"/>
  <c r="Y257" i="2"/>
  <c r="Y202" i="2"/>
  <c r="Y74" i="2"/>
  <c r="Y189" i="2"/>
  <c r="W34" i="1"/>
  <c r="W23" i="1"/>
  <c r="W19" i="1"/>
  <c r="Y200" i="2"/>
  <c r="X346" i="2"/>
  <c r="Y182" i="2"/>
  <c r="Y208" i="2"/>
  <c r="Y247" i="2"/>
  <c r="Y253" i="2"/>
  <c r="Y178" i="2"/>
  <c r="Y185" i="2"/>
  <c r="Y256" i="2"/>
  <c r="T123" i="2"/>
  <c r="T173" i="2" s="1"/>
  <c r="Z123" i="2"/>
  <c r="Z173" i="2" s="1"/>
  <c r="Y280" i="2"/>
  <c r="Y138" i="2"/>
  <c r="Y143" i="2"/>
  <c r="Y249" i="2"/>
  <c r="Y80" i="2"/>
  <c r="Y104" i="2"/>
  <c r="Y65" i="2"/>
  <c r="Y179" i="2"/>
  <c r="Y283" i="2"/>
  <c r="Y279" i="2"/>
  <c r="Y270" i="2"/>
  <c r="Y233" i="2"/>
  <c r="Y255" i="2"/>
  <c r="Y183" i="2"/>
  <c r="Y197" i="2"/>
  <c r="Y225" i="2"/>
  <c r="Y229" i="2"/>
  <c r="Y207" i="2"/>
  <c r="Q53" i="3"/>
  <c r="Q59" i="3" s="1"/>
  <c r="Q60" i="3" s="1"/>
  <c r="W74" i="3"/>
  <c r="R108" i="3"/>
  <c r="W28" i="3"/>
  <c r="T108" i="3"/>
  <c r="W57" i="3"/>
  <c r="W69" i="3"/>
  <c r="W62" i="3"/>
  <c r="W66" i="3"/>
  <c r="W70" i="3"/>
  <c r="W65" i="3"/>
  <c r="W73" i="3"/>
  <c r="U88" i="3"/>
  <c r="O104" i="3"/>
  <c r="J108" i="3"/>
  <c r="L108" i="3"/>
  <c r="I108" i="3"/>
  <c r="W92" i="3"/>
  <c r="T140" i="4"/>
  <c r="Y46" i="4"/>
  <c r="Y67" i="4"/>
  <c r="Y117" i="2"/>
  <c r="Y19" i="2"/>
  <c r="Y163" i="2"/>
  <c r="Y261" i="2"/>
  <c r="Y204" i="2"/>
  <c r="Y231" i="2"/>
  <c r="Y226" i="2"/>
  <c r="Y265" i="2"/>
  <c r="R349" i="2"/>
  <c r="Y275" i="2"/>
  <c r="Y246" i="2"/>
  <c r="Y252" i="2"/>
  <c r="Y274" i="2"/>
  <c r="Y326" i="2"/>
  <c r="Y348" i="2"/>
  <c r="Y188" i="2"/>
  <c r="Y184" i="2"/>
  <c r="W73" i="1"/>
  <c r="W86" i="1"/>
  <c r="W92" i="1"/>
  <c r="W108" i="1"/>
  <c r="W133" i="1"/>
  <c r="U138" i="1"/>
  <c r="W67" i="1"/>
  <c r="W93" i="1"/>
  <c r="W101" i="1"/>
  <c r="W105" i="1"/>
  <c r="W130" i="1"/>
  <c r="W134" i="1"/>
  <c r="W107" i="1"/>
  <c r="W136" i="1"/>
  <c r="O126" i="1"/>
  <c r="W88" i="1"/>
  <c r="W106" i="1"/>
  <c r="W89" i="1"/>
  <c r="W96" i="1"/>
  <c r="W103" i="1"/>
  <c r="W128" i="1"/>
  <c r="W132" i="1"/>
  <c r="W95" i="1"/>
  <c r="W102" i="1"/>
  <c r="W131" i="1"/>
  <c r="Y98" i="2"/>
  <c r="Y59" i="2"/>
  <c r="Y89" i="4"/>
  <c r="Y93" i="4"/>
  <c r="Y97" i="4"/>
  <c r="Y87" i="4"/>
  <c r="Y27" i="4"/>
  <c r="Y45" i="4"/>
  <c r="Y31" i="4"/>
  <c r="W123" i="2"/>
  <c r="Y101" i="2"/>
  <c r="Y81" i="2"/>
  <c r="K60" i="1"/>
  <c r="K62" i="1" s="1"/>
  <c r="K63" i="1" s="1"/>
  <c r="K139" i="1" s="1"/>
  <c r="T60" i="1"/>
  <c r="T62" i="1" s="1"/>
  <c r="T63" i="1" s="1"/>
  <c r="T139" i="1" s="1"/>
  <c r="W43" i="1"/>
  <c r="Q60" i="1"/>
  <c r="Q62" i="1" s="1"/>
  <c r="Q63" i="1" s="1"/>
  <c r="Q139" i="1" s="1"/>
  <c r="W32" i="1"/>
  <c r="W29" i="1"/>
  <c r="Y135" i="2"/>
  <c r="Y133" i="2"/>
  <c r="N62" i="4"/>
  <c r="N84" i="4" s="1"/>
  <c r="N85" i="4" s="1"/>
  <c r="D140" i="4"/>
  <c r="W140" i="4"/>
  <c r="Q140" i="4"/>
  <c r="Y68" i="4"/>
  <c r="M140" i="4"/>
  <c r="R136" i="4"/>
  <c r="R113" i="4"/>
  <c r="X113" i="4"/>
  <c r="U140" i="4"/>
  <c r="N140" i="4"/>
  <c r="P140" i="4"/>
  <c r="G58" i="4"/>
  <c r="G62" i="4" s="1"/>
  <c r="G84" i="4" s="1"/>
  <c r="G85" i="4" s="1"/>
  <c r="Y63" i="4"/>
  <c r="Y96" i="4"/>
  <c r="Y48" i="4"/>
  <c r="Y64" i="4"/>
  <c r="Y88" i="4"/>
  <c r="Y92" i="4"/>
  <c r="O140" i="4"/>
  <c r="I140" i="4"/>
  <c r="Y90" i="4"/>
  <c r="Y94" i="4"/>
  <c r="Y121" i="4"/>
  <c r="Y128" i="4"/>
  <c r="Y138" i="4"/>
  <c r="Y120" i="4"/>
  <c r="Y69" i="4"/>
  <c r="G140" i="4"/>
  <c r="Y116" i="4"/>
  <c r="K58" i="4"/>
  <c r="K62" i="4" s="1"/>
  <c r="K84" i="4" s="1"/>
  <c r="K85" i="4" s="1"/>
  <c r="L140" i="4"/>
  <c r="H58" i="4"/>
  <c r="H62" i="4" s="1"/>
  <c r="H84" i="4" s="1"/>
  <c r="H85" i="4" s="1"/>
  <c r="Y119" i="4"/>
  <c r="T58" i="4"/>
  <c r="T62" i="4" s="1"/>
  <c r="T84" i="4" s="1"/>
  <c r="T85" i="4" s="1"/>
  <c r="X17" i="4"/>
  <c r="X82" i="4"/>
  <c r="W48" i="3"/>
  <c r="K53" i="3"/>
  <c r="K59" i="3" s="1"/>
  <c r="K60" i="3" s="1"/>
  <c r="J53" i="3"/>
  <c r="J59" i="3" s="1"/>
  <c r="J60" i="3" s="1"/>
  <c r="D60" i="1"/>
  <c r="D62" i="1" s="1"/>
  <c r="D63" i="1" s="1"/>
  <c r="D139" i="1" s="1"/>
  <c r="N108" i="3"/>
  <c r="H108" i="3"/>
  <c r="W91" i="3"/>
  <c r="S108" i="3"/>
  <c r="M108" i="3"/>
  <c r="K108" i="3"/>
  <c r="G108" i="3"/>
  <c r="E108" i="3"/>
  <c r="W67" i="3"/>
  <c r="W46" i="3"/>
  <c r="W14" i="3"/>
  <c r="W16" i="3" s="1"/>
  <c r="D108" i="3"/>
  <c r="R53" i="3"/>
  <c r="R59" i="3" s="1"/>
  <c r="R60" i="3" s="1"/>
  <c r="W45" i="3"/>
  <c r="S52" i="3"/>
  <c r="S53" i="3" s="1"/>
  <c r="S59" i="3" s="1"/>
  <c r="S60" i="3" s="1"/>
  <c r="M53" i="3"/>
  <c r="M59" i="3" s="1"/>
  <c r="M60" i="3" s="1"/>
  <c r="E53" i="3"/>
  <c r="E59" i="3" s="1"/>
  <c r="E60" i="3" s="1"/>
  <c r="T52" i="3"/>
  <c r="T53" i="3" s="1"/>
  <c r="T59" i="3" s="1"/>
  <c r="T60" i="3" s="1"/>
  <c r="N53" i="3"/>
  <c r="N59" i="3" s="1"/>
  <c r="N60" i="3" s="1"/>
  <c r="F53" i="3"/>
  <c r="F59" i="3" s="1"/>
  <c r="F60" i="3" s="1"/>
  <c r="I53" i="3"/>
  <c r="I59" i="3" s="1"/>
  <c r="I60" i="3" s="1"/>
  <c r="W44" i="3"/>
  <c r="W47" i="3"/>
  <c r="W38" i="1"/>
  <c r="W57" i="1"/>
  <c r="Y121" i="2"/>
  <c r="Y116" i="2"/>
  <c r="Y84" i="2"/>
  <c r="Y89" i="2"/>
  <c r="Y105" i="2"/>
  <c r="Y100" i="2"/>
  <c r="Y106" i="2"/>
  <c r="O123" i="2"/>
  <c r="H123" i="2"/>
  <c r="Y152" i="2"/>
  <c r="Y76" i="2"/>
  <c r="Y21" i="2"/>
  <c r="Y68" i="2"/>
  <c r="Y34" i="2"/>
  <c r="Y113" i="2"/>
  <c r="Y82" i="2"/>
  <c r="Y103" i="2"/>
  <c r="Y146" i="2"/>
  <c r="Y130" i="2"/>
  <c r="W55" i="3"/>
  <c r="Y91" i="4"/>
  <c r="Y95" i="4"/>
  <c r="Y43" i="4"/>
  <c r="W41" i="3"/>
  <c r="Y98" i="4"/>
  <c r="Y99" i="4"/>
  <c r="Y26" i="4"/>
  <c r="Y40" i="4"/>
  <c r="Y41" i="4"/>
  <c r="Y65" i="4"/>
  <c r="Y18" i="4"/>
  <c r="Y29" i="4"/>
  <c r="Y25" i="4"/>
  <c r="Y79" i="4"/>
  <c r="Y39" i="4"/>
  <c r="Y100" i="4"/>
  <c r="Y28" i="4"/>
  <c r="Y24" i="4"/>
  <c r="Y36" i="4"/>
  <c r="Y80" i="4"/>
  <c r="Y66" i="4"/>
  <c r="Y101" i="4"/>
  <c r="O33" i="3"/>
  <c r="J62" i="4"/>
  <c r="J84" i="4" s="1"/>
  <c r="J85" i="4" s="1"/>
  <c r="X55" i="4"/>
  <c r="Q58" i="4"/>
  <c r="Q62" i="4" s="1"/>
  <c r="Q84" i="4" s="1"/>
  <c r="Q85" i="4" s="1"/>
  <c r="Y42" i="4"/>
  <c r="Y33" i="2"/>
  <c r="Y69" i="2"/>
  <c r="G60" i="1"/>
  <c r="G62" i="1" s="1"/>
  <c r="G63" i="1" s="1"/>
  <c r="G139" i="1" s="1"/>
  <c r="J60" i="1"/>
  <c r="J62" i="1" s="1"/>
  <c r="J63" i="1" s="1"/>
  <c r="J139" i="1" s="1"/>
  <c r="E60" i="1"/>
  <c r="E62" i="1" s="1"/>
  <c r="E63" i="1" s="1"/>
  <c r="E139" i="1" s="1"/>
  <c r="W74" i="1"/>
  <c r="W81" i="1"/>
  <c r="W97" i="1"/>
  <c r="W104" i="1"/>
  <c r="W28" i="1"/>
  <c r="W87" i="1"/>
  <c r="W129" i="1"/>
  <c r="W135" i="1"/>
  <c r="R60" i="1"/>
  <c r="R62" i="1" s="1"/>
  <c r="R63" i="1" s="1"/>
  <c r="R139" i="1" s="1"/>
  <c r="U59" i="1"/>
  <c r="U60" i="1" s="1"/>
  <c r="U62" i="1" s="1"/>
  <c r="U63" i="1" s="1"/>
  <c r="Y129" i="2"/>
  <c r="Y205" i="2"/>
  <c r="X349" i="2"/>
  <c r="Y260" i="2"/>
  <c r="Y176" i="2"/>
  <c r="Y181" i="2"/>
  <c r="Y187" i="2"/>
  <c r="Y230" i="2"/>
  <c r="Y245" i="2"/>
  <c r="Y66" i="2"/>
  <c r="Y97" i="2"/>
  <c r="Y198" i="2"/>
  <c r="Y131" i="2"/>
  <c r="Y141" i="2"/>
  <c r="Y145" i="2"/>
  <c r="Y67" i="2"/>
  <c r="Y115" i="2"/>
  <c r="Y110" i="2"/>
  <c r="Y49" i="2"/>
  <c r="Y86" i="2"/>
  <c r="Y95" i="2"/>
  <c r="Y99" i="2"/>
  <c r="G123" i="2"/>
  <c r="Y264" i="2"/>
  <c r="Y268" i="2"/>
  <c r="Y56" i="2"/>
  <c r="Y150" i="2"/>
  <c r="Y219" i="2"/>
  <c r="Y228" i="2"/>
  <c r="Y114" i="2"/>
  <c r="Y37" i="2"/>
  <c r="Y75" i="2"/>
  <c r="Y88" i="2"/>
  <c r="N123" i="2"/>
  <c r="V123" i="2"/>
  <c r="V173" i="2" s="1"/>
  <c r="Y23" i="2"/>
  <c r="Y127" i="2"/>
  <c r="Y61" i="2"/>
  <c r="Y25" i="2"/>
  <c r="W33" i="1"/>
  <c r="Y18" i="2"/>
  <c r="Y24" i="2"/>
  <c r="Y132" i="2"/>
  <c r="Y128" i="2"/>
  <c r="Y64" i="2"/>
  <c r="Y63" i="2"/>
  <c r="Y42" i="2"/>
  <c r="Y45" i="2"/>
  <c r="X119" i="2"/>
  <c r="Y147" i="2"/>
  <c r="W27" i="1"/>
  <c r="Y50" i="2"/>
  <c r="Y112" i="2"/>
  <c r="U33" i="3"/>
  <c r="N60" i="1"/>
  <c r="N62" i="1" s="1"/>
  <c r="N63" i="1" s="1"/>
  <c r="N139" i="1" s="1"/>
  <c r="K123" i="2"/>
  <c r="F123" i="2"/>
  <c r="D123" i="2"/>
  <c r="O62" i="4"/>
  <c r="O84" i="4" s="1"/>
  <c r="O85" i="4" s="1"/>
  <c r="P62" i="4"/>
  <c r="P84" i="4" s="1"/>
  <c r="P85" i="4" s="1"/>
  <c r="R17" i="4"/>
  <c r="D53" i="3"/>
  <c r="D59" i="3" s="1"/>
  <c r="D60" i="3" s="1"/>
  <c r="O138" i="1"/>
  <c r="W76" i="3"/>
  <c r="O88" i="3"/>
  <c r="L60" i="1"/>
  <c r="L62" i="1" s="1"/>
  <c r="L63" i="1" s="1"/>
  <c r="L139" i="1" s="1"/>
  <c r="F60" i="1"/>
  <c r="F62" i="1" s="1"/>
  <c r="F63" i="1" s="1"/>
  <c r="F139" i="1" s="1"/>
  <c r="Y329" i="2"/>
  <c r="Y347" i="2"/>
  <c r="L53" i="3"/>
  <c r="L59" i="3" s="1"/>
  <c r="L60" i="3" s="1"/>
  <c r="G52" i="3"/>
  <c r="G53" i="3" s="1"/>
  <c r="G59" i="3" s="1"/>
  <c r="G60" i="3" s="1"/>
  <c r="V62" i="4"/>
  <c r="V84" i="4" s="1"/>
  <c r="V85" i="4" s="1"/>
  <c r="W75" i="1"/>
  <c r="W21" i="3"/>
  <c r="S60" i="1"/>
  <c r="S62" i="1" s="1"/>
  <c r="S63" i="1" s="1"/>
  <c r="S139" i="1" s="1"/>
  <c r="M62" i="4"/>
  <c r="M84" i="4" s="1"/>
  <c r="M85" i="4" s="1"/>
  <c r="I62" i="4"/>
  <c r="I84" i="4" s="1"/>
  <c r="I85" i="4" s="1"/>
  <c r="X172" i="2"/>
  <c r="Y142" i="2"/>
  <c r="Y15" i="2"/>
  <c r="Y17" i="2" s="1"/>
  <c r="Y126" i="2"/>
  <c r="Y221" i="2"/>
  <c r="X52" i="3"/>
  <c r="X53" i="3" s="1"/>
  <c r="X59" i="3" s="1"/>
  <c r="X60" i="3" s="1"/>
  <c r="U62" i="4"/>
  <c r="U84" i="4" s="1"/>
  <c r="U85" i="4" s="1"/>
  <c r="Y136" i="2"/>
  <c r="Y232" i="2"/>
  <c r="Y44" i="4"/>
  <c r="W17" i="1"/>
  <c r="U123" i="2"/>
  <c r="W65" i="1"/>
  <c r="Y94" i="2"/>
  <c r="Y15" i="4"/>
  <c r="Y17" i="4" s="1"/>
  <c r="W18" i="1"/>
  <c r="Y60" i="2"/>
  <c r="Y22" i="4"/>
  <c r="Y137" i="2"/>
  <c r="R172" i="2"/>
  <c r="Y148" i="2"/>
  <c r="Y162" i="2"/>
  <c r="Y77" i="4"/>
  <c r="H53" i="3"/>
  <c r="H59" i="3" s="1"/>
  <c r="H60" i="3" s="1"/>
  <c r="R55" i="4"/>
  <c r="Y73" i="2"/>
  <c r="Y40" i="2"/>
  <c r="Y23" i="4"/>
  <c r="E123" i="2"/>
  <c r="Y149" i="2"/>
  <c r="Y60" i="4"/>
  <c r="Y77" i="2"/>
  <c r="Y78" i="2"/>
  <c r="Y108" i="2"/>
  <c r="Y109" i="2"/>
  <c r="Y83" i="2"/>
  <c r="L58" i="4"/>
  <c r="L62" i="4" s="1"/>
  <c r="L84" i="4" s="1"/>
  <c r="L85" i="4" s="1"/>
  <c r="M123" i="2"/>
  <c r="W31" i="1"/>
  <c r="F58" i="4"/>
  <c r="F62" i="4" s="1"/>
  <c r="F84" i="4" s="1"/>
  <c r="F85" i="4" s="1"/>
  <c r="W37" i="1"/>
  <c r="R82" i="4"/>
  <c r="D58" i="4"/>
  <c r="D62" i="4" s="1"/>
  <c r="D84" i="4" s="1"/>
  <c r="D85" i="4" s="1"/>
  <c r="X34" i="4"/>
  <c r="R34" i="4"/>
  <c r="E62" i="4"/>
  <c r="E84" i="4" s="1"/>
  <c r="Y124" i="2"/>
  <c r="Y125" i="2"/>
  <c r="R119" i="2"/>
  <c r="Q123" i="2"/>
  <c r="I60" i="1"/>
  <c r="I62" i="1" s="1"/>
  <c r="I63" i="1" s="1"/>
  <c r="I139" i="1" s="1"/>
  <c r="O59" i="1"/>
  <c r="H60" i="1"/>
  <c r="H62" i="1" s="1"/>
  <c r="H63" i="1" s="1"/>
  <c r="H139" i="1" s="1"/>
  <c r="W14" i="1"/>
  <c r="W16" i="1" s="1"/>
  <c r="O16" i="1"/>
  <c r="P141" i="4" l="1"/>
  <c r="K141" i="4"/>
  <c r="F141" i="4"/>
  <c r="W141" i="4"/>
  <c r="Q109" i="3"/>
  <c r="Y113" i="4"/>
  <c r="J141" i="4"/>
  <c r="L141" i="4"/>
  <c r="V141" i="4"/>
  <c r="X140" i="4"/>
  <c r="U108" i="3"/>
  <c r="F109" i="3"/>
  <c r="O52" i="3"/>
  <c r="O53" i="3" s="1"/>
  <c r="O59" i="3" s="1"/>
  <c r="O60" i="3" s="1"/>
  <c r="W138" i="1"/>
  <c r="U139" i="1"/>
  <c r="T174" i="2"/>
  <c r="T350" i="2" s="1"/>
  <c r="P174" i="2"/>
  <c r="P350" i="2" s="1"/>
  <c r="Z174" i="2"/>
  <c r="Z350" i="2" s="1"/>
  <c r="J174" i="2"/>
  <c r="J350" i="2" s="1"/>
  <c r="I174" i="2"/>
  <c r="I350" i="2" s="1"/>
  <c r="L174" i="2"/>
  <c r="L350" i="2" s="1"/>
  <c r="G141" i="4"/>
  <c r="D141" i="4"/>
  <c r="U141" i="4"/>
  <c r="I141" i="4"/>
  <c r="H141" i="4"/>
  <c r="L109" i="3"/>
  <c r="U52" i="3"/>
  <c r="U53" i="3" s="1"/>
  <c r="U59" i="3" s="1"/>
  <c r="U60" i="3" s="1"/>
  <c r="Y346" i="2"/>
  <c r="Y349" i="2"/>
  <c r="Q173" i="2"/>
  <c r="N173" i="2"/>
  <c r="M173" i="2"/>
  <c r="G173" i="2"/>
  <c r="O173" i="2"/>
  <c r="H173" i="2"/>
  <c r="X123" i="2"/>
  <c r="W173" i="2"/>
  <c r="N109" i="3"/>
  <c r="R109" i="3"/>
  <c r="E173" i="2"/>
  <c r="D173" i="2"/>
  <c r="Q141" i="4"/>
  <c r="F173" i="2"/>
  <c r="K173" i="2"/>
  <c r="W126" i="1"/>
  <c r="N141" i="4"/>
  <c r="O141" i="4"/>
  <c r="M141" i="4"/>
  <c r="Y82" i="4"/>
  <c r="R140" i="4"/>
  <c r="X58" i="4"/>
  <c r="J109" i="3"/>
  <c r="S109" i="3"/>
  <c r="X84" i="4"/>
  <c r="T109" i="3"/>
  <c r="G109" i="3"/>
  <c r="W33" i="3"/>
  <c r="I109" i="3"/>
  <c r="Y172" i="2"/>
  <c r="AA172" i="2" s="1"/>
  <c r="Y55" i="4"/>
  <c r="M109" i="3"/>
  <c r="U173" i="2"/>
  <c r="Y119" i="2"/>
  <c r="R58" i="4"/>
  <c r="W59" i="1"/>
  <c r="X109" i="3"/>
  <c r="D109" i="3"/>
  <c r="E109" i="3"/>
  <c r="K109" i="3"/>
  <c r="W88" i="3"/>
  <c r="O108" i="3"/>
  <c r="R123" i="2"/>
  <c r="H109" i="3"/>
  <c r="X62" i="4"/>
  <c r="R62" i="4"/>
  <c r="E85" i="4"/>
  <c r="R84" i="4"/>
  <c r="Y34" i="4"/>
  <c r="X85" i="4"/>
  <c r="T141" i="4"/>
  <c r="W50" i="3"/>
  <c r="V174" i="2"/>
  <c r="O60" i="1"/>
  <c r="O62" i="1" s="1"/>
  <c r="Y140" i="4" l="1"/>
  <c r="U174" i="2"/>
  <c r="U350" i="2" s="1"/>
  <c r="H174" i="2"/>
  <c r="H350" i="2" s="1"/>
  <c r="N174" i="2"/>
  <c r="N350" i="2" s="1"/>
  <c r="D174" i="2"/>
  <c r="D350" i="2" s="1"/>
  <c r="O174" i="2"/>
  <c r="O350" i="2" s="1"/>
  <c r="M174" i="2"/>
  <c r="M350" i="2" s="1"/>
  <c r="E174" i="2"/>
  <c r="E350" i="2" s="1"/>
  <c r="W174" i="2"/>
  <c r="W350" i="2" s="1"/>
  <c r="G174" i="2"/>
  <c r="G350" i="2" s="1"/>
  <c r="Q174" i="2"/>
  <c r="Q350" i="2" s="1"/>
  <c r="F174" i="2"/>
  <c r="K174" i="2"/>
  <c r="K350" i="2" s="1"/>
  <c r="W108" i="3"/>
  <c r="R173" i="2"/>
  <c r="Y123" i="2"/>
  <c r="Y58" i="4"/>
  <c r="Y84" i="4"/>
  <c r="W52" i="3"/>
  <c r="X173" i="2"/>
  <c r="Y62" i="4"/>
  <c r="W53" i="3"/>
  <c r="W59" i="3" s="1"/>
  <c r="X141" i="4"/>
  <c r="E141" i="4"/>
  <c r="R85" i="4"/>
  <c r="Y85" i="4" s="1"/>
  <c r="O109" i="3"/>
  <c r="W60" i="3"/>
  <c r="U109" i="3"/>
  <c r="V350" i="2"/>
  <c r="W60" i="1"/>
  <c r="W62" i="1"/>
  <c r="O63" i="1"/>
  <c r="W63" i="1" s="1"/>
  <c r="F350" i="2" l="1"/>
  <c r="X174" i="2"/>
  <c r="R174" i="2"/>
  <c r="Y173" i="2"/>
  <c r="AB123" i="2"/>
  <c r="R141" i="4"/>
  <c r="Y141" i="4" s="1"/>
  <c r="W109" i="3"/>
  <c r="X350" i="2"/>
  <c r="W139" i="1"/>
  <c r="O139" i="1"/>
  <c r="R350" i="2" l="1"/>
  <c r="Y174" i="2"/>
  <c r="Y350" i="2"/>
  <c r="AB173" i="2"/>
  <c r="AB350" i="2" l="1"/>
</calcChain>
</file>

<file path=xl/comments1.xml><?xml version="1.0" encoding="utf-8"?>
<comments xmlns="http://schemas.openxmlformats.org/spreadsheetml/2006/main">
  <authors>
    <author>Balog Lászlóné Zsuzsa</author>
  </authors>
  <commentList>
    <comment ref="B287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EIM-45 anyagába beletéve
elsz-nál módosítva</t>
        </r>
      </text>
    </comment>
  </commentList>
</comments>
</file>

<file path=xl/sharedStrings.xml><?xml version="1.0" encoding="utf-8"?>
<sst xmlns="http://schemas.openxmlformats.org/spreadsheetml/2006/main" count="1552" uniqueCount="769">
  <si>
    <t>K I M U T A T Á S</t>
  </si>
  <si>
    <t>ezer Ft-ban</t>
  </si>
  <si>
    <t xml:space="preserve"> </t>
  </si>
  <si>
    <t>Szöveges indoklás a</t>
  </si>
  <si>
    <t>Egyéb</t>
  </si>
  <si>
    <t>Működési</t>
  </si>
  <si>
    <t>Felhalmozási</t>
  </si>
  <si>
    <t>Bevételek</t>
  </si>
  <si>
    <t>Ssz.</t>
  </si>
  <si>
    <t>forrás származására és a kiadás</t>
  </si>
  <si>
    <t>bevételek</t>
  </si>
  <si>
    <t>célú</t>
  </si>
  <si>
    <t>összesen</t>
  </si>
  <si>
    <t>felhasználási  jogcimére</t>
  </si>
  <si>
    <t>visszatérül.</t>
  </si>
  <si>
    <t>működési</t>
  </si>
  <si>
    <t>bevételei</t>
  </si>
  <si>
    <t>pénzeszköz</t>
  </si>
  <si>
    <t>Érvényes előirányzatok:</t>
  </si>
  <si>
    <t>Módosítás</t>
  </si>
  <si>
    <t>K I A D Á S O K</t>
  </si>
  <si>
    <t>Ellátottak</t>
  </si>
  <si>
    <t>Intézmény-</t>
  </si>
  <si>
    <t>Kiadások</t>
  </si>
  <si>
    <t>Személyi</t>
  </si>
  <si>
    <t>Munkaadót</t>
  </si>
  <si>
    <t xml:space="preserve">Dologi </t>
  </si>
  <si>
    <t>pénzbeli</t>
  </si>
  <si>
    <t>kiadások</t>
  </si>
  <si>
    <t>kölcsönök</t>
  </si>
  <si>
    <t>Tartalékok</t>
  </si>
  <si>
    <t>finan-</t>
  </si>
  <si>
    <t>juttatás</t>
  </si>
  <si>
    <t>juttatásai</t>
  </si>
  <si>
    <t>nyújtása</t>
  </si>
  <si>
    <t>kiadásai</t>
  </si>
  <si>
    <t>szírozás</t>
  </si>
  <si>
    <t>járulékok</t>
  </si>
  <si>
    <t>támogatás</t>
  </si>
  <si>
    <t>Vonal alattiak</t>
  </si>
  <si>
    <t>1</t>
  </si>
  <si>
    <t>001</t>
  </si>
  <si>
    <t>Eredeti előirányzatok:</t>
  </si>
  <si>
    <t>Kerekítés miatt</t>
  </si>
  <si>
    <t>002</t>
  </si>
  <si>
    <t>terhelő</t>
  </si>
  <si>
    <t>Szociális adó</t>
  </si>
  <si>
    <t>támogatások</t>
  </si>
  <si>
    <t>1/H-1</t>
  </si>
  <si>
    <t>003</t>
  </si>
  <si>
    <t>Előző évi maradvány átvétel</t>
  </si>
  <si>
    <t>FELÜGYELETI HATÁSKÖRŰ MÓDOSÍTÁSOK</t>
  </si>
  <si>
    <t>SAJÁT HATÁSKÖRŰ MÓDOSÍTÁSOK</t>
  </si>
  <si>
    <t>A</t>
  </si>
  <si>
    <t>B</t>
  </si>
  <si>
    <t>Módosítások összesen (A+B)</t>
  </si>
  <si>
    <t>1. sz. melléklet</t>
  </si>
  <si>
    <t>2. sz. melléklet</t>
  </si>
  <si>
    <t>3. sz. melléklet</t>
  </si>
  <si>
    <t>4. sz. melléklet</t>
  </si>
  <si>
    <t>belülről</t>
  </si>
  <si>
    <t>átvett</t>
  </si>
  <si>
    <t>Felhal-</t>
  </si>
  <si>
    <t>mozási</t>
  </si>
  <si>
    <t>felhalm.</t>
  </si>
  <si>
    <t>első</t>
  </si>
  <si>
    <t>Csak szöveges módosítás volt</t>
  </si>
  <si>
    <t>Csak szöveges módosítás volt!</t>
  </si>
  <si>
    <t xml:space="preserve">Irányító </t>
  </si>
  <si>
    <t>szervtől</t>
  </si>
  <si>
    <t>kapott</t>
  </si>
  <si>
    <t>…</t>
  </si>
  <si>
    <t>Műk. célú támogatások áht-n belülről</t>
  </si>
  <si>
    <t>Önkorm.</t>
  </si>
  <si>
    <t>Elvonások</t>
  </si>
  <si>
    <t>Egyéb műk.c.</t>
  </si>
  <si>
    <t xml:space="preserve">és </t>
  </si>
  <si>
    <t>támogatása</t>
  </si>
  <si>
    <t>befizetések</t>
  </si>
  <si>
    <t>áht-n</t>
  </si>
  <si>
    <t>Felh.c.tám.áht-n belülről</t>
  </si>
  <si>
    <t>Felh.c.átvett pénzeszközök</t>
  </si>
  <si>
    <t>Közhatalmi</t>
  </si>
  <si>
    <t>Egyéb felh.c.</t>
  </si>
  <si>
    <t>Felh.c.</t>
  </si>
  <si>
    <t>támogatások,</t>
  </si>
  <si>
    <t>önk-i</t>
  </si>
  <si>
    <t>célú átvett</t>
  </si>
  <si>
    <t>Költség-</t>
  </si>
  <si>
    <t>vetési</t>
  </si>
  <si>
    <t>Finanszírozási bevételek</t>
  </si>
  <si>
    <t xml:space="preserve">Belföldi </t>
  </si>
  <si>
    <t>Előző év</t>
  </si>
  <si>
    <t>érték-</t>
  </si>
  <si>
    <t>költségv-i</t>
  </si>
  <si>
    <t>papírok</t>
  </si>
  <si>
    <t>maradvány</t>
  </si>
  <si>
    <t>igénybevét.</t>
  </si>
  <si>
    <t>(3+…+13)</t>
  </si>
  <si>
    <t>Finan-</t>
  </si>
  <si>
    <t>szírozási</t>
  </si>
  <si>
    <t>(15+18)</t>
  </si>
  <si>
    <t>(14 + 19)</t>
  </si>
  <si>
    <t>Módosított előirányzatok</t>
  </si>
  <si>
    <t>Felh.c.vtérít.</t>
  </si>
  <si>
    <t>Lakás-</t>
  </si>
  <si>
    <t>Hosszú lej.</t>
  </si>
  <si>
    <t>Belföldi</t>
  </si>
  <si>
    <t>Beruházások</t>
  </si>
  <si>
    <t>Felújítások</t>
  </si>
  <si>
    <t>felhalm.célú</t>
  </si>
  <si>
    <t>tám.,kölcsön</t>
  </si>
  <si>
    <t>hitelek,</t>
  </si>
  <si>
    <t xml:space="preserve"> kölcsönök</t>
  </si>
  <si>
    <t>belülre</t>
  </si>
  <si>
    <t>kívülre</t>
  </si>
  <si>
    <t>áht-n belülre</t>
  </si>
  <si>
    <t>áht-n kívülre</t>
  </si>
  <si>
    <t>törlesztése</t>
  </si>
  <si>
    <t>Működési költségvetési kiadások</t>
  </si>
  <si>
    <t>Felhalmozási költségvetési kiadások</t>
  </si>
  <si>
    <t>Finanszírozási kiadások</t>
  </si>
  <si>
    <t>Első</t>
  </si>
  <si>
    <t>(3+16)</t>
  </si>
  <si>
    <t>(18+21)</t>
  </si>
  <si>
    <t>(17+22)</t>
  </si>
  <si>
    <t>Szoc. adó</t>
  </si>
  <si>
    <t>Második</t>
  </si>
  <si>
    <t>finanszí-</t>
  </si>
  <si>
    <t>rozási</t>
  </si>
  <si>
    <t>K1</t>
  </si>
  <si>
    <t>K2</t>
  </si>
  <si>
    <t>K3</t>
  </si>
  <si>
    <t>K4</t>
  </si>
  <si>
    <t>K502</t>
  </si>
  <si>
    <t>K506</t>
  </si>
  <si>
    <t>K512</t>
  </si>
  <si>
    <t>K513</t>
  </si>
  <si>
    <t>K6</t>
  </si>
  <si>
    <t>K7</t>
  </si>
  <si>
    <t>K84</t>
  </si>
  <si>
    <t>K86</t>
  </si>
  <si>
    <t>K87</t>
  </si>
  <si>
    <t>K89</t>
  </si>
  <si>
    <t>K9111</t>
  </si>
  <si>
    <t>K912</t>
  </si>
  <si>
    <t>K915</t>
  </si>
  <si>
    <t>K916</t>
  </si>
  <si>
    <t>B11</t>
  </si>
  <si>
    <t>B12</t>
  </si>
  <si>
    <t>B16</t>
  </si>
  <si>
    <t>B3</t>
  </si>
  <si>
    <t>B4</t>
  </si>
  <si>
    <t>B6</t>
  </si>
  <si>
    <t>B21</t>
  </si>
  <si>
    <t>B25</t>
  </si>
  <si>
    <t>B5</t>
  </si>
  <si>
    <t>B74</t>
  </si>
  <si>
    <t>B75</t>
  </si>
  <si>
    <t>B812</t>
  </si>
  <si>
    <t>B813</t>
  </si>
  <si>
    <t>B816</t>
  </si>
  <si>
    <t>B817</t>
  </si>
  <si>
    <t xml:space="preserve">Maradvány </t>
  </si>
  <si>
    <t>Maradvány</t>
  </si>
  <si>
    <t>Maradvánnyal módosított előirányzatok</t>
  </si>
  <si>
    <t>ÁHT-n</t>
  </si>
  <si>
    <t>belüli meg-</t>
  </si>
  <si>
    <t>előlegezések</t>
  </si>
  <si>
    <t>kapott előleg</t>
  </si>
  <si>
    <t>előlegezés</t>
  </si>
  <si>
    <t>visszafiz.</t>
  </si>
  <si>
    <t>8010</t>
  </si>
  <si>
    <t>8020</t>
  </si>
  <si>
    <t>8021</t>
  </si>
  <si>
    <t>8022</t>
  </si>
  <si>
    <t>8070</t>
  </si>
  <si>
    <t>8101</t>
  </si>
  <si>
    <t>8401</t>
  </si>
  <si>
    <t>8402</t>
  </si>
  <si>
    <t>9000</t>
  </si>
  <si>
    <t>9010</t>
  </si>
  <si>
    <t>9024</t>
  </si>
  <si>
    <t>9025</t>
  </si>
  <si>
    <t>9026</t>
  </si>
  <si>
    <t>9032</t>
  </si>
  <si>
    <t>9035</t>
  </si>
  <si>
    <t>9052</t>
  </si>
  <si>
    <t>9054</t>
  </si>
  <si>
    <t>9060</t>
  </si>
  <si>
    <t>8090</t>
  </si>
  <si>
    <t>8180</t>
  </si>
  <si>
    <t>8023</t>
  </si>
  <si>
    <t>8024</t>
  </si>
  <si>
    <t>8041</t>
  </si>
  <si>
    <t>8043</t>
  </si>
  <si>
    <t>8045</t>
  </si>
  <si>
    <t>9028</t>
  </si>
  <si>
    <t>9034</t>
  </si>
  <si>
    <t>9042</t>
  </si>
  <si>
    <t>9043</t>
  </si>
  <si>
    <t>9044</t>
  </si>
  <si>
    <t>9053</t>
  </si>
  <si>
    <t>9055</t>
  </si>
  <si>
    <t>9056</t>
  </si>
  <si>
    <t>9057</t>
  </si>
  <si>
    <t>EIM-2</t>
  </si>
  <si>
    <t>Kártérítés fizetése peres ügyben</t>
  </si>
  <si>
    <t>EIM-1</t>
  </si>
  <si>
    <t>EIM-3</t>
  </si>
  <si>
    <t>EIM-4</t>
  </si>
  <si>
    <t>EIM-5</t>
  </si>
  <si>
    <t>EIM-7</t>
  </si>
  <si>
    <t>EIM-8</t>
  </si>
  <si>
    <t>EIM-9</t>
  </si>
  <si>
    <t>EIM-10</t>
  </si>
  <si>
    <t>EIM-12</t>
  </si>
  <si>
    <t>EIM-23</t>
  </si>
  <si>
    <t>EIM-24</t>
  </si>
  <si>
    <t>Keleti K.u.2. térfigyelő kamera telepítés</t>
  </si>
  <si>
    <t>Parkoló automata utólagos kártérítése</t>
  </si>
  <si>
    <t>Várakozóhely megváltás</t>
  </si>
  <si>
    <t>2017.évi jogtalanul igénybe vett tám. Kamat</t>
  </si>
  <si>
    <t>Internet Kortalanul tanfolyam</t>
  </si>
  <si>
    <t>PH.Fejl.O-ra mosogatógép beszerzés</t>
  </si>
  <si>
    <t>Fény u.2.kerítés eng-i és kiviteli terv</t>
  </si>
  <si>
    <t>Csapadékvíz-csat. felülvizsg. dok. elkész.</t>
  </si>
  <si>
    <t>Központi ügyfélszolgálat</t>
  </si>
  <si>
    <t>Központi ügyfélszolg.tervezői műve.pótmunkákra</t>
  </si>
  <si>
    <t>EIM-H-5
EIM-24</t>
  </si>
  <si>
    <t>EIM-H-4</t>
  </si>
  <si>
    <t>Startech dokkoló beszerzés</t>
  </si>
  <si>
    <t>EIM-16</t>
  </si>
  <si>
    <t>PH. Bérkompenzáció 2018. évi</t>
  </si>
  <si>
    <t>EIM-H-2
EIM-16</t>
  </si>
  <si>
    <t>Bevételek átcsoportosítása</t>
  </si>
  <si>
    <t>EIM-30</t>
  </si>
  <si>
    <t>Állampolgársági eskütételeken versmondás</t>
  </si>
  <si>
    <t>EIM-H-6
EIM-30</t>
  </si>
  <si>
    <t>EIM-34</t>
  </si>
  <si>
    <t>Végrehajtási bírság - Igazgatási Osztály</t>
  </si>
  <si>
    <t>EIM-H-7</t>
  </si>
  <si>
    <t>Int. Fin. - Gesztenyéskert Óvoda-mosogatógép besz.</t>
  </si>
  <si>
    <t>Int.fin. - Bérkompenzáció 2018. évi</t>
  </si>
  <si>
    <t>EIM-16/A</t>
  </si>
  <si>
    <t>Int. Fin. - Eü. Szolg. Bérkompenzáció 2018. évi</t>
  </si>
  <si>
    <t>EIM-20</t>
  </si>
  <si>
    <t>Int.fin. - Óvodák, szoc.intézmények beruházás, felújítás, karbantartás</t>
  </si>
  <si>
    <t>EIM-33</t>
  </si>
  <si>
    <t>2019.01. havi Szoc ágazati pótlék humán intézmények</t>
  </si>
  <si>
    <t>EIM-45</t>
  </si>
  <si>
    <t>Musica Sacra közreműködőinek vendéglátás</t>
  </si>
  <si>
    <t>EIM-48</t>
  </si>
  <si>
    <t>Polgármesteri Keret felhasználása</t>
  </si>
  <si>
    <t>EIM-40</t>
  </si>
  <si>
    <t>EIM-39</t>
  </si>
  <si>
    <t>EIM-41</t>
  </si>
  <si>
    <t>Fénymásoló és nyomtató géphez tálca besz</t>
  </si>
  <si>
    <t>EIM-44</t>
  </si>
  <si>
    <t>OMR olvasó beszerzése borítékoló géphez</t>
  </si>
  <si>
    <t>EIM-37</t>
  </si>
  <si>
    <t>KDNP Frakció</t>
  </si>
  <si>
    <t>EIM-36</t>
  </si>
  <si>
    <t>FIDESZ Franció</t>
  </si>
  <si>
    <t>EIM-32</t>
  </si>
  <si>
    <t>Helyiség ért.bérlőnek többletbev.beem.</t>
  </si>
  <si>
    <t>EIM-25</t>
  </si>
  <si>
    <t>Kapott késedelmi kamat</t>
  </si>
  <si>
    <t>EIM-38</t>
  </si>
  <si>
    <t>Hűvösvölgyi SZH - üzemeltetési díj 50% továbbszámlázása</t>
  </si>
  <si>
    <t>EIM-21</t>
  </si>
  <si>
    <t>Lövőház u-i rendszámfelismerő rsz.cseréje</t>
  </si>
  <si>
    <t>EIM-26</t>
  </si>
  <si>
    <t>Őrzési szerződés hosszabbítása</t>
  </si>
  <si>
    <t>EIM-51</t>
  </si>
  <si>
    <t>Eü.Szolg. - Bérkompenzáció 2019. évi</t>
  </si>
  <si>
    <t>PH. -  Bérkompenzáció 2019. évi</t>
  </si>
  <si>
    <t>Intézmények - Bérkompenzáció 2019. évi</t>
  </si>
  <si>
    <t>EIM-50</t>
  </si>
  <si>
    <t>Egyéb szolgáltatás-intézményekhez kapcs. kiadások</t>
  </si>
  <si>
    <t>EIM-52</t>
  </si>
  <si>
    <t>2019. évi összevont ágazati pótlék</t>
  </si>
  <si>
    <t>EIM-53</t>
  </si>
  <si>
    <t>Int.fin. - Intézményi felújítás, érintésvédelem</t>
  </si>
  <si>
    <t>EIM-H-1
EIM-3</t>
  </si>
  <si>
    <t>EIM-H-11
EIM-51</t>
  </si>
  <si>
    <t>PH. Bérkompenzáció 2019. évi</t>
  </si>
  <si>
    <t>EIM-H-9</t>
  </si>
  <si>
    <t>Reprezentáció áfá-ja</t>
  </si>
  <si>
    <t>EIM-56</t>
  </si>
  <si>
    <t>Pályázati dokumentáció bevétele</t>
  </si>
  <si>
    <t>EIM-58</t>
  </si>
  <si>
    <t>Kutyaürülék gyűjtő edények beszerzése, felállítása</t>
  </si>
  <si>
    <t>Képviselői tiszteletdíj visszafizetése</t>
  </si>
  <si>
    <t>EIM-61</t>
  </si>
  <si>
    <t>EIM-64</t>
  </si>
  <si>
    <t>Parkolás Ügyfélszolg.számlájához kamatbevétel</t>
  </si>
  <si>
    <t>EIM-H-16</t>
  </si>
  <si>
    <t>Költségek továbbszámlázása</t>
  </si>
  <si>
    <t>EIM-H-17</t>
  </si>
  <si>
    <t>Jogi O.Végrehajt.kapcs.megtérülések bev.beem.</t>
  </si>
  <si>
    <t>EIM-H-18</t>
  </si>
  <si>
    <t>Köztisztv.munkabér visszafizetés beem.</t>
  </si>
  <si>
    <t>EIM-H-19</t>
  </si>
  <si>
    <t>Egyéb (állatvédelmi) bírság bev.</t>
  </si>
  <si>
    <t>EIM-H-20</t>
  </si>
  <si>
    <t>Foglalkoztatást helyettesítő tám.visszafiz.beem.</t>
  </si>
  <si>
    <t>EIM-44/A</t>
  </si>
  <si>
    <t>EIM-65</t>
  </si>
  <si>
    <t>Óvodai és Szociális dolgozó álláshirdetés megj.</t>
  </si>
  <si>
    <t>Felh.c.kamatbev,Kapott késedelmi kamat</t>
  </si>
  <si>
    <t>EIM-68</t>
  </si>
  <si>
    <t>EIM-70</t>
  </si>
  <si>
    <t>Szoc.szakosított ellátás finansz.bev.beem.</t>
  </si>
  <si>
    <t>EIM-66</t>
  </si>
  <si>
    <t>Gemini szerverlicenc</t>
  </si>
  <si>
    <t>EIM-H-21
EIM-66</t>
  </si>
  <si>
    <t>Előző évi visszajött szoc. támogatások</t>
  </si>
  <si>
    <t>Előző évi visszajött szoc. Támogatások</t>
  </si>
  <si>
    <t>EIM-71</t>
  </si>
  <si>
    <t>EIM-73</t>
  </si>
  <si>
    <t>Jogi képviselet - Ellátási osztályon</t>
  </si>
  <si>
    <t>EIM-74</t>
  </si>
  <si>
    <t>EIM-75</t>
  </si>
  <si>
    <t xml:space="preserve">Szolgáltatások ellenértéke </t>
  </si>
  <si>
    <t>Egyéb szabálysértési bírság beem.</t>
  </si>
  <si>
    <t>Egyéb bevételek beem.</t>
  </si>
  <si>
    <t>EIM-76</t>
  </si>
  <si>
    <t>Fővárosi EU-s csatornafejlesztés bev.beem.</t>
  </si>
  <si>
    <t>EIM-77</t>
  </si>
  <si>
    <t>EIM-82</t>
  </si>
  <si>
    <t>Parkolás Ügyfélszolg.másolási díj beem.</t>
  </si>
  <si>
    <t>EIM-83</t>
  </si>
  <si>
    <t>EIM-84</t>
  </si>
  <si>
    <t>Előző évben adott, fel nem használt támogatások visszafizetése</t>
  </si>
  <si>
    <t>EIM-88</t>
  </si>
  <si>
    <t>EIM-89</t>
  </si>
  <si>
    <t>Kv-i O-ra beérkező bevételek beem.</t>
  </si>
  <si>
    <t>EIM-90</t>
  </si>
  <si>
    <t>EIM-92</t>
  </si>
  <si>
    <t>KDNP Frakciókeret visszavonás</t>
  </si>
  <si>
    <t>EIM-93</t>
  </si>
  <si>
    <t>FIDESZ Frakciókeret módosítás</t>
  </si>
  <si>
    <t>EIM-95</t>
  </si>
  <si>
    <t xml:space="preserve">Európai Mobilitási Hét - Autómentes Nap </t>
  </si>
  <si>
    <t>EIM-94</t>
  </si>
  <si>
    <t xml:space="preserve">Kerületünk az Otthonunk Fr. </t>
  </si>
  <si>
    <t>Lamináló gép beszerzése</t>
  </si>
  <si>
    <t>EIM-101</t>
  </si>
  <si>
    <t>EIM-102</t>
  </si>
  <si>
    <t>Iskolabusz pr.igényfelméréshez szem.jutt.</t>
  </si>
  <si>
    <t>EIM-102/a</t>
  </si>
  <si>
    <t>EIM-104</t>
  </si>
  <si>
    <t>Ügyfélhívó rendszer -központi ügyfélszolra</t>
  </si>
  <si>
    <t>EIM-H-23
EIM-104</t>
  </si>
  <si>
    <t>EIM-107</t>
  </si>
  <si>
    <t>Takarító gép vásárlása</t>
  </si>
  <si>
    <t>Parkolási övezet kial. tanulmányterv</t>
  </si>
  <si>
    <t>EIM-109</t>
  </si>
  <si>
    <t>EIM-H-24
EIM-109</t>
  </si>
  <si>
    <t>Adyligeti nyilv.illemhely üzemeltetése</t>
  </si>
  <si>
    <t>EIM-110</t>
  </si>
  <si>
    <t>EIM-113</t>
  </si>
  <si>
    <t>Őrzési és takarítási szerz-k hosszabbítása</t>
  </si>
  <si>
    <t>EIM-117</t>
  </si>
  <si>
    <t>2019. évi bérkompenzáció 03. havi</t>
  </si>
  <si>
    <t>EIM-H-28
EIM-117</t>
  </si>
  <si>
    <t>EIM-122</t>
  </si>
  <si>
    <t>Bursa Hungarica - visszautalt fel nem haszn.ösztöndíj</t>
  </si>
  <si>
    <t>EIM-123</t>
  </si>
  <si>
    <t>Régi bizt.díj túlfiz.visszaut.LXS-159 KGFB</t>
  </si>
  <si>
    <t>EIM-H-25</t>
  </si>
  <si>
    <t>Reprezentációk áfá-ja 8101 OK</t>
  </si>
  <si>
    <t>EIM-H-26</t>
  </si>
  <si>
    <t>Végrehajtási bírság - Környezetgazd. Osztály</t>
  </si>
  <si>
    <t>EIM-H-27</t>
  </si>
  <si>
    <t>Képviselő részére inf.eszk.értékesítése</t>
  </si>
  <si>
    <t>EIM-H-30</t>
  </si>
  <si>
    <t>Költségek továbbszámlázása Telenor szerz-ből</t>
  </si>
  <si>
    <t>EIM-H-31</t>
  </si>
  <si>
    <t>EIM-124</t>
  </si>
  <si>
    <t>EIM-125</t>
  </si>
  <si>
    <t>2018.évben megrongált 2 db.parkoló automata utólagos kártérítése</t>
  </si>
  <si>
    <t>HungaroControll Zrt-től támogatás</t>
  </si>
  <si>
    <t>2018.évben megrongált 7 db.parkoló automata utólagos kártérítése</t>
  </si>
  <si>
    <t>EIM-127</t>
  </si>
  <si>
    <t>EIM-128</t>
  </si>
  <si>
    <t>Főv-i parkoláshoz szoftvercsomagra átcsop.</t>
  </si>
  <si>
    <t>EIM-129</t>
  </si>
  <si>
    <t>EIM-132</t>
  </si>
  <si>
    <t>EIM-136</t>
  </si>
  <si>
    <t>EIM-138</t>
  </si>
  <si>
    <t>EIM-139</t>
  </si>
  <si>
    <t>EIM-140</t>
  </si>
  <si>
    <t>Földutak szilárd burkolására</t>
  </si>
  <si>
    <t>Fény u.4-6. kerítés kivitelezése</t>
  </si>
  <si>
    <t>EIM-H-33
EIM-132</t>
  </si>
  <si>
    <t>Klebelsberg Kúria híd kivit.szerz-hez</t>
  </si>
  <si>
    <t>Szociális lakások felújítására átcsop.</t>
  </si>
  <si>
    <t>Közbiztonsági Alapítvány tám.</t>
  </si>
  <si>
    <t>Használatba adott eszköz megvásárlása</t>
  </si>
  <si>
    <t>2019. évi bérkompenzáció 03. havi PH</t>
  </si>
  <si>
    <t>EIM-118</t>
  </si>
  <si>
    <t xml:space="preserve">Intézm. - 2019. évi bérkompenzáció 03. havi </t>
  </si>
  <si>
    <t>Eü.Szolg. - 2019. évi bérkompenzáció 3. havi</t>
  </si>
  <si>
    <t>Intézm. - 2019.04.havi ágazati pótlék</t>
  </si>
  <si>
    <t>EIM-119</t>
  </si>
  <si>
    <t>Int.fin. - Óvodai karbantartásokra</t>
  </si>
  <si>
    <t>EIM-133</t>
  </si>
  <si>
    <t>Margit krt.-Kelet K. u. csp. gyal.felj</t>
  </si>
  <si>
    <t>EIM-145</t>
  </si>
  <si>
    <t>Osztalék bev.csökk.a Fény Utcai Piac Kft adózott er-ből</t>
  </si>
  <si>
    <t>Osztalék bev.csökk.a Fény Utcai Piac Kft</t>
  </si>
  <si>
    <t>EIM-H-34</t>
  </si>
  <si>
    <t>EP választás - Központi keret</t>
  </si>
  <si>
    <t>EIM-141</t>
  </si>
  <si>
    <t>EP választás - saját keret</t>
  </si>
  <si>
    <t>EIM-H-35
EIM-141</t>
  </si>
  <si>
    <t>2018. évben le nem utalt finanszírozás</t>
  </si>
  <si>
    <t>EIM-H-47</t>
  </si>
  <si>
    <t>Informatikai egyéb eszk.besz-re átcsop.</t>
  </si>
  <si>
    <t>EIM-H-56</t>
  </si>
  <si>
    <t>Szoftverfejlesztés tanácsadói napidíja</t>
  </si>
  <si>
    <t>EIM-H-60</t>
  </si>
  <si>
    <t>EIM-H-61</t>
  </si>
  <si>
    <t>PH által bizt.eszközök használata</t>
  </si>
  <si>
    <t>EIM-152</t>
  </si>
  <si>
    <t>EIM-148</t>
  </si>
  <si>
    <t>Gera Lőrinc kártalanítás kamattal</t>
  </si>
  <si>
    <t>EIM-151</t>
  </si>
  <si>
    <t>EIM-137</t>
  </si>
  <si>
    <t>Közműszolgálató cégek díjának megfizetése</t>
  </si>
  <si>
    <t>Működési tartalék -választásokhoz EP v.saját keret</t>
  </si>
  <si>
    <t>EIM-H-38
EIM-148</t>
  </si>
  <si>
    <t>EP választás saját keret</t>
  </si>
  <si>
    <t>EIM-H-46
EIM-151</t>
  </si>
  <si>
    <t>EIM-H-48
EIM-154</t>
  </si>
  <si>
    <t>Önk portál besz. kapcs. szakértői tám.</t>
  </si>
  <si>
    <t>EIM-154</t>
  </si>
  <si>
    <t>EIM-157</t>
  </si>
  <si>
    <t>Katasztrófa lakás felújítása</t>
  </si>
  <si>
    <t>EIM-158</t>
  </si>
  <si>
    <t>EIM-H-50
EIM-158</t>
  </si>
  <si>
    <t>EIM-160</t>
  </si>
  <si>
    <t>Soteria Alapítvány előző évi elsz.utáni visszatérítése</t>
  </si>
  <si>
    <t>EIM-159</t>
  </si>
  <si>
    <t>Vissza nem térítendő helyi tám.visszafiz.</t>
  </si>
  <si>
    <t>EIM-161</t>
  </si>
  <si>
    <t>EIM-162</t>
  </si>
  <si>
    <t>2018-ban megrongált parkoló automata kártérítés</t>
  </si>
  <si>
    <t>EIM-164</t>
  </si>
  <si>
    <t>EIM-165</t>
  </si>
  <si>
    <t xml:space="preserve">Nemzetiségeink tám. - Kerület Napján való részvétel </t>
  </si>
  <si>
    <t>Részesedés megszűnéséhez kapcs.bev.</t>
  </si>
  <si>
    <t>EIM-167</t>
  </si>
  <si>
    <t>EIM-181</t>
  </si>
  <si>
    <t>Sánta Ferenc emléktábla készítés</t>
  </si>
  <si>
    <t>EIM-179</t>
  </si>
  <si>
    <t>PH - 2019. évi bérkompenzáció 04. havi</t>
  </si>
  <si>
    <t>EIM-176</t>
  </si>
  <si>
    <t>EIM-177</t>
  </si>
  <si>
    <t>EIM-178</t>
  </si>
  <si>
    <t>EIM-H-64
EIM-179</t>
  </si>
  <si>
    <t>EIM-182</t>
  </si>
  <si>
    <t>EIM-183</t>
  </si>
  <si>
    <t>Alpolgármesteri Keret felhasználása</t>
  </si>
  <si>
    <t>Int-fin.-Szászorszép Óvoda vizesblokk felújítása</t>
  </si>
  <si>
    <t>Int-fin.-Szászorszép Óvoda személyi és dologi kiad.</t>
  </si>
  <si>
    <t>Int-fin.- Óvodaák személyi juttatása</t>
  </si>
  <si>
    <t>Int.fin - Bölcsődék, Óvodák 2019.04.hó bérkompenz.</t>
  </si>
  <si>
    <t xml:space="preserve">PH - 2019. 04. havi bérkompenzáció </t>
  </si>
  <si>
    <t>Int.fin. - Eü. Szolg. 2019. 04. havi bérkompenz.</t>
  </si>
  <si>
    <t>EIM-180</t>
  </si>
  <si>
    <t>Int.fin - Bölcsődék, szoc. intézmények 2019.05.havi ágazati pótlék</t>
  </si>
  <si>
    <t>Végrehajt.kapcs.megtérülések</t>
  </si>
  <si>
    <t>EIM-H-68</t>
  </si>
  <si>
    <t>EIM-195</t>
  </si>
  <si>
    <t>EIM-196</t>
  </si>
  <si>
    <t>EIM-204</t>
  </si>
  <si>
    <t>EIM-209</t>
  </si>
  <si>
    <t>Közlekedési csopopontok áteresztő kép.növ.</t>
  </si>
  <si>
    <t>EIM-208</t>
  </si>
  <si>
    <t>Ebtartási Program lebonyolítása</t>
  </si>
  <si>
    <t>EIM-211</t>
  </si>
  <si>
    <t>Testvérvárosi kapcsolatok tartalék felh.</t>
  </si>
  <si>
    <t>EIM-214</t>
  </si>
  <si>
    <t>Marczibányi tér 12. Tház közös költség em.</t>
  </si>
  <si>
    <t>EIM-216</t>
  </si>
  <si>
    <t>EIM-218</t>
  </si>
  <si>
    <t>Útépítésre-Magyar Telekom Nyrt.hálózatkiváltása</t>
  </si>
  <si>
    <t>EIM-230</t>
  </si>
  <si>
    <t>PH. Bérkompenzáció 2019. 05. havi</t>
  </si>
  <si>
    <t>EIM-H-75
EIM-230</t>
  </si>
  <si>
    <t>EIM-233</t>
  </si>
  <si>
    <t>EIM-237</t>
  </si>
  <si>
    <t>Játszótéri eszközök felújítási munkáira áfa átcsop.</t>
  </si>
  <si>
    <t>EIM-239</t>
  </si>
  <si>
    <t>Tám-k átcsop.Közép Budai Tanker.Kp-nak</t>
  </si>
  <si>
    <t>EIM-240</t>
  </si>
  <si>
    <t>Peres elj.költségmegtérülés</t>
  </si>
  <si>
    <t>EIM-246</t>
  </si>
  <si>
    <t>Keselyű u.3/a födém megerősítése</t>
  </si>
  <si>
    <t>EIM-247</t>
  </si>
  <si>
    <t>Hűvösvölgyi SZH - üzemeltetési díj továbbszámlázása</t>
  </si>
  <si>
    <t>EIM-248</t>
  </si>
  <si>
    <t>Sport Kft. Törzstőke emelése</t>
  </si>
  <si>
    <t>EIM-252</t>
  </si>
  <si>
    <t>EIM-H-82
EIM-252</t>
  </si>
  <si>
    <t>EIM-253</t>
  </si>
  <si>
    <t>Int-k fel nem használt maradvány befiz.</t>
  </si>
  <si>
    <t>EIM-256</t>
  </si>
  <si>
    <t>EIM-259</t>
  </si>
  <si>
    <t>Fordított áfa: Közl.csomópontok áter.kép.növ-nél</t>
  </si>
  <si>
    <t>EIM-260</t>
  </si>
  <si>
    <t>Fordított áfa: Földutak szilárd burkolásánál</t>
  </si>
  <si>
    <t>EIM-265</t>
  </si>
  <si>
    <t>Étkeztetési szla folyószámla kamatbevétel</t>
  </si>
  <si>
    <t>EIM-222</t>
  </si>
  <si>
    <t>Int.fin. - Szociális Int. dologi kiadásaira</t>
  </si>
  <si>
    <t>EIM-223</t>
  </si>
  <si>
    <t>Int.fin. - Bölcsődék, Óvodák, IMK vezetői jutalom</t>
  </si>
  <si>
    <t>EIM-224</t>
  </si>
  <si>
    <t>Int.fin. - Bölcsődék, Óvodák, IMK  jutalom</t>
  </si>
  <si>
    <t>EIM-225</t>
  </si>
  <si>
    <t>Int.fin. - Eü.Szolg. Jutalom</t>
  </si>
  <si>
    <t>Int.fin. -Százszorszép Óvoda dologi kiadások</t>
  </si>
  <si>
    <t>EIM-226</t>
  </si>
  <si>
    <t>Int.fin. - Szoc. Intézmények jutalma</t>
  </si>
  <si>
    <t>EIM-227</t>
  </si>
  <si>
    <t>Int.fin. - Óvodák dologi kiadása</t>
  </si>
  <si>
    <t>EIM-228</t>
  </si>
  <si>
    <t>Int.fin. - Óvodák: továbbképzés</t>
  </si>
  <si>
    <t>Int.fin - Bölcsődék, Óvodák 2019.05.hó bérkompenz.</t>
  </si>
  <si>
    <t>Int.fin - Bölcsődék, Óvodá, IMK:  2019.05.hó bérkompenz.</t>
  </si>
  <si>
    <t>Int.fin. - Eü. Szolg. 2019. 05. havi bérkompenz.</t>
  </si>
  <si>
    <t>EIM-231</t>
  </si>
  <si>
    <t>Int.fin. - Szoc.Int. Szoc.ágazati pótl. 2019.06. hó</t>
  </si>
  <si>
    <t>EIM-235</t>
  </si>
  <si>
    <t>Int.fin. - Százszorszép Óvoda személyi juttatás</t>
  </si>
  <si>
    <t>EIM-236</t>
  </si>
  <si>
    <t>Int.fin. - I. Gondozási Kp. Jelzőrendszeres házi segítségnyújtáshoz jelzőkészülékek beszerz.működtetés</t>
  </si>
  <si>
    <t>EIM-245</t>
  </si>
  <si>
    <t>Egyéb adók bevétele beem.</t>
  </si>
  <si>
    <t>EIM-276</t>
  </si>
  <si>
    <t>EIM-258</t>
  </si>
  <si>
    <t>Int.fin. Százszorszép Óvoda: Személyi+Jár.+Dologi</t>
  </si>
  <si>
    <t>Eü.Szolg.allergiavizsgálat ált.isk. 1. évfolyamos tan.r.</t>
  </si>
  <si>
    <t>EIM-H-73</t>
  </si>
  <si>
    <t>Távolléti díj megtérítése</t>
  </si>
  <si>
    <t>EIM-H-84</t>
  </si>
  <si>
    <t>Nyári diákmunka</t>
  </si>
  <si>
    <t>EIM-H-86</t>
  </si>
  <si>
    <t>Cafeteria keret visszautalása - OTP Szépkártya</t>
  </si>
  <si>
    <t>EIM-H-90</t>
  </si>
  <si>
    <t>EP választás - központi</t>
  </si>
  <si>
    <t>EIM-267</t>
  </si>
  <si>
    <t>EIM-266</t>
  </si>
  <si>
    <t>KÜSZ kivitelezési határidő túllépése kötbér fiz</t>
  </si>
  <si>
    <t>EIM-271</t>
  </si>
  <si>
    <t>Nagy Imre tér környezetrendezése</t>
  </si>
  <si>
    <t>EIM-272</t>
  </si>
  <si>
    <t>Újraélesztő készülékek beszerzése</t>
  </si>
  <si>
    <t>EIM-275</t>
  </si>
  <si>
    <t>EIM-279</t>
  </si>
  <si>
    <t>EIM-281</t>
  </si>
  <si>
    <t>HAVARIA Keretből adott támogatás</t>
  </si>
  <si>
    <t>EIM-285</t>
  </si>
  <si>
    <t>EIM-283</t>
  </si>
  <si>
    <t>EIM-286</t>
  </si>
  <si>
    <t>EIM-287</t>
  </si>
  <si>
    <t>Önk. működési támogatásai</t>
  </si>
  <si>
    <t>EIM-268</t>
  </si>
  <si>
    <t>Int.fin. - Százszorszép Óvoda dologi kiadások</t>
  </si>
  <si>
    <t>EIM-269</t>
  </si>
  <si>
    <t>Int.fin. - Községház Óvoda dologi és beruh. kiadások</t>
  </si>
  <si>
    <t>Int.fin - 2019. évi bérkompenzáció 06. havi - PH</t>
  </si>
  <si>
    <t>Int.fin. - Eü. Szolg. 2019. 06. havi bérkompenz.</t>
  </si>
  <si>
    <t>Int.fin. - Szoc.Int. Szoc.ágazati pótl. 2019.07. hó</t>
  </si>
  <si>
    <t>EIM-H-96
EIM-285</t>
  </si>
  <si>
    <t>PH - 2019. évi bérkompenzáció 06. havi</t>
  </si>
  <si>
    <t>EIM-H-87</t>
  </si>
  <si>
    <t xml:space="preserve">Állampolgársági eskü repr. áfá-ja </t>
  </si>
  <si>
    <t>EIM-H-92</t>
  </si>
  <si>
    <t>Nyári diákmunka - 1 fő</t>
  </si>
  <si>
    <t>EIM-H-95</t>
  </si>
  <si>
    <t>EIM-H-90/T</t>
  </si>
  <si>
    <t>EIM-292</t>
  </si>
  <si>
    <t>Temető utcai park környezetalakításra</t>
  </si>
  <si>
    <t>EIM-294</t>
  </si>
  <si>
    <t>Integrált Településfejlesztési stratégia</t>
  </si>
  <si>
    <t>EIM-298</t>
  </si>
  <si>
    <t>KRESZ park kial.Zsigmond téren kiviteli m-ra</t>
  </si>
  <si>
    <t>EIM-299</t>
  </si>
  <si>
    <t>Phkúti gyalogos közl.fejl-re</t>
  </si>
  <si>
    <t>EIM-300</t>
  </si>
  <si>
    <t>Újlaki Ált.Isk.tankonyha korszerűsítése</t>
  </si>
  <si>
    <t>EIM-301</t>
  </si>
  <si>
    <t>Kerületünk az Otthonunk Fr.beruh-ról dolgiba átcsop.</t>
  </si>
  <si>
    <t>EIM-305</t>
  </si>
  <si>
    <t>Int. Fin. - IMK-nak Családsegítő fűtés korszerűsítés</t>
  </si>
  <si>
    <t>EIM-306</t>
  </si>
  <si>
    <t>VEKOP-6.1.1-15 Kadarka u.Óvoda pály. Fordított áfa</t>
  </si>
  <si>
    <t>EIM-H-111</t>
  </si>
  <si>
    <t>EP képv.vál.saját keret átcsop.</t>
  </si>
  <si>
    <t>EIM-307</t>
  </si>
  <si>
    <t>Önk-i képviselő választás saját keret</t>
  </si>
  <si>
    <t>EIM-H-103
EIM-307</t>
  </si>
  <si>
    <t>Vadaskerti út 13/b 1.em.hálózat kiépítés</t>
  </si>
  <si>
    <t>EIM-308</t>
  </si>
  <si>
    <t>EIM-H-105
EIM-308</t>
  </si>
  <si>
    <t>EIM-H-110
EIM-312</t>
  </si>
  <si>
    <t>EP képv.vál.személyi juttatásba</t>
  </si>
  <si>
    <t>EIM-312</t>
  </si>
  <si>
    <t>EIM-315</t>
  </si>
  <si>
    <t>Marczibányi téri körforgalom kial.</t>
  </si>
  <si>
    <t>EIM-318</t>
  </si>
  <si>
    <t>Corso lassulás vizsgálata</t>
  </si>
  <si>
    <t>EIM-H-107
EIM-318</t>
  </si>
  <si>
    <t>EIM-H-108
EIM-319</t>
  </si>
  <si>
    <t>Monitor beszerzésre</t>
  </si>
  <si>
    <t>EIM-319</t>
  </si>
  <si>
    <t>EIM-321</t>
  </si>
  <si>
    <t xml:space="preserve">Kerékpáros-barát fejl.pály-ra </t>
  </si>
  <si>
    <t>EIM-327</t>
  </si>
  <si>
    <t>EIM-330</t>
  </si>
  <si>
    <t>2019. évi bérkompenzáció 06. havi - PH</t>
  </si>
  <si>
    <t xml:space="preserve">Int.fin - Bölcsődék, Óvodá, IMK: 2019. évi bérkompenzáció 06. havi </t>
  </si>
  <si>
    <t xml:space="preserve">Int.fin - Bölcsődék, Óvodá, IMK: 2019. évi bérkompenzáció 07. havi </t>
  </si>
  <si>
    <t>Int.fin - Bölcsődék, Óvodá, IMK: 2019. évi bérkompenzáció 07. havi</t>
  </si>
  <si>
    <t>Int.fin - Eü. Szolg: 2019. évi bérkompenzáció 07. havi</t>
  </si>
  <si>
    <t>EIM-331</t>
  </si>
  <si>
    <t>Int.fin - Bölcsődék, szoc. intézmények 2019.08.havi ágazati pótlék</t>
  </si>
  <si>
    <t>EIM-325</t>
  </si>
  <si>
    <t>Kiegészítő pénzbeli ellátás</t>
  </si>
  <si>
    <t>EIM-H-113
EIM-325</t>
  </si>
  <si>
    <t>2019. évi bérkompenzáció 07. havi - PH</t>
  </si>
  <si>
    <t>EIM-H-119
EIM-330</t>
  </si>
  <si>
    <t>EIM-335</t>
  </si>
  <si>
    <t>EIM-338</t>
  </si>
  <si>
    <t>EIM-337</t>
  </si>
  <si>
    <t>Int.fin. - Családsegítő fűtés korszerűsítés</t>
  </si>
  <si>
    <t>EIM-343</t>
  </si>
  <si>
    <t>EIM-344</t>
  </si>
  <si>
    <t>EIM-H-121</t>
  </si>
  <si>
    <t>EIM-345</t>
  </si>
  <si>
    <t>Internet Kortalanul: infmatikai eszköz beszerzés</t>
  </si>
  <si>
    <t>EIM-353</t>
  </si>
  <si>
    <t>Újlaki Ált.Isk.tankonyha korszerűsítése: festés</t>
  </si>
  <si>
    <t>EIM-358</t>
  </si>
  <si>
    <t>EIM-350</t>
  </si>
  <si>
    <t>Int.fin - Óvodák, Szoc.intézmények közmű</t>
  </si>
  <si>
    <t>"30 éve szabadon" - szabadságkoncert</t>
  </si>
  <si>
    <t>EIM-366</t>
  </si>
  <si>
    <t>EIM-367</t>
  </si>
  <si>
    <t>EIM-368</t>
  </si>
  <si>
    <t>9052 OK 03.28</t>
  </si>
  <si>
    <t>Repzentáció áfából átcsop.nettóba</t>
  </si>
  <si>
    <t>EIM-348</t>
  </si>
  <si>
    <t>Emléktábla készítés Bauhaus alapításának 100. évfordulójára</t>
  </si>
  <si>
    <t>EIM-H-122
EIM-348</t>
  </si>
  <si>
    <t>EIM-354</t>
  </si>
  <si>
    <t>Közbiztonsági c.térfigy.rsz.korsz.és bőv.</t>
  </si>
  <si>
    <t>EIM-356</t>
  </si>
  <si>
    <t>EIM-360</t>
  </si>
  <si>
    <t>Újlaki Ált.Isk.tankonyha: tűzhely bekötése</t>
  </si>
  <si>
    <t xml:space="preserve">Újlaki Ált.Isk.tankonyha: gépek bekötése </t>
  </si>
  <si>
    <t>EIM-363</t>
  </si>
  <si>
    <t>Ingatlanvásárlás: 59460 hrsz., 1598 m2 földterület</t>
  </si>
  <si>
    <t>Lakás felújításra átcsoportosítás</t>
  </si>
  <si>
    <t>EIM-370</t>
  </si>
  <si>
    <t>EIM-372</t>
  </si>
  <si>
    <t>Okosan az Okos eszközökről tanf-i oktatás,
Internet Kortalanul tanfolyam</t>
  </si>
  <si>
    <t>EIM-374</t>
  </si>
  <si>
    <t>Helyi tám.szla folyószámlakamat bev.</t>
  </si>
  <si>
    <t>EIM-373</t>
  </si>
  <si>
    <t>EIM-375</t>
  </si>
  <si>
    <t>Újlaki Ált.Isk.tankonyha: mosogatógépek elektromos bekötése</t>
  </si>
  <si>
    <t>EIM-376</t>
  </si>
  <si>
    <t>Önkormányzati portál fejl.és üzemeltetése</t>
  </si>
  <si>
    <t>EIM-377</t>
  </si>
  <si>
    <t>ASP Interface fejlesztése</t>
  </si>
  <si>
    <t>EIM-H-129
EIM-377</t>
  </si>
  <si>
    <t>EIM-H-130
EIM-378</t>
  </si>
  <si>
    <t>Hálózat építésre</t>
  </si>
  <si>
    <t>EIM-378</t>
  </si>
  <si>
    <t>EIM-379</t>
  </si>
  <si>
    <t>EIM-380</t>
  </si>
  <si>
    <t>Int.fin: 2019. évi bérkompenzáció 08. havi - PH</t>
  </si>
  <si>
    <t>EIM-H-131
EIM-380</t>
  </si>
  <si>
    <t>EIM-382</t>
  </si>
  <si>
    <t>Személyes szab.korl.miatti kárpótás bev.</t>
  </si>
  <si>
    <t>EIM-383</t>
  </si>
  <si>
    <t>Lövőház u-i süllyedő oszlopok jav.bizt.díja</t>
  </si>
  <si>
    <t>Int.fin - Bölcsődék, Óvodá, IMK: 2019. évi bérkompenzáció 08. havi</t>
  </si>
  <si>
    <t>Int.fin - Eü. Szolg.: 2019. évi bérkompenzáció 08. havi</t>
  </si>
  <si>
    <t>EIM-381</t>
  </si>
  <si>
    <t>Int.fin - Bölcsődék, szoc. intézmények 2019.09.havi ágazati pótlék</t>
  </si>
  <si>
    <t>Önk-i képv.választás - központi keret</t>
  </si>
  <si>
    <t>EIM-H-133</t>
  </si>
  <si>
    <t>EIM-387</t>
  </si>
  <si>
    <t>EIM-388</t>
  </si>
  <si>
    <t>Összevont üzemeltetési feladatok</t>
  </si>
  <si>
    <t>EIM-392</t>
  </si>
  <si>
    <t>Kortalanul kreatív kiállítás megnyitójára büfé szolg.</t>
  </si>
  <si>
    <t>EIM-393</t>
  </si>
  <si>
    <t>EIM-394</t>
  </si>
  <si>
    <t>Önk-i képv.vál.saját keret költségvetése</t>
  </si>
  <si>
    <t>EIM-H-135
EIM-394</t>
  </si>
  <si>
    <t>EIM-H-138</t>
  </si>
  <si>
    <t>EIM-402</t>
  </si>
  <si>
    <t>Jelzőrendszeres házi segítségnyújtás</t>
  </si>
  <si>
    <t>EIM-405</t>
  </si>
  <si>
    <t>Frankel L.u.Egészségkp.közbesz.elj-ra</t>
  </si>
  <si>
    <t>EIM-398</t>
  </si>
  <si>
    <t>Újraélesztő készülék beszerzése</t>
  </si>
  <si>
    <t>EIM-414</t>
  </si>
  <si>
    <t>Int.fin. Eü.Szolg.- szűrővizsgálatok lebonyolítása</t>
  </si>
  <si>
    <t>EIM-406</t>
  </si>
  <si>
    <t>Kerület ismereti vetélkedő nyertes díjazása</t>
  </si>
  <si>
    <t>EIM-409</t>
  </si>
  <si>
    <t>Új önkormányzati portál grafikai munkái</t>
  </si>
  <si>
    <t>EIM-410</t>
  </si>
  <si>
    <t>EIM-417</t>
  </si>
  <si>
    <t>Vadkaland Program lebonyolítása</t>
  </si>
  <si>
    <t>EIM-419</t>
  </si>
  <si>
    <t>EIM-420</t>
  </si>
  <si>
    <t>Új önk-i portál besz. szakértői támogatás</t>
  </si>
  <si>
    <t>EIM-H-148
EIM-420</t>
  </si>
  <si>
    <t>EIM-421</t>
  </si>
  <si>
    <t>Újlaki Isk.tankonyha pr.gyermekfelügyelet</t>
  </si>
  <si>
    <t>EIM-423</t>
  </si>
  <si>
    <t xml:space="preserve">Munkaügyi Bírósági Ítélet végrehajtása </t>
  </si>
  <si>
    <t>EIM-H-151
EIM-423</t>
  </si>
  <si>
    <t>EIM-429</t>
  </si>
  <si>
    <t>Buday L.u.5/c. iroda takarítása</t>
  </si>
  <si>
    <t>EIM-431</t>
  </si>
  <si>
    <t>PH. Bérkompenzáció 2019. 09. havi</t>
  </si>
  <si>
    <t>EIM-H-163
EIM-431</t>
  </si>
  <si>
    <t>EIM-434</t>
  </si>
  <si>
    <t>Képviselők inf-i eszk.besz.keret fel nem használt része</t>
  </si>
  <si>
    <t>EIM-H-166
EIM-434</t>
  </si>
  <si>
    <t>Int.fin - Bölcsődék, Óvodá, IMK: 2019. évi bérkompenzáció 09. havi</t>
  </si>
  <si>
    <t>Int.fin - Eü. Szolg.: 2019. évi bérkompenzáció 09. havi</t>
  </si>
  <si>
    <t>EIM-432</t>
  </si>
  <si>
    <t>EIM-H-164</t>
  </si>
  <si>
    <t>EIM-435</t>
  </si>
  <si>
    <t>Műszaki előkészítésből csapadékvíz elvez.rsz-ek felúj.műsz.ell-re</t>
  </si>
  <si>
    <t>EIM- 436</t>
  </si>
  <si>
    <t>Őrzési és takarítási szerz-k hosszabbítása Őrzési sz.h.2019.11.01-2019.12.31-ig</t>
  </si>
  <si>
    <t>EIM-436</t>
  </si>
  <si>
    <t>EIM-437</t>
  </si>
  <si>
    <t>EIM-438</t>
  </si>
  <si>
    <t>Retek u. 5. 4/2. önk-i bérlakás beázás miatti kártérítés</t>
  </si>
  <si>
    <t>EIM-439</t>
  </si>
  <si>
    <t>Irányító szervi támogatás, Százszorszép Óvoda  részére</t>
  </si>
  <si>
    <t>EIM-440</t>
  </si>
  <si>
    <t>EIM-441</t>
  </si>
  <si>
    <t>EIM-442</t>
  </si>
  <si>
    <t>EIM-444</t>
  </si>
  <si>
    <t>Működési tartalék felh. Intézményi gally-aprítékolásra</t>
  </si>
  <si>
    <t>EIM-445</t>
  </si>
  <si>
    <t>Irányító szervi támogatás, Szemlőhegy utcai Óvoda  részére</t>
  </si>
  <si>
    <t>EIM-448</t>
  </si>
  <si>
    <t>Működési tartalék felhasználás 1956-os megemlékezésre</t>
  </si>
  <si>
    <t>EIM-457</t>
  </si>
  <si>
    <t>Nem intézmények által ellátott önkormányzati feladatok bevételi előirányzatain végrehajtott saját hatáskörű változtatások kiemelt előirányzatonként 
2019. május 1 - től   2019. október 31 - ig</t>
  </si>
  <si>
    <t>Nem intézmények által ellátott önkormányzati feladatok kiadási előirányzatain végrehajtott saját hatáskörű változtatások kiemelt előirányzatonként 
2019. május 1 - től   2019. október 31 - ig</t>
  </si>
  <si>
    <t>A Polgármesteri Hivatal által ellátott feladatok bevételi előirányzatain végrehajtott változtatások kiemelt előirányzatonként 
2019. május 1 - től   2019. október 31 - ig</t>
  </si>
  <si>
    <t>A Polgármesteri Hivatal által ellátott feladatok kiadási előirányzatain végrehajtott változtatások kiemelt előirányzatonként 
2019. május 1 - től   2019. október 31 - 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</si>
</sst>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\ _F_t"/>
    <numFmt numFmtId="165" formatCode="#,##0.000"/>
    <numFmt numFmtId="166" formatCode="_-* #,##0.000\ _F_t_-;\-* #,##0.000\ _F_t_-;_-* &quot;-&quot;??\ _F_t_-;_-@_-"/>
    <numFmt numFmtId="167" formatCode="0.000"/>
    <numFmt numFmtId="168" formatCode="#,##0.000\ _F_t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8"/>
      <name val="Arial"/>
      <family val="2"/>
      <charset val="238"/>
    </font>
    <font>
      <sz val="13"/>
      <name val="Times New Roman CE"/>
      <family val="1"/>
      <charset val="238"/>
    </font>
    <font>
      <sz val="10"/>
      <name val="Times New Roman CE"/>
      <family val="1"/>
      <charset val="238"/>
    </font>
    <font>
      <b/>
      <sz val="13"/>
      <name val="Times New Roman CE"/>
      <family val="1"/>
      <charset val="238"/>
    </font>
    <font>
      <sz val="9"/>
      <name val="Times New Roman CE"/>
      <family val="1"/>
      <charset val="238"/>
    </font>
    <font>
      <sz val="13"/>
      <name val="Times New Roman CE"/>
      <charset val="238"/>
    </font>
    <font>
      <i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i/>
      <sz val="13"/>
      <name val="Times New Roman CE"/>
      <charset val="238"/>
    </font>
    <font>
      <sz val="12"/>
      <name val="Times New Roman CE"/>
      <family val="1"/>
      <charset val="238"/>
    </font>
    <font>
      <i/>
      <sz val="13"/>
      <name val="Times New Roman CE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sz val="14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 CE"/>
      <charset val="238"/>
    </font>
    <font>
      <sz val="11"/>
      <name val="Arial"/>
      <family val="2"/>
      <charset val="238"/>
    </font>
    <font>
      <sz val="13"/>
      <color rgb="FFFF0000"/>
      <name val="Times New Roman CE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531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Border="1" applyAlignment="1">
      <alignment horizontal="right" vertical="top"/>
    </xf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4" fillId="0" borderId="5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0" fontId="9" fillId="0" borderId="15" xfId="2" applyFont="1" applyBorder="1" applyAlignment="1">
      <alignment horizontal="right" vertical="center"/>
    </xf>
    <xf numFmtId="3" fontId="9" fillId="0" borderId="15" xfId="2" applyNumberFormat="1" applyFont="1" applyBorder="1" applyAlignment="1">
      <alignment horizontal="right" vertical="center" wrapText="1"/>
    </xf>
    <xf numFmtId="0" fontId="4" fillId="0" borderId="5" xfId="2" applyFont="1" applyBorder="1" applyAlignment="1">
      <alignment horizontal="center" vertical="top"/>
    </xf>
    <xf numFmtId="49" fontId="8" fillId="0" borderId="15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1" fontId="8" fillId="0" borderId="15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164" fontId="11" fillId="0" borderId="17" xfId="2" applyNumberFormat="1" applyFont="1" applyBorder="1" applyAlignment="1">
      <alignment vertical="center" wrapText="1"/>
    </xf>
    <xf numFmtId="164" fontId="11" fillId="0" borderId="18" xfId="2" applyNumberFormat="1" applyFont="1" applyBorder="1" applyAlignment="1">
      <alignment vertical="center" wrapText="1"/>
    </xf>
    <xf numFmtId="0" fontId="12" fillId="0" borderId="10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4" fillId="0" borderId="16" xfId="2" applyFont="1" applyBorder="1" applyAlignment="1">
      <alignment horizontal="center" vertical="center"/>
    </xf>
    <xf numFmtId="3" fontId="12" fillId="0" borderId="10" xfId="2" applyNumberFormat="1" applyFont="1" applyBorder="1" applyAlignment="1">
      <alignment vertical="center" wrapText="1"/>
    </xf>
    <xf numFmtId="0" fontId="5" fillId="0" borderId="0" xfId="2" applyFont="1" applyBorder="1"/>
    <xf numFmtId="0" fontId="4" fillId="0" borderId="1" xfId="2" applyFont="1" applyBorder="1" applyAlignment="1">
      <alignment vertical="top"/>
    </xf>
    <xf numFmtId="0" fontId="4" fillId="0" borderId="2" xfId="2" applyFont="1" applyBorder="1" applyAlignment="1">
      <alignment vertical="top"/>
    </xf>
    <xf numFmtId="0" fontId="6" fillId="0" borderId="0" xfId="2" applyFont="1" applyBorder="1" applyAlignment="1">
      <alignment horizontal="center"/>
    </xf>
    <xf numFmtId="0" fontId="4" fillId="0" borderId="5" xfId="2" applyFont="1" applyBorder="1" applyAlignment="1">
      <alignment vertical="top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6" xfId="0" applyFont="1" applyFill="1" applyBorder="1" applyAlignment="1">
      <alignment horizontal="center"/>
    </xf>
    <xf numFmtId="0" fontId="13" fillId="0" borderId="13" xfId="2" applyFont="1" applyBorder="1" applyAlignment="1">
      <alignment vertical="top"/>
    </xf>
    <xf numFmtId="0" fontId="13" fillId="0" borderId="15" xfId="2" applyFont="1" applyBorder="1" applyAlignment="1">
      <alignment horizontal="right" vertical="center"/>
    </xf>
    <xf numFmtId="3" fontId="13" fillId="0" borderId="0" xfId="2" applyNumberFormat="1" applyFont="1" applyBorder="1"/>
    <xf numFmtId="3" fontId="11" fillId="0" borderId="0" xfId="2" applyNumberFormat="1" applyFont="1" applyBorder="1"/>
    <xf numFmtId="0" fontId="15" fillId="0" borderId="0" xfId="2" applyFont="1"/>
    <xf numFmtId="0" fontId="8" fillId="0" borderId="5" xfId="2" applyFont="1" applyBorder="1" applyAlignment="1">
      <alignment horizontal="center" vertical="top"/>
    </xf>
    <xf numFmtId="3" fontId="4" fillId="0" borderId="0" xfId="2" applyNumberFormat="1" applyFont="1" applyBorder="1"/>
    <xf numFmtId="3" fontId="6" fillId="0" borderId="0" xfId="2" applyNumberFormat="1" applyFont="1" applyBorder="1"/>
    <xf numFmtId="3" fontId="8" fillId="0" borderId="10" xfId="2" applyNumberFormat="1" applyFont="1" applyFill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19" xfId="2" applyNumberFormat="1" applyFont="1" applyBorder="1" applyAlignment="1">
      <alignment vertical="center" wrapText="1"/>
    </xf>
    <xf numFmtId="49" fontId="12" fillId="0" borderId="15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3" fontId="10" fillId="0" borderId="21" xfId="2" applyNumberFormat="1" applyFont="1" applyBorder="1" applyAlignment="1">
      <alignment vertical="center"/>
    </xf>
    <xf numFmtId="0" fontId="5" fillId="0" borderId="17" xfId="2" applyFont="1" applyBorder="1"/>
    <xf numFmtId="0" fontId="8" fillId="0" borderId="5" xfId="2" applyFont="1" applyBorder="1" applyAlignment="1">
      <alignment horizontal="center" vertical="center"/>
    </xf>
    <xf numFmtId="3" fontId="16" fillId="0" borderId="22" xfId="2" applyNumberFormat="1" applyFont="1" applyBorder="1" applyAlignment="1">
      <alignment vertical="center" wrapText="1"/>
    </xf>
    <xf numFmtId="0" fontId="8" fillId="0" borderId="11" xfId="2" applyFont="1" applyBorder="1" applyAlignment="1">
      <alignment horizontal="center" vertical="center" wrapText="1"/>
    </xf>
    <xf numFmtId="3" fontId="5" fillId="0" borderId="0" xfId="2" applyNumberFormat="1" applyFont="1" applyBorder="1"/>
    <xf numFmtId="3" fontId="10" fillId="0" borderId="17" xfId="2" applyNumberFormat="1" applyFont="1" applyBorder="1" applyAlignment="1">
      <alignment vertical="center"/>
    </xf>
    <xf numFmtId="3" fontId="10" fillId="0" borderId="23" xfId="2" applyNumberFormat="1" applyFont="1" applyBorder="1" applyAlignment="1">
      <alignment vertical="center"/>
    </xf>
    <xf numFmtId="0" fontId="12" fillId="0" borderId="17" xfId="2" applyFont="1" applyBorder="1" applyAlignment="1">
      <alignment horizontal="center" vertical="center" wrapText="1"/>
    </xf>
    <xf numFmtId="0" fontId="4" fillId="0" borderId="0" xfId="2" applyFont="1" applyAlignment="1">
      <alignment vertical="top"/>
    </xf>
    <xf numFmtId="0" fontId="13" fillId="0" borderId="25" xfId="2" applyFont="1" applyBorder="1" applyAlignment="1">
      <alignment vertical="center"/>
    </xf>
    <xf numFmtId="3" fontId="8" fillId="0" borderId="25" xfId="2" applyNumberFormat="1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3" fontId="8" fillId="0" borderId="20" xfId="2" applyNumberFormat="1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3" fontId="8" fillId="0" borderId="26" xfId="2" applyNumberFormat="1" applyFont="1" applyBorder="1" applyAlignment="1">
      <alignment vertical="center"/>
    </xf>
    <xf numFmtId="3" fontId="8" fillId="0" borderId="27" xfId="2" applyNumberFormat="1" applyFont="1" applyBorder="1" applyAlignment="1">
      <alignment vertical="center"/>
    </xf>
    <xf numFmtId="0" fontId="8" fillId="0" borderId="22" xfId="2" applyFont="1" applyBorder="1" applyAlignment="1">
      <alignment horizontal="center"/>
    </xf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vertical="center" wrapText="1"/>
    </xf>
    <xf numFmtId="3" fontId="8" fillId="0" borderId="33" xfId="2" applyNumberFormat="1" applyFont="1" applyBorder="1" applyAlignment="1">
      <alignment vertical="center" wrapText="1"/>
    </xf>
    <xf numFmtId="3" fontId="8" fillId="0" borderId="34" xfId="2" applyNumberFormat="1" applyFont="1" applyBorder="1" applyAlignment="1">
      <alignment vertical="center" wrapText="1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4" fillId="0" borderId="35" xfId="2" applyFont="1" applyBorder="1"/>
    <xf numFmtId="0" fontId="4" fillId="0" borderId="36" xfId="2" applyFont="1" applyBorder="1"/>
    <xf numFmtId="0" fontId="4" fillId="0" borderId="36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49" fontId="8" fillId="0" borderId="11" xfId="2" applyNumberFormat="1" applyFont="1" applyBorder="1" applyAlignment="1">
      <alignment horizontal="center" vertical="center" wrapText="1"/>
    </xf>
    <xf numFmtId="0" fontId="4" fillId="0" borderId="35" xfId="2" applyFont="1" applyBorder="1" applyAlignment="1">
      <alignment vertical="top"/>
    </xf>
    <xf numFmtId="0" fontId="4" fillId="0" borderId="9" xfId="2" applyFont="1" applyFill="1" applyBorder="1" applyAlignment="1">
      <alignment horizontal="center"/>
    </xf>
    <xf numFmtId="49" fontId="4" fillId="0" borderId="36" xfId="2" applyNumberFormat="1" applyFont="1" applyBorder="1" applyAlignment="1">
      <alignment horizontal="center"/>
    </xf>
    <xf numFmtId="0" fontId="14" fillId="0" borderId="36" xfId="2" applyFont="1" applyBorder="1" applyAlignment="1">
      <alignment horizontal="center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10" xfId="2" applyFont="1" applyBorder="1" applyAlignment="1">
      <alignment horizontal="center" vertical="center" wrapText="1"/>
    </xf>
    <xf numFmtId="3" fontId="10" fillId="0" borderId="17" xfId="2" applyNumberFormat="1" applyFont="1" applyFill="1" applyBorder="1" applyAlignment="1">
      <alignment vertical="center"/>
    </xf>
    <xf numFmtId="0" fontId="4" fillId="2" borderId="33" xfId="0" applyFont="1" applyFill="1" applyBorder="1" applyAlignment="1">
      <alignment horizontal="center"/>
    </xf>
    <xf numFmtId="3" fontId="8" fillId="0" borderId="39" xfId="2" applyNumberFormat="1" applyFont="1" applyBorder="1" applyAlignment="1">
      <alignment vertical="center"/>
    </xf>
    <xf numFmtId="165" fontId="5" fillId="0" borderId="0" xfId="2" applyNumberFormat="1" applyFont="1" applyBorder="1"/>
    <xf numFmtId="0" fontId="4" fillId="0" borderId="40" xfId="2" applyFont="1" applyBorder="1" applyAlignment="1">
      <alignment horizontal="center"/>
    </xf>
    <xf numFmtId="0" fontId="13" fillId="0" borderId="11" xfId="2" applyFont="1" applyBorder="1" applyAlignment="1">
      <alignment horizontal="right" vertical="center"/>
    </xf>
    <xf numFmtId="0" fontId="10" fillId="0" borderId="16" xfId="2" applyFont="1" applyBorder="1" applyAlignment="1">
      <alignment horizontal="center"/>
    </xf>
    <xf numFmtId="0" fontId="4" fillId="0" borderId="16" xfId="2" applyFont="1" applyBorder="1" applyAlignment="1">
      <alignment horizontal="center" vertical="top"/>
    </xf>
    <xf numFmtId="49" fontId="12" fillId="0" borderId="11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1" fontId="8" fillId="0" borderId="10" xfId="2" applyNumberFormat="1" applyFont="1" applyBorder="1" applyAlignment="1">
      <alignment horizontal="center" vertical="center" wrapText="1"/>
    </xf>
    <xf numFmtId="3" fontId="16" fillId="0" borderId="10" xfId="2" applyNumberFormat="1" applyFont="1" applyBorder="1" applyAlignment="1">
      <alignment vertical="center" wrapText="1"/>
    </xf>
    <xf numFmtId="3" fontId="6" fillId="0" borderId="41" xfId="2" applyNumberFormat="1" applyFont="1" applyBorder="1" applyAlignment="1">
      <alignment horizontal="right" vertical="center" wrapText="1"/>
    </xf>
    <xf numFmtId="3" fontId="9" fillId="0" borderId="42" xfId="2" applyNumberFormat="1" applyFont="1" applyBorder="1" applyAlignment="1">
      <alignment horizontal="right" vertical="center" wrapText="1"/>
    </xf>
    <xf numFmtId="3" fontId="9" fillId="0" borderId="22" xfId="2" applyNumberFormat="1" applyFont="1" applyBorder="1"/>
    <xf numFmtId="3" fontId="9" fillId="0" borderId="43" xfId="2" applyNumberFormat="1" applyFont="1" applyBorder="1"/>
    <xf numFmtId="0" fontId="4" fillId="0" borderId="11" xfId="2" applyFont="1" applyBorder="1" applyAlignment="1">
      <alignment horizontal="center" vertical="center" wrapText="1"/>
    </xf>
    <xf numFmtId="0" fontId="9" fillId="0" borderId="44" xfId="2" applyFont="1" applyBorder="1" applyAlignment="1">
      <alignment vertical="center" wrapText="1"/>
    </xf>
    <xf numFmtId="3" fontId="18" fillId="0" borderId="44" xfId="2" applyNumberFormat="1" applyFont="1" applyFill="1" applyBorder="1" applyAlignment="1">
      <alignment vertical="center" wrapText="1"/>
    </xf>
    <xf numFmtId="3" fontId="8" fillId="0" borderId="44" xfId="2" applyNumberFormat="1" applyFont="1" applyFill="1" applyBorder="1" applyAlignment="1">
      <alignment vertical="center" wrapText="1"/>
    </xf>
    <xf numFmtId="3" fontId="8" fillId="0" borderId="44" xfId="2" applyNumberFormat="1" applyFont="1" applyBorder="1" applyAlignment="1">
      <alignment vertical="center" wrapText="1"/>
    </xf>
    <xf numFmtId="0" fontId="4" fillId="0" borderId="45" xfId="2" applyFont="1" applyBorder="1" applyAlignment="1">
      <alignment horizontal="center" vertical="top"/>
    </xf>
    <xf numFmtId="0" fontId="4" fillId="0" borderId="46" xfId="2" applyFont="1" applyBorder="1" applyAlignment="1">
      <alignment horizontal="center" vertical="top"/>
    </xf>
    <xf numFmtId="0" fontId="13" fillId="0" borderId="14" xfId="2" applyFont="1" applyBorder="1"/>
    <xf numFmtId="3" fontId="13" fillId="0" borderId="15" xfId="2" applyNumberFormat="1" applyFont="1" applyBorder="1" applyAlignment="1">
      <alignment vertical="center" wrapText="1"/>
    </xf>
    <xf numFmtId="3" fontId="13" fillId="0" borderId="47" xfId="2" applyNumberFormat="1" applyFont="1" applyBorder="1" applyAlignment="1">
      <alignment vertical="center" wrapText="1"/>
    </xf>
    <xf numFmtId="3" fontId="11" fillId="0" borderId="42" xfId="2" applyNumberFormat="1" applyFont="1" applyBorder="1" applyAlignment="1">
      <alignment horizontal="right" vertical="center" wrapText="1"/>
    </xf>
    <xf numFmtId="3" fontId="9" fillId="0" borderId="15" xfId="2" applyNumberFormat="1" applyFont="1" applyFill="1" applyBorder="1" applyAlignment="1">
      <alignment horizontal="right" vertical="center" wrapText="1"/>
    </xf>
    <xf numFmtId="165" fontId="8" fillId="0" borderId="10" xfId="2" applyNumberFormat="1" applyFont="1" applyBorder="1" applyAlignment="1">
      <alignment vertical="center" wrapText="1"/>
    </xf>
    <xf numFmtId="0" fontId="8" fillId="0" borderId="13" xfId="2" applyFont="1" applyBorder="1" applyAlignment="1">
      <alignment horizontal="center" vertical="top"/>
    </xf>
    <xf numFmtId="3" fontId="10" fillId="0" borderId="21" xfId="2" applyNumberFormat="1" applyFont="1" applyFill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5" fontId="8" fillId="0" borderId="10" xfId="2" applyNumberFormat="1" applyFont="1" applyFill="1" applyBorder="1" applyAlignment="1">
      <alignment vertical="center" wrapText="1"/>
    </xf>
    <xf numFmtId="165" fontId="8" fillId="0" borderId="19" xfId="2" applyNumberFormat="1" applyFont="1" applyBorder="1" applyAlignment="1">
      <alignment vertical="center" wrapText="1"/>
    </xf>
    <xf numFmtId="165" fontId="10" fillId="0" borderId="17" xfId="2" applyNumberFormat="1" applyFont="1" applyBorder="1" applyAlignment="1">
      <alignment vertical="center"/>
    </xf>
    <xf numFmtId="165" fontId="10" fillId="0" borderId="23" xfId="2" applyNumberFormat="1" applyFont="1" applyBorder="1" applyAlignment="1">
      <alignment vertical="center"/>
    </xf>
    <xf numFmtId="165" fontId="4" fillId="0" borderId="10" xfId="2" applyNumberFormat="1" applyFont="1" applyBorder="1" applyAlignment="1">
      <alignment vertical="center" wrapText="1"/>
    </xf>
    <xf numFmtId="165" fontId="4" fillId="0" borderId="19" xfId="2" applyNumberFormat="1" applyFont="1" applyBorder="1" applyAlignment="1">
      <alignment vertical="center" wrapText="1"/>
    </xf>
    <xf numFmtId="165" fontId="4" fillId="0" borderId="33" xfId="2" applyNumberFormat="1" applyFont="1" applyBorder="1" applyAlignment="1">
      <alignment vertical="center" wrapText="1"/>
    </xf>
    <xf numFmtId="165" fontId="11" fillId="0" borderId="17" xfId="2" applyNumberFormat="1" applyFont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165" fontId="11" fillId="0" borderId="21" xfId="2" applyNumberFormat="1" applyFont="1" applyBorder="1" applyAlignment="1">
      <alignment vertical="center" wrapText="1"/>
    </xf>
    <xf numFmtId="0" fontId="4" fillId="0" borderId="0" xfId="2" applyFont="1" applyAlignment="1">
      <alignment horizontal="right"/>
    </xf>
    <xf numFmtId="0" fontId="12" fillId="0" borderId="49" xfId="2" applyFont="1" applyBorder="1" applyAlignment="1">
      <alignment horizontal="center" vertical="center" wrapText="1"/>
    </xf>
    <xf numFmtId="0" fontId="10" fillId="0" borderId="49" xfId="2" applyFont="1" applyBorder="1" applyAlignment="1">
      <alignment vertical="center"/>
    </xf>
    <xf numFmtId="0" fontId="4" fillId="0" borderId="1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/>
    </xf>
    <xf numFmtId="0" fontId="10" fillId="0" borderId="24" xfId="2" applyFont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3" fontId="11" fillId="0" borderId="17" xfId="2" applyNumberFormat="1" applyFont="1" applyBorder="1" applyAlignment="1">
      <alignment vertical="center" wrapText="1"/>
    </xf>
    <xf numFmtId="1" fontId="8" fillId="3" borderId="10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Border="1" applyAlignment="1">
      <alignment vertical="center" wrapText="1"/>
    </xf>
    <xf numFmtId="164" fontId="11" fillId="0" borderId="21" xfId="2" applyNumberFormat="1" applyFont="1" applyBorder="1" applyAlignment="1">
      <alignment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 wrapText="1"/>
    </xf>
    <xf numFmtId="0" fontId="4" fillId="0" borderId="55" xfId="2" applyFont="1" applyBorder="1" applyAlignment="1">
      <alignment horizontal="center"/>
    </xf>
    <xf numFmtId="0" fontId="4" fillId="0" borderId="56" xfId="2" applyFont="1" applyBorder="1" applyAlignment="1">
      <alignment horizontal="center"/>
    </xf>
    <xf numFmtId="0" fontId="13" fillId="0" borderId="57" xfId="2" applyFont="1" applyBorder="1" applyAlignment="1">
      <alignment horizontal="right" vertical="center"/>
    </xf>
    <xf numFmtId="0" fontId="4" fillId="0" borderId="15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vertical="center"/>
    </xf>
    <xf numFmtId="3" fontId="13" fillId="0" borderId="11" xfId="2" applyNumberFormat="1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/>
    </xf>
    <xf numFmtId="0" fontId="8" fillId="0" borderId="5" xfId="2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1" fontId="8" fillId="0" borderId="15" xfId="2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3" fontId="4" fillId="0" borderId="10" xfId="2" applyNumberFormat="1" applyFont="1" applyBorder="1" applyAlignment="1">
      <alignment vertical="center" wrapText="1"/>
    </xf>
    <xf numFmtId="3" fontId="4" fillId="0" borderId="19" xfId="2" applyNumberFormat="1" applyFont="1" applyBorder="1" applyAlignment="1">
      <alignment vertical="center" wrapText="1"/>
    </xf>
    <xf numFmtId="3" fontId="11" fillId="0" borderId="18" xfId="2" applyNumberFormat="1" applyFont="1" applyBorder="1" applyAlignment="1">
      <alignment vertical="center" wrapText="1"/>
    </xf>
    <xf numFmtId="3" fontId="16" fillId="0" borderId="58" xfId="2" applyNumberFormat="1" applyFont="1" applyBorder="1"/>
    <xf numFmtId="3" fontId="16" fillId="0" borderId="59" xfId="2" applyNumberFormat="1" applyFont="1" applyBorder="1"/>
    <xf numFmtId="165" fontId="16" fillId="0" borderId="19" xfId="2" applyNumberFormat="1" applyFont="1" applyBorder="1" applyAlignment="1">
      <alignment vertical="center" wrapText="1"/>
    </xf>
    <xf numFmtId="165" fontId="16" fillId="3" borderId="60" xfId="2" applyNumberFormat="1" applyFont="1" applyFill="1" applyBorder="1" applyAlignment="1">
      <alignment vertical="center" wrapText="1"/>
    </xf>
    <xf numFmtId="3" fontId="16" fillId="0" borderId="61" xfId="2" applyNumberFormat="1" applyFont="1" applyBorder="1"/>
    <xf numFmtId="164" fontId="11" fillId="0" borderId="62" xfId="2" applyNumberFormat="1" applyFont="1" applyBorder="1" applyAlignment="1">
      <alignment vertical="center" wrapText="1"/>
    </xf>
    <xf numFmtId="0" fontId="4" fillId="0" borderId="63" xfId="2" applyFont="1" applyBorder="1" applyAlignment="1">
      <alignment horizontal="center"/>
    </xf>
    <xf numFmtId="0" fontId="4" fillId="0" borderId="64" xfId="2" applyFont="1" applyBorder="1" applyAlignment="1">
      <alignment horizontal="center" vertical="center"/>
    </xf>
    <xf numFmtId="3" fontId="9" fillId="0" borderId="64" xfId="2" applyNumberFormat="1" applyFont="1" applyFill="1" applyBorder="1" applyAlignment="1">
      <alignment horizontal="right" vertical="center" wrapText="1"/>
    </xf>
    <xf numFmtId="3" fontId="8" fillId="0" borderId="8" xfId="2" applyNumberFormat="1" applyFont="1" applyBorder="1" applyAlignment="1">
      <alignment vertical="center" wrapText="1"/>
    </xf>
    <xf numFmtId="3" fontId="13" fillId="0" borderId="64" xfId="2" applyNumberFormat="1" applyFont="1" applyBorder="1" applyAlignment="1">
      <alignment vertical="center" wrapText="1"/>
    </xf>
    <xf numFmtId="3" fontId="9" fillId="0" borderId="64" xfId="2" applyNumberFormat="1" applyFont="1" applyBorder="1" applyAlignment="1">
      <alignment horizontal="right" vertical="center" wrapText="1"/>
    </xf>
    <xf numFmtId="3" fontId="6" fillId="0" borderId="60" xfId="2" applyNumberFormat="1" applyFont="1" applyBorder="1" applyAlignment="1">
      <alignment vertical="center" wrapText="1"/>
    </xf>
    <xf numFmtId="3" fontId="4" fillId="0" borderId="8" xfId="2" applyNumberFormat="1" applyFont="1" applyBorder="1" applyAlignment="1">
      <alignment vertical="center" wrapText="1"/>
    </xf>
    <xf numFmtId="3" fontId="16" fillId="3" borderId="60" xfId="2" applyNumberFormat="1" applyFont="1" applyFill="1" applyBorder="1" applyAlignment="1">
      <alignment vertical="center" wrapText="1"/>
    </xf>
    <xf numFmtId="3" fontId="4" fillId="0" borderId="33" xfId="2" applyNumberFormat="1" applyFont="1" applyBorder="1" applyAlignment="1">
      <alignment vertical="center" wrapText="1"/>
    </xf>
    <xf numFmtId="3" fontId="4" fillId="0" borderId="34" xfId="2" applyNumberFormat="1" applyFont="1" applyBorder="1" applyAlignment="1">
      <alignment vertical="center" wrapText="1"/>
    </xf>
    <xf numFmtId="3" fontId="6" fillId="0" borderId="65" xfId="2" applyNumberFormat="1" applyFont="1" applyBorder="1" applyAlignment="1">
      <alignment vertical="center" wrapText="1"/>
    </xf>
    <xf numFmtId="3" fontId="4" fillId="0" borderId="66" xfId="2" applyNumberFormat="1" applyFont="1" applyBorder="1" applyAlignment="1">
      <alignment vertical="center" wrapText="1"/>
    </xf>
    <xf numFmtId="3" fontId="11" fillId="0" borderId="62" xfId="2" applyNumberFormat="1" applyFont="1" applyBorder="1" applyAlignment="1">
      <alignment vertical="center" wrapText="1"/>
    </xf>
    <xf numFmtId="3" fontId="11" fillId="0" borderId="23" xfId="2" applyNumberFormat="1" applyFont="1" applyBorder="1" applyAlignment="1">
      <alignment vertical="center" wrapText="1"/>
    </xf>
    <xf numFmtId="3" fontId="13" fillId="0" borderId="67" xfId="2" applyNumberFormat="1" applyFont="1" applyBorder="1" applyAlignment="1">
      <alignment vertical="center" wrapText="1"/>
    </xf>
    <xf numFmtId="3" fontId="16" fillId="0" borderId="8" xfId="2" applyNumberFormat="1" applyFont="1" applyBorder="1" applyAlignment="1">
      <alignment vertical="center" wrapText="1"/>
    </xf>
    <xf numFmtId="3" fontId="16" fillId="0" borderId="66" xfId="2" applyNumberFormat="1" applyFont="1" applyBorder="1" applyAlignment="1">
      <alignment vertical="center" wrapText="1"/>
    </xf>
    <xf numFmtId="3" fontId="10" fillId="0" borderId="18" xfId="2" applyNumberFormat="1" applyFont="1" applyBorder="1" applyAlignment="1">
      <alignment vertical="center"/>
    </xf>
    <xf numFmtId="165" fontId="16" fillId="0" borderId="8" xfId="2" applyNumberFormat="1" applyFont="1" applyBorder="1" applyAlignment="1">
      <alignment vertical="center" wrapText="1"/>
    </xf>
    <xf numFmtId="0" fontId="4" fillId="0" borderId="15" xfId="2" applyFont="1" applyBorder="1" applyAlignment="1">
      <alignment horizontal="center"/>
    </xf>
    <xf numFmtId="3" fontId="11" fillId="0" borderId="21" xfId="2" applyNumberFormat="1" applyFont="1" applyBorder="1" applyAlignment="1">
      <alignment vertical="center" wrapText="1"/>
    </xf>
    <xf numFmtId="0" fontId="8" fillId="0" borderId="6" xfId="2" applyFont="1" applyBorder="1" applyAlignment="1">
      <alignment horizontal="center"/>
    </xf>
    <xf numFmtId="3" fontId="8" fillId="0" borderId="68" xfId="2" applyNumberFormat="1" applyFont="1" applyBorder="1" applyAlignment="1">
      <alignment vertical="center"/>
    </xf>
    <xf numFmtId="3" fontId="8" fillId="0" borderId="69" xfId="2" applyNumberFormat="1" applyFont="1" applyBorder="1" applyAlignment="1">
      <alignment vertical="center"/>
    </xf>
    <xf numFmtId="0" fontId="4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vertical="center" wrapText="1"/>
    </xf>
    <xf numFmtId="3" fontId="12" fillId="0" borderId="17" xfId="2" applyNumberFormat="1" applyFont="1" applyBorder="1" applyAlignment="1">
      <alignment vertical="center" wrapText="1"/>
    </xf>
    <xf numFmtId="0" fontId="4" fillId="0" borderId="8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4" fillId="0" borderId="70" xfId="2" applyFont="1" applyBorder="1" applyAlignment="1">
      <alignment horizontal="center" vertical="center" wrapText="1"/>
    </xf>
    <xf numFmtId="0" fontId="12" fillId="0" borderId="70" xfId="2" applyFont="1" applyBorder="1" applyAlignment="1">
      <alignment vertical="center" wrapText="1"/>
    </xf>
    <xf numFmtId="3" fontId="12" fillId="0" borderId="70" xfId="2" applyNumberFormat="1" applyFont="1" applyBorder="1" applyAlignment="1">
      <alignment vertical="center" wrapText="1"/>
    </xf>
    <xf numFmtId="3" fontId="16" fillId="0" borderId="43" xfId="2" applyNumberFormat="1" applyFont="1" applyBorder="1" applyAlignment="1">
      <alignment vertical="center"/>
    </xf>
    <xf numFmtId="0" fontId="4" fillId="0" borderId="70" xfId="2" applyFont="1" applyFill="1" applyBorder="1" applyAlignment="1">
      <alignment horizontal="center" vertical="center" wrapText="1"/>
    </xf>
    <xf numFmtId="3" fontId="20" fillId="0" borderId="17" xfId="2" applyNumberFormat="1" applyFont="1" applyBorder="1" applyAlignment="1">
      <alignment vertical="center" wrapText="1"/>
    </xf>
    <xf numFmtId="3" fontId="13" fillId="0" borderId="57" xfId="2" applyNumberFormat="1" applyFont="1" applyBorder="1" applyAlignment="1">
      <alignment vertical="center" wrapText="1"/>
    </xf>
    <xf numFmtId="3" fontId="9" fillId="0" borderId="10" xfId="2" applyNumberFormat="1" applyFont="1" applyBorder="1" applyAlignment="1">
      <alignment horizontal="right" vertical="center" wrapText="1"/>
    </xf>
    <xf numFmtId="3" fontId="9" fillId="0" borderId="19" xfId="2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horizontal="left" vertical="center"/>
    </xf>
    <xf numFmtId="16" fontId="5" fillId="0" borderId="17" xfId="2" applyNumberFormat="1" applyFont="1" applyBorder="1" applyAlignment="1">
      <alignment horizontal="center" vertical="center"/>
    </xf>
    <xf numFmtId="3" fontId="11" fillId="0" borderId="64" xfId="2" applyNumberFormat="1" applyFont="1" applyBorder="1" applyAlignment="1">
      <alignment vertical="center" wrapText="1"/>
    </xf>
    <xf numFmtId="165" fontId="8" fillId="0" borderId="8" xfId="2" applyNumberFormat="1" applyFont="1" applyBorder="1" applyAlignment="1">
      <alignment vertical="center" wrapText="1"/>
    </xf>
    <xf numFmtId="0" fontId="4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horizontal="right" vertical="top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right" vertical="center" wrapText="1"/>
    </xf>
    <xf numFmtId="3" fontId="16" fillId="0" borderId="0" xfId="2" applyNumberFormat="1" applyFont="1" applyBorder="1" applyAlignment="1">
      <alignment vertical="center" wrapText="1"/>
    </xf>
    <xf numFmtId="3" fontId="10" fillId="0" borderId="0" xfId="2" applyNumberFormat="1" applyFont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3" fontId="17" fillId="0" borderId="0" xfId="2" applyNumberFormat="1" applyFont="1" applyBorder="1" applyAlignment="1">
      <alignment vertical="center" wrapText="1"/>
    </xf>
    <xf numFmtId="3" fontId="19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Border="1" applyAlignment="1">
      <alignment vertical="center" wrapText="1"/>
    </xf>
    <xf numFmtId="165" fontId="19" fillId="0" borderId="0" xfId="2" applyNumberFormat="1" applyFont="1" applyBorder="1" applyAlignment="1">
      <alignment vertical="center" wrapText="1"/>
    </xf>
    <xf numFmtId="165" fontId="11" fillId="0" borderId="0" xfId="2" applyNumberFormat="1" applyFont="1" applyBorder="1" applyAlignment="1">
      <alignment vertical="center" wrapText="1"/>
    </xf>
    <xf numFmtId="165" fontId="16" fillId="0" borderId="0" xfId="2" applyNumberFormat="1" applyFont="1" applyBorder="1" applyAlignment="1">
      <alignment vertical="center" wrapText="1"/>
    </xf>
    <xf numFmtId="165" fontId="10" fillId="0" borderId="0" xfId="2" applyNumberFormat="1" applyFont="1" applyBorder="1" applyAlignment="1">
      <alignment vertical="center"/>
    </xf>
    <xf numFmtId="3" fontId="10" fillId="0" borderId="23" xfId="2" applyNumberFormat="1" applyFont="1" applyFill="1" applyBorder="1" applyAlignment="1">
      <alignment vertical="center"/>
    </xf>
    <xf numFmtId="3" fontId="16" fillId="0" borderId="34" xfId="2" applyNumberFormat="1" applyFont="1" applyBorder="1" applyAlignment="1">
      <alignment vertical="center" wrapText="1"/>
    </xf>
    <xf numFmtId="165" fontId="4" fillId="0" borderId="8" xfId="2" applyNumberFormat="1" applyFont="1" applyBorder="1" applyAlignment="1">
      <alignment vertical="center" wrapText="1"/>
    </xf>
    <xf numFmtId="0" fontId="4" fillId="0" borderId="6" xfId="2" applyFont="1" applyBorder="1" applyAlignment="1"/>
    <xf numFmtId="0" fontId="4" fillId="0" borderId="76" xfId="2" applyFont="1" applyBorder="1" applyAlignment="1"/>
    <xf numFmtId="0" fontId="8" fillId="0" borderId="1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10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77" xfId="2" applyFont="1" applyBorder="1" applyAlignment="1"/>
    <xf numFmtId="0" fontId="4" fillId="2" borderId="77" xfId="0" applyFont="1" applyFill="1" applyBorder="1" applyAlignment="1" applyProtection="1">
      <protection hidden="1"/>
    </xf>
    <xf numFmtId="0" fontId="4" fillId="2" borderId="77" xfId="0" applyFont="1" applyFill="1" applyBorder="1" applyAlignment="1" applyProtection="1">
      <alignment horizontal="center"/>
      <protection hidden="1"/>
    </xf>
    <xf numFmtId="0" fontId="4" fillId="0" borderId="78" xfId="2" applyFont="1" applyBorder="1" applyAlignment="1"/>
    <xf numFmtId="0" fontId="4" fillId="0" borderId="79" xfId="2" applyFont="1" applyBorder="1" applyAlignment="1"/>
    <xf numFmtId="0" fontId="16" fillId="0" borderId="80" xfId="2" applyFont="1" applyBorder="1" applyAlignment="1">
      <alignment horizontal="center"/>
    </xf>
    <xf numFmtId="0" fontId="16" fillId="0" borderId="77" xfId="2" applyFont="1" applyBorder="1" applyAlignment="1">
      <alignment horizontal="center"/>
    </xf>
    <xf numFmtId="3" fontId="11" fillId="0" borderId="15" xfId="2" applyNumberFormat="1" applyFont="1" applyBorder="1" applyAlignment="1">
      <alignment horizontal="right" vertical="center" wrapText="1"/>
    </xf>
    <xf numFmtId="0" fontId="6" fillId="0" borderId="81" xfId="2" applyFont="1" applyBorder="1" applyAlignment="1">
      <alignment horizontal="center"/>
    </xf>
    <xf numFmtId="3" fontId="16" fillId="0" borderId="81" xfId="2" applyNumberFormat="1" applyFont="1" applyBorder="1"/>
    <xf numFmtId="3" fontId="16" fillId="0" borderId="41" xfId="2" applyNumberFormat="1" applyFont="1" applyBorder="1"/>
    <xf numFmtId="165" fontId="6" fillId="0" borderId="76" xfId="2" applyNumberFormat="1" applyFont="1" applyBorder="1" applyAlignment="1">
      <alignment vertical="center" wrapText="1"/>
    </xf>
    <xf numFmtId="165" fontId="6" fillId="0" borderId="82" xfId="2" applyNumberFormat="1" applyFont="1" applyBorder="1" applyAlignment="1">
      <alignment vertical="center" wrapText="1"/>
    </xf>
    <xf numFmtId="165" fontId="11" fillId="0" borderId="83" xfId="2" applyNumberFormat="1" applyFont="1" applyBorder="1" applyAlignment="1">
      <alignment vertical="center" wrapText="1"/>
    </xf>
    <xf numFmtId="3" fontId="13" fillId="0" borderId="42" xfId="2" applyNumberFormat="1" applyFont="1" applyBorder="1" applyAlignment="1">
      <alignment vertical="center" wrapText="1"/>
    </xf>
    <xf numFmtId="3" fontId="20" fillId="0" borderId="21" xfId="2" applyNumberFormat="1" applyFont="1" applyBorder="1" applyAlignment="1">
      <alignment vertical="center" wrapText="1"/>
    </xf>
    <xf numFmtId="165" fontId="4" fillId="0" borderId="22" xfId="2" applyNumberFormat="1" applyFont="1" applyBorder="1" applyAlignment="1">
      <alignment vertical="center" wrapText="1"/>
    </xf>
    <xf numFmtId="165" fontId="4" fillId="0" borderId="84" xfId="2" applyNumberFormat="1" applyFont="1" applyBorder="1" applyAlignment="1">
      <alignment vertical="center" wrapText="1"/>
    </xf>
    <xf numFmtId="165" fontId="8" fillId="0" borderId="22" xfId="2" applyNumberFormat="1" applyFont="1" applyBorder="1" applyAlignment="1">
      <alignment vertical="center" wrapText="1"/>
    </xf>
    <xf numFmtId="3" fontId="11" fillId="0" borderId="15" xfId="2" applyNumberFormat="1" applyFont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0" fontId="6" fillId="0" borderId="85" xfId="2" applyFont="1" applyBorder="1" applyAlignment="1"/>
    <xf numFmtId="167" fontId="8" fillId="0" borderId="10" xfId="2" applyNumberFormat="1" applyFont="1" applyBorder="1" applyAlignment="1">
      <alignment vertical="center" wrapText="1"/>
    </xf>
    <xf numFmtId="165" fontId="23" fillId="0" borderId="17" xfId="2" applyNumberFormat="1" applyFont="1" applyBorder="1" applyAlignment="1">
      <alignment vertical="center" wrapText="1"/>
    </xf>
    <xf numFmtId="165" fontId="23" fillId="0" borderId="21" xfId="2" applyNumberFormat="1" applyFont="1" applyBorder="1" applyAlignment="1">
      <alignment vertical="center" wrapText="1"/>
    </xf>
    <xf numFmtId="165" fontId="23" fillId="0" borderId="83" xfId="2" applyNumberFormat="1" applyFont="1" applyBorder="1" applyAlignment="1">
      <alignment vertical="center" wrapText="1"/>
    </xf>
    <xf numFmtId="0" fontId="24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center" vertical="top" wrapText="1"/>
    </xf>
    <xf numFmtId="49" fontId="4" fillId="0" borderId="10" xfId="2" applyNumberFormat="1" applyFont="1" applyBorder="1" applyAlignment="1">
      <alignment horizontal="center" vertical="center" wrapText="1"/>
    </xf>
    <xf numFmtId="0" fontId="9" fillId="0" borderId="10" xfId="2" applyFont="1" applyBorder="1" applyAlignment="1">
      <alignment vertical="center"/>
    </xf>
    <xf numFmtId="3" fontId="8" fillId="0" borderId="10" xfId="2" applyNumberFormat="1" applyFont="1" applyBorder="1" applyAlignment="1">
      <alignment vertical="center"/>
    </xf>
    <xf numFmtId="3" fontId="8" fillId="0" borderId="19" xfId="2" applyNumberFormat="1" applyFont="1" applyBorder="1" applyAlignment="1">
      <alignment vertical="center"/>
    </xf>
    <xf numFmtId="3" fontId="17" fillId="0" borderId="22" xfId="2" applyNumberFormat="1" applyFont="1" applyBorder="1" applyAlignment="1">
      <alignment vertical="center" wrapText="1"/>
    </xf>
    <xf numFmtId="0" fontId="8" fillId="0" borderId="16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/>
    </xf>
    <xf numFmtId="3" fontId="8" fillId="0" borderId="86" xfId="2" applyNumberFormat="1" applyFont="1" applyBorder="1" applyAlignment="1">
      <alignment vertical="center"/>
    </xf>
    <xf numFmtId="3" fontId="8" fillId="0" borderId="27" xfId="2" applyNumberFormat="1" applyFont="1" applyBorder="1" applyAlignment="1">
      <alignment vertical="center" wrapText="1"/>
    </xf>
    <xf numFmtId="3" fontId="8" fillId="0" borderId="72" xfId="2" applyNumberFormat="1" applyFont="1" applyBorder="1" applyAlignment="1">
      <alignment vertical="center" wrapText="1"/>
    </xf>
    <xf numFmtId="3" fontId="12" fillId="0" borderId="19" xfId="2" applyNumberFormat="1" applyFont="1" applyBorder="1" applyAlignment="1">
      <alignment vertical="center" wrapText="1"/>
    </xf>
    <xf numFmtId="3" fontId="13" fillId="0" borderId="74" xfId="2" applyNumberFormat="1" applyFont="1" applyBorder="1" applyAlignment="1">
      <alignment vertical="center" wrapText="1"/>
    </xf>
    <xf numFmtId="0" fontId="16" fillId="2" borderId="8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0" borderId="19" xfId="2" applyFont="1" applyBorder="1" applyAlignment="1">
      <alignment horizontal="center"/>
    </xf>
    <xf numFmtId="0" fontId="4" fillId="0" borderId="31" xfId="2" applyFont="1" applyBorder="1" applyAlignment="1">
      <alignment horizontal="center" vertical="center"/>
    </xf>
    <xf numFmtId="3" fontId="11" fillId="0" borderId="67" xfId="2" applyNumberFormat="1" applyFont="1" applyBorder="1" applyAlignment="1">
      <alignment vertical="center" wrapText="1"/>
    </xf>
    <xf numFmtId="0" fontId="4" fillId="0" borderId="47" xfId="2" applyFont="1" applyBorder="1" applyAlignment="1">
      <alignment horizontal="center" vertical="center"/>
    </xf>
    <xf numFmtId="3" fontId="12" fillId="0" borderId="23" xfId="2" applyNumberFormat="1" applyFont="1" applyBorder="1" applyAlignment="1">
      <alignment vertical="center" wrapText="1"/>
    </xf>
    <xf numFmtId="3" fontId="12" fillId="0" borderId="73" xfId="2" applyNumberFormat="1" applyFont="1" applyBorder="1" applyAlignment="1">
      <alignment vertical="center" wrapText="1"/>
    </xf>
    <xf numFmtId="0" fontId="4" fillId="0" borderId="80" xfId="2" applyFont="1" applyBorder="1" applyAlignment="1">
      <alignment horizontal="center"/>
    </xf>
    <xf numFmtId="1" fontId="8" fillId="0" borderId="15" xfId="2" applyNumberFormat="1" applyFont="1" applyBorder="1" applyAlignment="1">
      <alignment horizontal="left" vertical="center" wrapText="1"/>
    </xf>
    <xf numFmtId="1" fontId="4" fillId="0" borderId="15" xfId="2" applyNumberFormat="1" applyFont="1" applyBorder="1" applyAlignment="1">
      <alignment horizontal="left" vertical="center" wrapText="1"/>
    </xf>
    <xf numFmtId="1" fontId="4" fillId="0" borderId="15" xfId="2" applyNumberFormat="1" applyFont="1" applyFill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165" fontId="25" fillId="0" borderId="17" xfId="2" applyNumberFormat="1" applyFont="1" applyBorder="1" applyAlignment="1">
      <alignment vertical="center"/>
    </xf>
    <xf numFmtId="1" fontId="8" fillId="0" borderId="15" xfId="2" applyNumberFormat="1" applyFont="1" applyFill="1" applyBorder="1" applyAlignment="1">
      <alignment horizontal="left" vertical="center" wrapText="1"/>
    </xf>
    <xf numFmtId="49" fontId="8" fillId="0" borderId="11" xfId="2" applyNumberFormat="1" applyFont="1" applyFill="1" applyBorder="1" applyAlignment="1">
      <alignment horizontal="left" vertical="center" wrapText="1"/>
    </xf>
    <xf numFmtId="49" fontId="8" fillId="0" borderId="15" xfId="2" applyNumberFormat="1" applyFont="1" applyFill="1" applyBorder="1" applyAlignment="1">
      <alignment horizontal="left" vertical="center" wrapText="1"/>
    </xf>
    <xf numFmtId="165" fontId="13" fillId="0" borderId="9" xfId="2" applyNumberFormat="1" applyFont="1" applyBorder="1" applyAlignment="1">
      <alignment vertical="center" wrapText="1"/>
    </xf>
    <xf numFmtId="165" fontId="8" fillId="0" borderId="9" xfId="2" applyNumberFormat="1" applyFont="1" applyBorder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4" fillId="0" borderId="5" xfId="2" applyFont="1" applyBorder="1" applyAlignment="1">
      <alignment horizontal="right"/>
    </xf>
    <xf numFmtId="0" fontId="4" fillId="0" borderId="36" xfId="2" applyFont="1" applyBorder="1" applyAlignment="1">
      <alignment horizontal="right"/>
    </xf>
    <xf numFmtId="0" fontId="9" fillId="0" borderId="10" xfId="2" applyFont="1" applyBorder="1" applyAlignment="1">
      <alignment horizontal="right" vertical="center"/>
    </xf>
    <xf numFmtId="165" fontId="10" fillId="0" borderId="60" xfId="2" applyNumberFormat="1" applyFont="1" applyBorder="1" applyAlignment="1">
      <alignment horizontal="right" vertical="center" wrapText="1"/>
    </xf>
    <xf numFmtId="3" fontId="9" fillId="0" borderId="8" xfId="2" applyNumberFormat="1" applyFont="1" applyBorder="1" applyAlignment="1">
      <alignment horizontal="right" vertical="center" wrapText="1"/>
    </xf>
    <xf numFmtId="3" fontId="8" fillId="0" borderId="10" xfId="2" applyNumberFormat="1" applyFont="1" applyBorder="1" applyAlignment="1">
      <alignment horizontal="right" vertical="center" wrapText="1"/>
    </xf>
    <xf numFmtId="165" fontId="13" fillId="0" borderId="10" xfId="2" applyNumberFormat="1" applyFont="1" applyBorder="1" applyAlignment="1">
      <alignment vertical="center" wrapText="1"/>
    </xf>
    <xf numFmtId="165" fontId="13" fillId="0" borderId="22" xfId="2" applyNumberFormat="1" applyFont="1" applyBorder="1" applyAlignment="1">
      <alignment vertical="center" wrapText="1"/>
    </xf>
    <xf numFmtId="3" fontId="8" fillId="0" borderId="84" xfId="2" applyNumberFormat="1" applyFont="1" applyBorder="1" applyAlignment="1">
      <alignment vertical="center" wrapText="1"/>
    </xf>
    <xf numFmtId="3" fontId="21" fillId="0" borderId="17" xfId="2" applyNumberFormat="1" applyFont="1" applyBorder="1" applyAlignment="1">
      <alignment vertical="center"/>
    </xf>
    <xf numFmtId="3" fontId="21" fillId="0" borderId="21" xfId="2" applyNumberFormat="1" applyFont="1" applyBorder="1" applyAlignment="1">
      <alignment vertical="center"/>
    </xf>
    <xf numFmtId="165" fontId="13" fillId="0" borderId="71" xfId="2" applyNumberFormat="1" applyFont="1" applyBorder="1" applyAlignment="1">
      <alignment vertical="center" wrapText="1"/>
    </xf>
    <xf numFmtId="165" fontId="13" fillId="0" borderId="19" xfId="2" applyNumberFormat="1" applyFont="1" applyBorder="1" applyAlignment="1">
      <alignment vertical="center" wrapText="1"/>
    </xf>
    <xf numFmtId="0" fontId="5" fillId="0" borderId="0" xfId="2" applyFont="1" applyFill="1"/>
    <xf numFmtId="0" fontId="5" fillId="0" borderId="0" xfId="2" applyFont="1" applyFill="1" applyBorder="1"/>
    <xf numFmtId="3" fontId="10" fillId="0" borderId="50" xfId="2" applyNumberFormat="1" applyFont="1" applyBorder="1" applyAlignment="1">
      <alignment vertical="center"/>
    </xf>
    <xf numFmtId="0" fontId="13" fillId="0" borderId="10" xfId="2" applyFont="1" applyBorder="1" applyAlignment="1">
      <alignment horizontal="right" vertical="center"/>
    </xf>
    <xf numFmtId="3" fontId="13" fillId="0" borderId="10" xfId="2" applyNumberFormat="1" applyFont="1" applyBorder="1" applyAlignment="1">
      <alignment vertical="center" wrapText="1"/>
    </xf>
    <xf numFmtId="3" fontId="13" fillId="0" borderId="19" xfId="2" applyNumberFormat="1" applyFont="1" applyBorder="1" applyAlignment="1">
      <alignment vertical="center" wrapText="1"/>
    </xf>
    <xf numFmtId="0" fontId="7" fillId="0" borderId="17" xfId="2" applyFont="1" applyBorder="1" applyAlignment="1">
      <alignment horizontal="center" vertical="center"/>
    </xf>
    <xf numFmtId="165" fontId="16" fillId="0" borderId="22" xfId="2" applyNumberFormat="1" applyFont="1" applyBorder="1" applyAlignment="1">
      <alignment vertical="center" wrapText="1"/>
    </xf>
    <xf numFmtId="165" fontId="16" fillId="3" borderId="22" xfId="2" applyNumberFormat="1" applyFont="1" applyFill="1" applyBorder="1" applyAlignment="1">
      <alignment vertical="center" wrapText="1"/>
    </xf>
    <xf numFmtId="49" fontId="8" fillId="0" borderId="10" xfId="2" applyNumberFormat="1" applyFont="1" applyFill="1" applyBorder="1" applyAlignment="1">
      <alignment horizontal="center" vertical="center" wrapText="1"/>
    </xf>
    <xf numFmtId="3" fontId="25" fillId="0" borderId="17" xfId="2" applyNumberFormat="1" applyFont="1" applyFill="1" applyBorder="1" applyAlignment="1">
      <alignment vertical="center"/>
    </xf>
    <xf numFmtId="3" fontId="25" fillId="0" borderId="23" xfId="2" applyNumberFormat="1" applyFont="1" applyFill="1" applyBorder="1" applyAlignment="1">
      <alignment vertical="center"/>
    </xf>
    <xf numFmtId="165" fontId="22" fillId="0" borderId="10" xfId="2" applyNumberFormat="1" applyFont="1" applyBorder="1" applyAlignment="1">
      <alignment vertical="center" wrapText="1"/>
    </xf>
    <xf numFmtId="0" fontId="22" fillId="0" borderId="0" xfId="2" applyFont="1"/>
    <xf numFmtId="165" fontId="22" fillId="0" borderId="19" xfId="2" applyNumberFormat="1" applyFont="1" applyBorder="1" applyAlignment="1">
      <alignment vertical="center" wrapText="1"/>
    </xf>
    <xf numFmtId="3" fontId="22" fillId="0" borderId="10" xfId="2" applyNumberFormat="1" applyFont="1" applyBorder="1" applyAlignment="1">
      <alignment vertical="center" wrapText="1"/>
    </xf>
    <xf numFmtId="3" fontId="22" fillId="0" borderId="19" xfId="2" applyNumberFormat="1" applyFont="1" applyBorder="1" applyAlignment="1">
      <alignment vertical="center" wrapText="1"/>
    </xf>
    <xf numFmtId="167" fontId="22" fillId="0" borderId="10" xfId="2" applyNumberFormat="1" applyFont="1" applyBorder="1" applyAlignment="1">
      <alignment vertical="center" wrapText="1"/>
    </xf>
    <xf numFmtId="3" fontId="26" fillId="0" borderId="10" xfId="2" applyNumberFormat="1" applyFont="1" applyBorder="1" applyAlignment="1">
      <alignment vertical="center" wrapText="1"/>
    </xf>
    <xf numFmtId="3" fontId="26" fillId="0" borderId="22" xfId="2" applyNumberFormat="1" applyFont="1" applyBorder="1" applyAlignment="1">
      <alignment vertical="center" wrapText="1"/>
    </xf>
    <xf numFmtId="165" fontId="26" fillId="0" borderId="76" xfId="2" applyNumberFormat="1" applyFont="1" applyBorder="1" applyAlignment="1">
      <alignment vertical="center" wrapText="1"/>
    </xf>
    <xf numFmtId="3" fontId="26" fillId="0" borderId="70" xfId="2" applyNumberFormat="1" applyFont="1" applyBorder="1" applyAlignment="1">
      <alignment vertical="center" wrapText="1"/>
    </xf>
    <xf numFmtId="3" fontId="26" fillId="0" borderId="43" xfId="2" applyNumberFormat="1" applyFont="1" applyBorder="1" applyAlignment="1">
      <alignment vertical="center" wrapText="1"/>
    </xf>
    <xf numFmtId="3" fontId="26" fillId="0" borderId="87" xfId="2" applyNumberFormat="1" applyFont="1" applyBorder="1"/>
    <xf numFmtId="3" fontId="23" fillId="0" borderId="17" xfId="2" applyNumberFormat="1" applyFont="1" applyBorder="1" applyAlignment="1">
      <alignment vertical="center" wrapText="1"/>
    </xf>
    <xf numFmtId="164" fontId="23" fillId="0" borderId="17" xfId="2" applyNumberFormat="1" applyFont="1" applyBorder="1" applyAlignment="1">
      <alignment vertical="center" wrapText="1"/>
    </xf>
    <xf numFmtId="164" fontId="23" fillId="0" borderId="21" xfId="2" applyNumberFormat="1" applyFont="1" applyBorder="1" applyAlignment="1">
      <alignment vertical="center" wrapText="1"/>
    </xf>
    <xf numFmtId="164" fontId="23" fillId="0" borderId="83" xfId="2" applyNumberFormat="1" applyFont="1" applyBorder="1" applyAlignment="1">
      <alignment vertical="center" wrapText="1"/>
    </xf>
    <xf numFmtId="3" fontId="23" fillId="0" borderId="21" xfId="2" applyNumberFormat="1" applyFont="1" applyBorder="1" applyAlignment="1">
      <alignment vertical="center" wrapText="1"/>
    </xf>
    <xf numFmtId="165" fontId="22" fillId="0" borderId="0" xfId="2" applyNumberFormat="1" applyFont="1" applyBorder="1" applyAlignment="1">
      <alignment vertical="center" wrapText="1"/>
    </xf>
    <xf numFmtId="164" fontId="8" fillId="0" borderId="17" xfId="2" applyNumberFormat="1" applyFont="1" applyBorder="1" applyAlignment="1">
      <alignment vertical="center" wrapText="1"/>
    </xf>
    <xf numFmtId="0" fontId="4" fillId="0" borderId="48" xfId="2" applyFont="1" applyBorder="1" applyAlignment="1">
      <alignment horizontal="center" vertical="top"/>
    </xf>
    <xf numFmtId="165" fontId="25" fillId="0" borderId="49" xfId="2" applyNumberFormat="1" applyFont="1" applyBorder="1" applyAlignment="1">
      <alignment vertical="center"/>
    </xf>
    <xf numFmtId="165" fontId="25" fillId="0" borderId="50" xfId="2" applyNumberFormat="1" applyFont="1" applyBorder="1" applyAlignment="1">
      <alignment vertical="center"/>
    </xf>
    <xf numFmtId="0" fontId="4" fillId="0" borderId="13" xfId="2" applyFont="1" applyBorder="1" applyAlignment="1">
      <alignment horizontal="center" vertical="top"/>
    </xf>
    <xf numFmtId="0" fontId="12" fillId="0" borderId="15" xfId="2" applyFont="1" applyBorder="1" applyAlignment="1">
      <alignment vertical="center" wrapText="1"/>
    </xf>
    <xf numFmtId="165" fontId="22" fillId="0" borderId="15" xfId="2" applyNumberFormat="1" applyFont="1" applyBorder="1" applyAlignment="1">
      <alignment vertical="center" wrapText="1"/>
    </xf>
    <xf numFmtId="165" fontId="22" fillId="0" borderId="47" xfId="2" applyNumberFormat="1" applyFont="1" applyBorder="1" applyAlignment="1">
      <alignment vertical="center" wrapText="1"/>
    </xf>
    <xf numFmtId="0" fontId="4" fillId="0" borderId="52" xfId="2" applyFont="1" applyBorder="1" applyAlignment="1">
      <alignment horizontal="center" vertical="top"/>
    </xf>
    <xf numFmtId="165" fontId="25" fillId="0" borderId="24" xfId="2" applyNumberFormat="1" applyFont="1" applyBorder="1" applyAlignment="1">
      <alignment vertical="center"/>
    </xf>
    <xf numFmtId="165" fontId="25" fillId="0" borderId="53" xfId="2" applyNumberFormat="1" applyFont="1" applyBorder="1" applyAlignment="1">
      <alignment vertical="center"/>
    </xf>
    <xf numFmtId="3" fontId="10" fillId="0" borderId="49" xfId="2" applyNumberFormat="1" applyFont="1" applyBorder="1" applyAlignment="1">
      <alignment vertical="center"/>
    </xf>
    <xf numFmtId="3" fontId="10" fillId="0" borderId="51" xfId="2" applyNumberFormat="1" applyFont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vertical="center" wrapText="1"/>
    </xf>
    <xf numFmtId="165" fontId="8" fillId="0" borderId="15" xfId="2" applyNumberFormat="1" applyFont="1" applyBorder="1" applyAlignment="1">
      <alignment vertical="center" wrapText="1"/>
    </xf>
    <xf numFmtId="165" fontId="8" fillId="0" borderId="47" xfId="2" applyNumberFormat="1" applyFont="1" applyBorder="1" applyAlignment="1">
      <alignment vertical="center" wrapText="1"/>
    </xf>
    <xf numFmtId="165" fontId="16" fillId="0" borderId="42" xfId="2" applyNumberFormat="1" applyFont="1" applyBorder="1" applyAlignment="1">
      <alignment vertical="center" wrapText="1"/>
    </xf>
    <xf numFmtId="3" fontId="10" fillId="0" borderId="24" xfId="2" applyNumberFormat="1" applyFont="1" applyBorder="1" applyAlignment="1">
      <alignment vertical="center"/>
    </xf>
    <xf numFmtId="3" fontId="10" fillId="0" borderId="53" xfId="2" applyNumberFormat="1" applyFont="1" applyBorder="1" applyAlignment="1">
      <alignment vertical="center"/>
    </xf>
    <xf numFmtId="3" fontId="10" fillId="0" borderId="54" xfId="2" applyNumberFormat="1" applyFont="1" applyBorder="1" applyAlignment="1">
      <alignment vertical="center"/>
    </xf>
    <xf numFmtId="166" fontId="1" fillId="0" borderId="10" xfId="1" applyNumberFormat="1" applyBorder="1" applyAlignment="1">
      <alignment vertical="center" wrapText="1"/>
    </xf>
    <xf numFmtId="165" fontId="8" fillId="0" borderId="20" xfId="2" applyNumberFormat="1" applyFont="1" applyBorder="1" applyAlignment="1">
      <alignment vertical="center"/>
    </xf>
    <xf numFmtId="165" fontId="8" fillId="0" borderId="68" xfId="2" applyNumberFormat="1" applyFont="1" applyBorder="1" applyAlignment="1">
      <alignment vertical="center"/>
    </xf>
    <xf numFmtId="165" fontId="17" fillId="0" borderId="29" xfId="2" applyNumberFormat="1" applyFont="1" applyBorder="1" applyAlignment="1">
      <alignment vertical="center" wrapText="1"/>
    </xf>
    <xf numFmtId="165" fontId="17" fillId="0" borderId="30" xfId="2" applyNumberFormat="1" applyFont="1" applyBorder="1" applyAlignment="1">
      <alignment vertical="center" wrapText="1"/>
    </xf>
    <xf numFmtId="165" fontId="10" fillId="0" borderId="21" xfId="2" applyNumberFormat="1" applyFont="1" applyBorder="1" applyAlignment="1">
      <alignment vertical="center"/>
    </xf>
    <xf numFmtId="168" fontId="27" fillId="0" borderId="17" xfId="2" applyNumberFormat="1" applyFont="1" applyBorder="1" applyAlignment="1">
      <alignment vertical="center" wrapText="1"/>
    </xf>
    <xf numFmtId="166" fontId="28" fillId="0" borderId="17" xfId="1" applyNumberFormat="1" applyFont="1" applyBorder="1" applyAlignment="1">
      <alignment vertical="center" wrapText="1"/>
    </xf>
    <xf numFmtId="165" fontId="19" fillId="0" borderId="17" xfId="2" applyNumberFormat="1" applyFont="1" applyBorder="1" applyAlignment="1">
      <alignment vertical="center" wrapText="1"/>
    </xf>
    <xf numFmtId="165" fontId="22" fillId="0" borderId="25" xfId="2" applyNumberFormat="1" applyFont="1" applyBorder="1" applyAlignment="1">
      <alignment vertical="center"/>
    </xf>
    <xf numFmtId="165" fontId="22" fillId="0" borderId="39" xfId="2" applyNumberFormat="1" applyFont="1" applyBorder="1" applyAlignment="1">
      <alignment vertical="center"/>
    </xf>
    <xf numFmtId="165" fontId="22" fillId="0" borderId="20" xfId="2" applyNumberFormat="1" applyFont="1" applyBorder="1" applyAlignment="1">
      <alignment vertical="center"/>
    </xf>
    <xf numFmtId="165" fontId="22" fillId="0" borderId="0" xfId="2" applyNumberFormat="1" applyFont="1"/>
    <xf numFmtId="165" fontId="22" fillId="0" borderId="20" xfId="2" applyNumberFormat="1" applyFont="1" applyBorder="1" applyAlignment="1">
      <alignment vertical="center" wrapText="1"/>
    </xf>
    <xf numFmtId="165" fontId="22" fillId="0" borderId="20" xfId="2" applyNumberFormat="1" applyFont="1" applyFill="1" applyBorder="1" applyAlignment="1">
      <alignment vertical="center" wrapText="1"/>
    </xf>
    <xf numFmtId="3" fontId="22" fillId="0" borderId="20" xfId="2" applyNumberFormat="1" applyFont="1" applyBorder="1" applyAlignment="1">
      <alignment vertical="center" wrapText="1"/>
    </xf>
    <xf numFmtId="3" fontId="22" fillId="0" borderId="68" xfId="2" applyNumberFormat="1" applyFont="1" applyBorder="1" applyAlignment="1">
      <alignment vertical="center" wrapText="1"/>
    </xf>
    <xf numFmtId="3" fontId="18" fillId="0" borderId="27" xfId="2" applyNumberFormat="1" applyFont="1" applyBorder="1" applyAlignment="1">
      <alignment vertical="center" wrapText="1"/>
    </xf>
    <xf numFmtId="3" fontId="18" fillId="0" borderId="69" xfId="2" applyNumberFormat="1" applyFont="1" applyBorder="1" applyAlignment="1">
      <alignment vertical="center" wrapText="1"/>
    </xf>
    <xf numFmtId="165" fontId="22" fillId="0" borderId="29" xfId="2" applyNumberFormat="1" applyFont="1" applyBorder="1" applyAlignment="1">
      <alignment vertical="center"/>
    </xf>
    <xf numFmtId="165" fontId="22" fillId="0" borderId="30" xfId="2" applyNumberFormat="1" applyFont="1" applyBorder="1" applyAlignment="1">
      <alignment vertical="center"/>
    </xf>
    <xf numFmtId="0" fontId="8" fillId="0" borderId="10" xfId="2" applyFont="1" applyFill="1" applyBorder="1" applyAlignment="1">
      <alignment vertical="center" wrapText="1"/>
    </xf>
    <xf numFmtId="0" fontId="29" fillId="0" borderId="2" xfId="2" applyFont="1" applyBorder="1"/>
    <xf numFmtId="165" fontId="16" fillId="4" borderId="8" xfId="2" applyNumberFormat="1" applyFont="1" applyFill="1" applyBorder="1" applyAlignment="1">
      <alignment vertical="center" wrapText="1"/>
    </xf>
    <xf numFmtId="165" fontId="8" fillId="0" borderId="60" xfId="2" applyNumberFormat="1" applyFont="1" applyFill="1" applyBorder="1" applyAlignment="1">
      <alignment vertical="center" wrapText="1"/>
    </xf>
    <xf numFmtId="165" fontId="22" fillId="0" borderId="10" xfId="2" applyNumberFormat="1" applyFont="1" applyFill="1" applyBorder="1" applyAlignment="1">
      <alignment vertical="center" wrapText="1"/>
    </xf>
    <xf numFmtId="1" fontId="8" fillId="4" borderId="10" xfId="2" applyNumberFormat="1" applyFont="1" applyFill="1" applyBorder="1" applyAlignment="1">
      <alignment horizontal="center" vertical="center" wrapText="1"/>
    </xf>
    <xf numFmtId="49" fontId="8" fillId="4" borderId="10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4" fillId="5" borderId="9" xfId="2" applyFont="1" applyFill="1" applyBorder="1" applyAlignment="1">
      <alignment horizontal="center"/>
    </xf>
    <xf numFmtId="1" fontId="8" fillId="5" borderId="15" xfId="2" applyNumberFormat="1" applyFont="1" applyFill="1" applyBorder="1" applyAlignment="1">
      <alignment horizontal="left" vertical="center" wrapText="1"/>
    </xf>
    <xf numFmtId="0" fontId="8" fillId="5" borderId="15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/>
    </xf>
    <xf numFmtId="1" fontId="8" fillId="5" borderId="15" xfId="2" applyNumberFormat="1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165" fontId="8" fillId="0" borderId="19" xfId="2" applyNumberFormat="1" applyFont="1" applyFill="1" applyBorder="1" applyAlignment="1">
      <alignment vertical="center" wrapText="1"/>
    </xf>
    <xf numFmtId="0" fontId="22" fillId="0" borderId="5" xfId="2" applyFont="1" applyBorder="1" applyAlignment="1">
      <alignment horizontal="center" vertical="center"/>
    </xf>
    <xf numFmtId="0" fontId="8" fillId="0" borderId="31" xfId="2" applyFont="1" applyBorder="1" applyAlignment="1">
      <alignment horizontal="left" vertical="center" wrapText="1"/>
    </xf>
    <xf numFmtId="0" fontId="8" fillId="0" borderId="31" xfId="2" applyFont="1" applyFill="1" applyBorder="1" applyAlignment="1">
      <alignment horizontal="left" vertical="center" wrapText="1"/>
    </xf>
    <xf numFmtId="0" fontId="8" fillId="6" borderId="15" xfId="2" applyFont="1" applyFill="1" applyBorder="1" applyAlignment="1">
      <alignment horizontal="left" vertical="center" wrapText="1"/>
    </xf>
    <xf numFmtId="0" fontId="8" fillId="6" borderId="9" xfId="2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 wrapText="1"/>
    </xf>
    <xf numFmtId="1" fontId="8" fillId="6" borderId="15" xfId="2" applyNumberFormat="1" applyFont="1" applyFill="1" applyBorder="1" applyAlignment="1">
      <alignment horizontal="center" vertical="center" wrapText="1"/>
    </xf>
    <xf numFmtId="1" fontId="8" fillId="0" borderId="11" xfId="2" applyNumberFormat="1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wrapText="1"/>
    </xf>
    <xf numFmtId="1" fontId="8" fillId="0" borderId="9" xfId="2" applyNumberFormat="1" applyFont="1" applyBorder="1" applyAlignment="1">
      <alignment horizontal="left" vertical="center" wrapText="1"/>
    </xf>
    <xf numFmtId="1" fontId="8" fillId="4" borderId="11" xfId="2" applyNumberFormat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8" fillId="4" borderId="9" xfId="2" applyFont="1" applyFill="1" applyBorder="1" applyAlignment="1">
      <alignment horizontal="left" vertical="center" wrapText="1"/>
    </xf>
    <xf numFmtId="3" fontId="9" fillId="0" borderId="22" xfId="2" applyNumberFormat="1" applyFont="1" applyBorder="1" applyAlignment="1">
      <alignment horizontal="right" vertical="center" wrapText="1"/>
    </xf>
    <xf numFmtId="165" fontId="10" fillId="0" borderId="76" xfId="2" applyNumberFormat="1" applyFont="1" applyBorder="1" applyAlignment="1">
      <alignment horizontal="right" vertical="center" wrapText="1"/>
    </xf>
    <xf numFmtId="0" fontId="8" fillId="0" borderId="94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vertical="center" wrapText="1"/>
    </xf>
    <xf numFmtId="165" fontId="25" fillId="0" borderId="21" xfId="2" applyNumberFormat="1" applyFont="1" applyBorder="1" applyAlignment="1">
      <alignment vertical="center"/>
    </xf>
    <xf numFmtId="0" fontId="6" fillId="0" borderId="7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3" fontId="11" fillId="0" borderId="11" xfId="2" applyNumberFormat="1" applyFont="1" applyBorder="1" applyAlignment="1">
      <alignment horizontal="right" vertical="center" wrapText="1"/>
    </xf>
    <xf numFmtId="165" fontId="22" fillId="0" borderId="22" xfId="2" applyNumberFormat="1" applyFont="1" applyBorder="1" applyAlignment="1">
      <alignment vertical="center" wrapText="1"/>
    </xf>
    <xf numFmtId="165" fontId="26" fillId="0" borderId="10" xfId="2" applyNumberFormat="1" applyFont="1" applyBorder="1" applyAlignment="1">
      <alignment vertical="center" wrapText="1"/>
    </xf>
    <xf numFmtId="3" fontId="22" fillId="0" borderId="22" xfId="2" applyNumberFormat="1" applyFont="1" applyBorder="1" applyAlignment="1">
      <alignment vertical="center" wrapText="1"/>
    </xf>
    <xf numFmtId="165" fontId="25" fillId="0" borderId="51" xfId="2" applyNumberFormat="1" applyFont="1" applyBorder="1" applyAlignment="1">
      <alignment vertical="center"/>
    </xf>
    <xf numFmtId="165" fontId="26" fillId="0" borderId="15" xfId="2" applyNumberFormat="1" applyFont="1" applyBorder="1" applyAlignment="1">
      <alignment vertical="center" wrapText="1"/>
    </xf>
    <xf numFmtId="165" fontId="22" fillId="0" borderId="42" xfId="2" applyNumberFormat="1" applyFont="1" applyBorder="1" applyAlignment="1">
      <alignment vertical="center" wrapText="1"/>
    </xf>
    <xf numFmtId="165" fontId="25" fillId="0" borderId="54" xfId="2" applyNumberFormat="1" applyFont="1" applyBorder="1" applyAlignment="1">
      <alignment vertical="center"/>
    </xf>
    <xf numFmtId="3" fontId="25" fillId="0" borderId="21" xfId="2" applyNumberFormat="1" applyFont="1" applyFill="1" applyBorder="1" applyAlignment="1">
      <alignment vertical="center"/>
    </xf>
    <xf numFmtId="165" fontId="17" fillId="0" borderId="25" xfId="2" applyNumberFormat="1" applyFont="1" applyBorder="1" applyAlignment="1">
      <alignment vertical="center" wrapText="1"/>
    </xf>
    <xf numFmtId="165" fontId="17" fillId="0" borderId="20" xfId="2" applyNumberFormat="1" applyFont="1" applyBorder="1" applyAlignment="1">
      <alignment vertical="center" wrapText="1"/>
    </xf>
    <xf numFmtId="3" fontId="8" fillId="0" borderId="96" xfId="2" applyNumberFormat="1" applyFont="1" applyBorder="1" applyAlignment="1">
      <alignment vertical="center"/>
    </xf>
    <xf numFmtId="3" fontId="8" fillId="0" borderId="30" xfId="2" applyNumberFormat="1" applyFont="1" applyBorder="1" applyAlignment="1">
      <alignment vertical="center"/>
    </xf>
    <xf numFmtId="3" fontId="8" fillId="0" borderId="30" xfId="2" applyNumberFormat="1" applyFont="1" applyBorder="1" applyAlignment="1">
      <alignment vertical="center" wrapText="1"/>
    </xf>
    <xf numFmtId="3" fontId="8" fillId="0" borderId="97" xfId="2" applyNumberFormat="1" applyFont="1" applyBorder="1" applyAlignment="1">
      <alignment vertical="center" wrapText="1"/>
    </xf>
    <xf numFmtId="165" fontId="19" fillId="0" borderId="44" xfId="2" applyNumberFormat="1" applyFont="1" applyBorder="1" applyAlignment="1">
      <alignment vertical="center" wrapText="1"/>
    </xf>
    <xf numFmtId="3" fontId="8" fillId="0" borderId="98" xfId="2" applyNumberFormat="1" applyFont="1" applyBorder="1" applyAlignment="1">
      <alignment vertical="center" wrapText="1"/>
    </xf>
    <xf numFmtId="3" fontId="10" fillId="0" borderId="70" xfId="2" applyNumberFormat="1" applyFont="1" applyBorder="1" applyAlignment="1">
      <alignment vertical="center"/>
    </xf>
    <xf numFmtId="3" fontId="12" fillId="0" borderId="22" xfId="2" applyNumberFormat="1" applyFont="1" applyBorder="1" applyAlignment="1">
      <alignment vertical="center" wrapText="1"/>
    </xf>
    <xf numFmtId="3" fontId="13" fillId="0" borderId="95" xfId="2" applyNumberFormat="1" applyFont="1" applyBorder="1" applyAlignment="1">
      <alignment vertical="center" wrapText="1"/>
    </xf>
    <xf numFmtId="3" fontId="13" fillId="0" borderId="0" xfId="2" applyNumberFormat="1" applyFont="1" applyBorder="1" applyAlignment="1">
      <alignment vertical="center" wrapText="1"/>
    </xf>
    <xf numFmtId="165" fontId="11" fillId="0" borderId="19" xfId="2" applyNumberFormat="1" applyFont="1" applyBorder="1" applyAlignment="1">
      <alignment vertical="center" wrapText="1"/>
    </xf>
    <xf numFmtId="3" fontId="13" fillId="0" borderId="22" xfId="2" applyNumberFormat="1" applyFont="1" applyBorder="1" applyAlignment="1">
      <alignment vertical="center" wrapText="1"/>
    </xf>
    <xf numFmtId="0" fontId="8" fillId="0" borderId="33" xfId="2" applyFont="1" applyBorder="1" applyAlignment="1">
      <alignment vertical="center" wrapText="1"/>
    </xf>
    <xf numFmtId="165" fontId="8" fillId="0" borderId="33" xfId="2" applyNumberFormat="1" applyFont="1" applyBorder="1" applyAlignment="1">
      <alignment vertical="center" wrapText="1"/>
    </xf>
    <xf numFmtId="165" fontId="8" fillId="0" borderId="34" xfId="2" applyNumberFormat="1" applyFont="1" applyBorder="1" applyAlignment="1">
      <alignment vertical="center" wrapText="1"/>
    </xf>
    <xf numFmtId="165" fontId="8" fillId="0" borderId="84" xfId="2" applyNumberFormat="1" applyFont="1" applyBorder="1" applyAlignment="1">
      <alignment vertical="center" wrapText="1"/>
    </xf>
    <xf numFmtId="0" fontId="4" fillId="0" borderId="42" xfId="2" applyFont="1" applyFill="1" applyBorder="1" applyAlignment="1">
      <alignment horizontal="center" vertical="center"/>
    </xf>
    <xf numFmtId="1" fontId="8" fillId="0" borderId="33" xfId="2" applyNumberFormat="1" applyFont="1" applyFill="1" applyBorder="1" applyAlignment="1">
      <alignment horizontal="center" vertical="center" wrapText="1"/>
    </xf>
    <xf numFmtId="0" fontId="0" fillId="0" borderId="99" xfId="0" applyBorder="1" applyAlignment="1"/>
    <xf numFmtId="0" fontId="4" fillId="0" borderId="4" xfId="2" applyFont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6" fillId="0" borderId="75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14" fillId="0" borderId="38" xfId="2" applyFont="1" applyBorder="1" applyAlignment="1">
      <alignment horizontal="center"/>
    </xf>
    <xf numFmtId="0" fontId="6" fillId="0" borderId="63" xfId="2" applyFont="1" applyBorder="1" applyAlignment="1">
      <alignment horizontal="center"/>
    </xf>
    <xf numFmtId="0" fontId="8" fillId="0" borderId="94" xfId="2" applyFont="1" applyBorder="1" applyAlignment="1">
      <alignment horizontal="center" vertical="center"/>
    </xf>
    <xf numFmtId="1" fontId="8" fillId="0" borderId="31" xfId="2" applyNumberFormat="1" applyFont="1" applyBorder="1" applyAlignment="1">
      <alignment horizontal="center" vertical="center" wrapText="1"/>
    </xf>
    <xf numFmtId="165" fontId="16" fillId="0" borderId="66" xfId="2" applyNumberFormat="1" applyFont="1" applyBorder="1" applyAlignment="1">
      <alignment vertical="center" wrapText="1"/>
    </xf>
    <xf numFmtId="3" fontId="5" fillId="0" borderId="0" xfId="2" applyNumberFormat="1" applyFont="1"/>
    <xf numFmtId="3" fontId="11" fillId="0" borderId="83" xfId="2" applyNumberFormat="1" applyFont="1" applyBorder="1" applyAlignment="1">
      <alignment vertical="center" wrapText="1"/>
    </xf>
    <xf numFmtId="3" fontId="4" fillId="0" borderId="22" xfId="2" applyNumberFormat="1" applyFont="1" applyBorder="1" applyAlignment="1">
      <alignment vertical="center" wrapText="1"/>
    </xf>
    <xf numFmtId="3" fontId="6" fillId="0" borderId="76" xfId="2" applyNumberFormat="1" applyFont="1" applyBorder="1" applyAlignment="1">
      <alignment vertical="center" wrapText="1"/>
    </xf>
    <xf numFmtId="3" fontId="4" fillId="0" borderId="84" xfId="2" applyNumberFormat="1" applyFont="1" applyBorder="1" applyAlignment="1">
      <alignment vertical="center" wrapText="1"/>
    </xf>
    <xf numFmtId="3" fontId="6" fillId="0" borderId="82" xfId="2" applyNumberFormat="1" applyFont="1" applyBorder="1" applyAlignment="1">
      <alignment vertical="center" wrapText="1"/>
    </xf>
    <xf numFmtId="3" fontId="10" fillId="0" borderId="41" xfId="2" applyNumberFormat="1" applyFont="1" applyBorder="1" applyAlignment="1">
      <alignment horizontal="right" vertical="center" wrapText="1"/>
    </xf>
    <xf numFmtId="3" fontId="16" fillId="0" borderId="19" xfId="2" applyNumberFormat="1" applyFont="1" applyBorder="1" applyAlignment="1">
      <alignment vertical="center" wrapText="1"/>
    </xf>
    <xf numFmtId="3" fontId="8" fillId="0" borderId="22" xfId="2" applyNumberFormat="1" applyFont="1" applyFill="1" applyBorder="1" applyAlignment="1">
      <alignment vertical="center" wrapText="1"/>
    </xf>
    <xf numFmtId="3" fontId="16" fillId="0" borderId="19" xfId="2" applyNumberFormat="1" applyFont="1" applyFill="1" applyBorder="1" applyAlignment="1">
      <alignment vertical="center" wrapText="1"/>
    </xf>
    <xf numFmtId="3" fontId="11" fillId="0" borderId="57" xfId="2" applyNumberFormat="1" applyFont="1" applyBorder="1" applyAlignment="1">
      <alignment vertical="center" wrapText="1"/>
    </xf>
    <xf numFmtId="3" fontId="25" fillId="0" borderId="17" xfId="2" applyNumberFormat="1" applyFont="1" applyBorder="1" applyAlignment="1">
      <alignment vertical="center"/>
    </xf>
    <xf numFmtId="3" fontId="25" fillId="0" borderId="23" xfId="2" applyNumberFormat="1" applyFont="1" applyBorder="1" applyAlignment="1">
      <alignment vertical="center"/>
    </xf>
    <xf numFmtId="3" fontId="25" fillId="0" borderId="21" xfId="2" applyNumberFormat="1" applyFont="1" applyBorder="1" applyAlignment="1">
      <alignment vertical="center"/>
    </xf>
    <xf numFmtId="3" fontId="10" fillId="0" borderId="59" xfId="2" applyNumberFormat="1" applyFont="1" applyBorder="1" applyAlignment="1">
      <alignment horizontal="right" vertical="center" wrapText="1"/>
    </xf>
    <xf numFmtId="3" fontId="16" fillId="3" borderId="8" xfId="2" applyNumberFormat="1" applyFont="1" applyFill="1" applyBorder="1" applyAlignment="1">
      <alignment vertical="center" wrapText="1"/>
    </xf>
    <xf numFmtId="0" fontId="4" fillId="0" borderId="88" xfId="2" applyFont="1" applyBorder="1" applyAlignment="1">
      <alignment horizontal="center"/>
    </xf>
    <xf numFmtId="0" fontId="4" fillId="0" borderId="89" xfId="2" applyFont="1" applyBorder="1" applyAlignment="1">
      <alignment horizontal="center"/>
    </xf>
    <xf numFmtId="0" fontId="4" fillId="0" borderId="90" xfId="2" applyFont="1" applyBorder="1" applyAlignment="1">
      <alignment horizontal="center"/>
    </xf>
    <xf numFmtId="0" fontId="4" fillId="2" borderId="88" xfId="0" applyFont="1" applyFill="1" applyBorder="1" applyAlignment="1" applyProtection="1">
      <alignment horizontal="center"/>
      <protection hidden="1"/>
    </xf>
    <xf numFmtId="0" fontId="4" fillId="2" borderId="90" xfId="0" applyFont="1" applyFill="1" applyBorder="1" applyAlignment="1" applyProtection="1">
      <alignment horizontal="center"/>
      <protection hidden="1"/>
    </xf>
    <xf numFmtId="0" fontId="4" fillId="0" borderId="91" xfId="2" applyFont="1" applyBorder="1" applyAlignment="1">
      <alignment horizontal="center"/>
    </xf>
    <xf numFmtId="0" fontId="4" fillId="0" borderId="78" xfId="2" applyFont="1" applyBorder="1" applyAlignment="1">
      <alignment horizontal="center"/>
    </xf>
    <xf numFmtId="0" fontId="4" fillId="0" borderId="79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center" vertical="top" wrapText="1"/>
    </xf>
    <xf numFmtId="0" fontId="6" fillId="0" borderId="85" xfId="2" applyFont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1" xfId="0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24" fillId="0" borderId="0" xfId="2" applyFont="1" applyBorder="1" applyAlignment="1">
      <alignment horizontal="center" wrapText="1"/>
    </xf>
    <xf numFmtId="0" fontId="6" fillId="0" borderId="92" xfId="2" applyFont="1" applyBorder="1" applyAlignment="1">
      <alignment horizontal="center"/>
    </xf>
    <xf numFmtId="0" fontId="6" fillId="0" borderId="93" xfId="2" applyFont="1" applyBorder="1" applyAlignment="1">
      <alignment horizontal="center"/>
    </xf>
  </cellXfs>
  <cellStyles count="3">
    <cellStyle name="Ezres" xfId="1" builtinId="3"/>
    <cellStyle name="Normál" xfId="0" builtinId="0"/>
    <cellStyle name="Normál_SajatHK2005_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1"/>
  <sheetViews>
    <sheetView tabSelected="1" zoomScale="75" zoomScaleNormal="75" workbookViewId="0">
      <selection activeCell="W1" sqref="W1"/>
    </sheetView>
  </sheetViews>
  <sheetFormatPr defaultRowHeight="16.5" x14ac:dyDescent="0.25"/>
  <cols>
    <col min="1" max="1" width="5.5703125" style="1" customWidth="1"/>
    <col min="2" max="2" width="10.5703125" style="1" hidden="1" customWidth="1"/>
    <col min="3" max="3" width="48.7109375" style="2" customWidth="1"/>
    <col min="4" max="4" width="15" style="2" customWidth="1"/>
    <col min="5" max="5" width="13.28515625" style="2" customWidth="1"/>
    <col min="6" max="6" width="14.7109375" style="2" customWidth="1"/>
    <col min="7" max="7" width="13.28515625" style="2" customWidth="1"/>
    <col min="8" max="8" width="15.42578125" style="2" customWidth="1"/>
    <col min="9" max="11" width="13.7109375" style="2" customWidth="1"/>
    <col min="12" max="12" width="16.7109375" style="2" customWidth="1"/>
    <col min="13" max="13" width="14.42578125" style="2" customWidth="1"/>
    <col min="14" max="14" width="12.7109375" style="2" customWidth="1"/>
    <col min="15" max="15" width="15.7109375" style="2" customWidth="1"/>
    <col min="16" max="16" width="0.85546875" style="2" customWidth="1"/>
    <col min="17" max="17" width="14.7109375" style="2" customWidth="1"/>
    <col min="18" max="18" width="17.42578125" style="2" customWidth="1"/>
    <col min="19" max="19" width="15.42578125" style="2" customWidth="1"/>
    <col min="20" max="20" width="13.7109375" style="2" customWidth="1"/>
    <col min="21" max="21" width="16.7109375" style="2" customWidth="1"/>
    <col min="22" max="22" width="1.85546875" style="2" customWidth="1"/>
    <col min="23" max="23" width="17.7109375" style="2" customWidth="1"/>
    <col min="24" max="29" width="9.140625" style="2"/>
    <col min="30" max="31" width="10.7109375" style="2" customWidth="1"/>
    <col min="32" max="32" width="10.28515625" style="2" customWidth="1"/>
    <col min="33" max="33" width="10" style="2" customWidth="1"/>
    <col min="34" max="34" width="10.28515625" style="2" customWidth="1"/>
    <col min="35" max="35" width="10.7109375" style="2" customWidth="1"/>
    <col min="36" max="36" width="10.5703125" style="2" customWidth="1"/>
    <col min="37" max="40" width="9.140625" style="2"/>
    <col min="41" max="41" width="11" style="2" customWidth="1"/>
    <col min="42" max="16384" width="9.140625" style="2"/>
  </cols>
  <sheetData>
    <row r="1" spans="1:35" ht="20.25" customHeight="1" x14ac:dyDescent="0.25">
      <c r="W1" s="152" t="s">
        <v>56</v>
      </c>
    </row>
    <row r="2" spans="1:35" ht="30" customHeight="1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35" ht="9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35" ht="50.1" customHeight="1" x14ac:dyDescent="0.2">
      <c r="A4" s="516" t="s">
        <v>765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</row>
    <row r="5" spans="1:35" ht="12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5" ht="17.2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 t="s">
        <v>1</v>
      </c>
    </row>
    <row r="7" spans="1:35" ht="18" customHeight="1" x14ac:dyDescent="0.25">
      <c r="A7" s="409"/>
      <c r="B7" s="7"/>
      <c r="C7" s="8"/>
      <c r="D7" s="507" t="s">
        <v>72</v>
      </c>
      <c r="E7" s="508"/>
      <c r="F7" s="509"/>
      <c r="G7" s="257"/>
      <c r="H7" s="258"/>
      <c r="I7" s="259" t="s">
        <v>4</v>
      </c>
      <c r="J7" s="510" t="s">
        <v>80</v>
      </c>
      <c r="K7" s="511"/>
      <c r="L7" s="257"/>
      <c r="M7" s="260" t="s">
        <v>81</v>
      </c>
      <c r="N7" s="261"/>
      <c r="O7" s="262" t="s">
        <v>88</v>
      </c>
      <c r="P7" s="263"/>
      <c r="Q7" s="512" t="s">
        <v>90</v>
      </c>
      <c r="R7" s="513"/>
      <c r="S7" s="513"/>
      <c r="T7" s="514"/>
      <c r="U7" s="263" t="s">
        <v>99</v>
      </c>
      <c r="V7" s="262"/>
      <c r="W7" s="9" t="s">
        <v>2</v>
      </c>
    </row>
    <row r="8" spans="1:35" x14ac:dyDescent="0.25">
      <c r="A8" s="10"/>
      <c r="B8" s="11"/>
      <c r="C8" s="12" t="s">
        <v>3</v>
      </c>
      <c r="D8" s="14" t="s">
        <v>73</v>
      </c>
      <c r="E8" s="12" t="s">
        <v>74</v>
      </c>
      <c r="F8" s="4" t="s">
        <v>75</v>
      </c>
      <c r="G8" s="15" t="s">
        <v>82</v>
      </c>
      <c r="H8" s="15" t="s">
        <v>5</v>
      </c>
      <c r="I8" s="15" t="s">
        <v>15</v>
      </c>
      <c r="J8" s="12" t="s">
        <v>6</v>
      </c>
      <c r="K8" s="12" t="s">
        <v>83</v>
      </c>
      <c r="L8" s="253" t="s">
        <v>62</v>
      </c>
      <c r="M8" s="12" t="s">
        <v>84</v>
      </c>
      <c r="N8" s="15" t="s">
        <v>4</v>
      </c>
      <c r="O8" s="254" t="s">
        <v>89</v>
      </c>
      <c r="P8" s="255"/>
      <c r="Q8" s="15" t="s">
        <v>91</v>
      </c>
      <c r="R8" s="15" t="s">
        <v>92</v>
      </c>
      <c r="S8" s="15" t="s">
        <v>166</v>
      </c>
      <c r="T8" s="15" t="s">
        <v>4</v>
      </c>
      <c r="U8" s="255" t="s">
        <v>100</v>
      </c>
      <c r="V8" s="254"/>
      <c r="W8" s="13" t="s">
        <v>7</v>
      </c>
    </row>
    <row r="9" spans="1:35" x14ac:dyDescent="0.25">
      <c r="A9" s="16" t="s">
        <v>8</v>
      </c>
      <c r="B9" s="12"/>
      <c r="C9" s="12" t="s">
        <v>9</v>
      </c>
      <c r="D9" s="15" t="s">
        <v>15</v>
      </c>
      <c r="E9" s="12" t="s">
        <v>76</v>
      </c>
      <c r="F9" s="4" t="s">
        <v>47</v>
      </c>
      <c r="G9" s="15" t="s">
        <v>10</v>
      </c>
      <c r="H9" s="12" t="s">
        <v>10</v>
      </c>
      <c r="I9" s="12" t="s">
        <v>11</v>
      </c>
      <c r="J9" s="12" t="s">
        <v>11</v>
      </c>
      <c r="K9" s="12" t="s">
        <v>47</v>
      </c>
      <c r="L9" s="212" t="s">
        <v>63</v>
      </c>
      <c r="M9" s="15" t="s">
        <v>85</v>
      </c>
      <c r="N9" s="15" t="s">
        <v>64</v>
      </c>
      <c r="O9" s="254" t="s">
        <v>10</v>
      </c>
      <c r="P9" s="255"/>
      <c r="Q9" s="15" t="s">
        <v>93</v>
      </c>
      <c r="R9" s="15" t="s">
        <v>94</v>
      </c>
      <c r="S9" s="15" t="s">
        <v>167</v>
      </c>
      <c r="T9" s="15" t="s">
        <v>128</v>
      </c>
      <c r="U9" s="255" t="s">
        <v>10</v>
      </c>
      <c r="V9" s="254"/>
      <c r="W9" s="13" t="s">
        <v>12</v>
      </c>
    </row>
    <row r="10" spans="1:35" x14ac:dyDescent="0.25">
      <c r="A10" s="10"/>
      <c r="B10" s="11"/>
      <c r="C10" s="12" t="s">
        <v>13</v>
      </c>
      <c r="D10" s="15" t="s">
        <v>77</v>
      </c>
      <c r="E10" s="12" t="s">
        <v>78</v>
      </c>
      <c r="F10" s="4" t="s">
        <v>79</v>
      </c>
      <c r="G10" s="15"/>
      <c r="H10" s="12"/>
      <c r="I10" s="12" t="s">
        <v>61</v>
      </c>
      <c r="J10" s="12" t="s">
        <v>86</v>
      </c>
      <c r="K10" s="12" t="s">
        <v>79</v>
      </c>
      <c r="L10" s="12" t="s">
        <v>10</v>
      </c>
      <c r="M10" s="15" t="s">
        <v>29</v>
      </c>
      <c r="N10" s="15" t="s">
        <v>87</v>
      </c>
      <c r="O10" s="254" t="s">
        <v>12</v>
      </c>
      <c r="P10" s="255"/>
      <c r="Q10" s="15" t="s">
        <v>95</v>
      </c>
      <c r="R10" s="15" t="s">
        <v>96</v>
      </c>
      <c r="S10" s="15" t="s">
        <v>168</v>
      </c>
      <c r="T10" s="15" t="s">
        <v>129</v>
      </c>
      <c r="U10" s="255" t="s">
        <v>12</v>
      </c>
      <c r="V10" s="254"/>
      <c r="W10" s="17" t="s">
        <v>102</v>
      </c>
    </row>
    <row r="11" spans="1:35" x14ac:dyDescent="0.25">
      <c r="A11" s="10"/>
      <c r="B11" s="11"/>
      <c r="C11" s="12"/>
      <c r="D11" s="15"/>
      <c r="E11" s="12" t="s">
        <v>16</v>
      </c>
      <c r="F11" s="4" t="s">
        <v>60</v>
      </c>
      <c r="G11" s="15"/>
      <c r="H11" s="12"/>
      <c r="I11" s="12" t="s">
        <v>17</v>
      </c>
      <c r="J11" s="12" t="s">
        <v>38</v>
      </c>
      <c r="K11" s="12" t="s">
        <v>60</v>
      </c>
      <c r="L11" s="12"/>
      <c r="M11" s="18" t="s">
        <v>14</v>
      </c>
      <c r="N11" s="18" t="s">
        <v>17</v>
      </c>
      <c r="O11" s="4" t="s">
        <v>98</v>
      </c>
      <c r="P11" s="256"/>
      <c r="Q11" s="15" t="s">
        <v>16</v>
      </c>
      <c r="R11" s="18" t="s">
        <v>97</v>
      </c>
      <c r="S11" s="18" t="s">
        <v>169</v>
      </c>
      <c r="T11" s="18" t="s">
        <v>10</v>
      </c>
      <c r="U11" s="18" t="s">
        <v>101</v>
      </c>
      <c r="V11" s="4"/>
      <c r="W11" s="13"/>
    </row>
    <row r="12" spans="1:35" hidden="1" x14ac:dyDescent="0.25">
      <c r="A12" s="93"/>
      <c r="B12" s="94"/>
      <c r="C12" s="95"/>
      <c r="D12" s="14" t="s">
        <v>148</v>
      </c>
      <c r="E12" s="95" t="s">
        <v>149</v>
      </c>
      <c r="F12" s="96" t="s">
        <v>150</v>
      </c>
      <c r="G12" s="14" t="s">
        <v>151</v>
      </c>
      <c r="H12" s="95" t="s">
        <v>152</v>
      </c>
      <c r="I12" s="95" t="s">
        <v>153</v>
      </c>
      <c r="J12" s="95" t="s">
        <v>154</v>
      </c>
      <c r="K12" s="104" t="s">
        <v>155</v>
      </c>
      <c r="L12" s="95" t="s">
        <v>156</v>
      </c>
      <c r="M12" s="97" t="s">
        <v>157</v>
      </c>
      <c r="N12" s="98" t="s">
        <v>158</v>
      </c>
      <c r="O12" s="96"/>
      <c r="P12" s="18"/>
      <c r="Q12" s="14" t="s">
        <v>159</v>
      </c>
      <c r="R12" s="98" t="s">
        <v>160</v>
      </c>
      <c r="S12" s="98" t="s">
        <v>161</v>
      </c>
      <c r="T12" s="95" t="s">
        <v>162</v>
      </c>
      <c r="U12" s="14"/>
      <c r="V12" s="99"/>
      <c r="W12" s="265"/>
    </row>
    <row r="13" spans="1:35" ht="20.25" customHeight="1" x14ac:dyDescent="0.2">
      <c r="A13" s="155">
        <v>1</v>
      </c>
      <c r="B13" s="168"/>
      <c r="C13" s="168">
        <v>2</v>
      </c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  <c r="M13" s="168">
        <v>12</v>
      </c>
      <c r="N13" s="168">
        <v>13</v>
      </c>
      <c r="O13" s="168">
        <v>14</v>
      </c>
      <c r="P13" s="168"/>
      <c r="Q13" s="168">
        <v>15</v>
      </c>
      <c r="R13" s="168">
        <v>16</v>
      </c>
      <c r="S13" s="168">
        <v>17</v>
      </c>
      <c r="T13" s="168">
        <v>18</v>
      </c>
      <c r="U13" s="168">
        <v>19</v>
      </c>
      <c r="V13" s="169"/>
      <c r="W13" s="170">
        <v>20</v>
      </c>
    </row>
    <row r="14" spans="1:35" ht="22.5" hidden="1" customHeight="1" x14ac:dyDescent="0.25">
      <c r="A14" s="20"/>
      <c r="B14" s="21"/>
      <c r="C14" s="22" t="s">
        <v>42</v>
      </c>
      <c r="D14" s="23">
        <v>2520975.2790000001</v>
      </c>
      <c r="E14" s="23">
        <v>0</v>
      </c>
      <c r="F14" s="23">
        <v>52000</v>
      </c>
      <c r="G14" s="23">
        <v>9540963</v>
      </c>
      <c r="H14" s="23">
        <v>2481203.7209999999</v>
      </c>
      <c r="I14" s="135">
        <v>0</v>
      </c>
      <c r="J14" s="23">
        <v>1146000</v>
      </c>
      <c r="K14" s="23">
        <v>4683689</v>
      </c>
      <c r="L14" s="135">
        <v>1771000</v>
      </c>
      <c r="M14" s="23">
        <v>10000</v>
      </c>
      <c r="N14" s="23">
        <v>0</v>
      </c>
      <c r="O14" s="264">
        <f>SUM(D14:N14)</f>
        <v>22205831</v>
      </c>
      <c r="P14" s="23"/>
      <c r="Q14" s="23">
        <v>2382040</v>
      </c>
      <c r="R14" s="23">
        <v>1111769</v>
      </c>
      <c r="S14" s="23">
        <v>0</v>
      </c>
      <c r="T14" s="23">
        <v>0</v>
      </c>
      <c r="U14" s="264">
        <f>SUM(Q14:T14)</f>
        <v>3493809</v>
      </c>
      <c r="V14" s="134"/>
      <c r="W14" s="120">
        <f>O14+U14</f>
        <v>25699640</v>
      </c>
    </row>
    <row r="15" spans="1:35" ht="20.100000000000001" hidden="1" customHeight="1" x14ac:dyDescent="0.25">
      <c r="A15" s="137"/>
      <c r="B15" s="25" t="s">
        <v>40</v>
      </c>
      <c r="C15" s="26" t="s">
        <v>66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119"/>
      <c r="V15" s="71"/>
      <c r="W15" s="266">
        <f>O15+U15</f>
        <v>0</v>
      </c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</row>
    <row r="16" spans="1:35" ht="20.100000000000001" hidden="1" customHeight="1" x14ac:dyDescent="0.25">
      <c r="A16" s="137"/>
      <c r="B16" s="25"/>
      <c r="C16" s="22" t="s">
        <v>18</v>
      </c>
      <c r="D16" s="132">
        <f>SUM(D14:D15)</f>
        <v>2520975.2790000001</v>
      </c>
      <c r="E16" s="132">
        <f t="shared" ref="E16:U16" si="0">SUM(E14:E15)</f>
        <v>0</v>
      </c>
      <c r="F16" s="132">
        <f t="shared" si="0"/>
        <v>52000</v>
      </c>
      <c r="G16" s="132">
        <f t="shared" si="0"/>
        <v>9540963</v>
      </c>
      <c r="H16" s="132">
        <f t="shared" si="0"/>
        <v>2481203.7209999999</v>
      </c>
      <c r="I16" s="132">
        <f t="shared" si="0"/>
        <v>0</v>
      </c>
      <c r="J16" s="132">
        <f t="shared" si="0"/>
        <v>1146000</v>
      </c>
      <c r="K16" s="132">
        <f t="shared" si="0"/>
        <v>4683689</v>
      </c>
      <c r="L16" s="132">
        <f t="shared" si="0"/>
        <v>1771000</v>
      </c>
      <c r="M16" s="132">
        <f t="shared" si="0"/>
        <v>10000</v>
      </c>
      <c r="N16" s="132">
        <f t="shared" si="0"/>
        <v>0</v>
      </c>
      <c r="O16" s="132">
        <f t="shared" si="0"/>
        <v>22205831</v>
      </c>
      <c r="P16" s="132"/>
      <c r="Q16" s="132">
        <f t="shared" si="0"/>
        <v>2382040</v>
      </c>
      <c r="R16" s="132">
        <f t="shared" si="0"/>
        <v>1111769</v>
      </c>
      <c r="S16" s="132">
        <f t="shared" si="0"/>
        <v>0</v>
      </c>
      <c r="T16" s="132">
        <f t="shared" si="0"/>
        <v>0</v>
      </c>
      <c r="U16" s="132">
        <f t="shared" si="0"/>
        <v>3493809</v>
      </c>
      <c r="V16" s="271"/>
      <c r="W16" s="267">
        <f>SUM(W14:W15)</f>
        <v>25699640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</row>
    <row r="17" spans="1:35" ht="35.1" hidden="1" customHeight="1" x14ac:dyDescent="0.25">
      <c r="A17" s="70">
        <v>1</v>
      </c>
      <c r="B17" s="345" t="s">
        <v>212</v>
      </c>
      <c r="C17" s="26" t="s">
        <v>220</v>
      </c>
      <c r="D17" s="348"/>
      <c r="E17" s="348"/>
      <c r="F17" s="348"/>
      <c r="G17" s="348"/>
      <c r="H17" s="348">
        <f>71</f>
        <v>71</v>
      </c>
      <c r="I17" s="348"/>
      <c r="J17" s="349"/>
      <c r="K17" s="348"/>
      <c r="L17" s="348"/>
      <c r="M17" s="348"/>
      <c r="N17" s="348"/>
      <c r="O17" s="348">
        <f t="shared" ref="O17:O34" si="1">SUM(D17:N17)</f>
        <v>71</v>
      </c>
      <c r="P17" s="351"/>
      <c r="Q17" s="353"/>
      <c r="R17" s="353"/>
      <c r="S17" s="353"/>
      <c r="T17" s="353"/>
      <c r="U17" s="354">
        <f t="shared" ref="U17:U34" si="2">SUM(Q17:T17)</f>
        <v>0</v>
      </c>
      <c r="V17" s="355"/>
      <c r="W17" s="356">
        <f t="shared" ref="W17:W34" si="3">O17+U17</f>
        <v>71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</row>
    <row r="18" spans="1:35" ht="35.1" hidden="1" customHeight="1" x14ac:dyDescent="0.25">
      <c r="A18" s="70">
        <v>2</v>
      </c>
      <c r="B18" s="117" t="s">
        <v>213</v>
      </c>
      <c r="C18" s="26" t="s">
        <v>221</v>
      </c>
      <c r="D18" s="348"/>
      <c r="E18" s="348"/>
      <c r="F18" s="348"/>
      <c r="G18" s="348"/>
      <c r="H18" s="348">
        <f>2400+648</f>
        <v>3048</v>
      </c>
      <c r="I18" s="348"/>
      <c r="J18" s="349"/>
      <c r="K18" s="348"/>
      <c r="L18" s="348"/>
      <c r="M18" s="348"/>
      <c r="N18" s="348"/>
      <c r="O18" s="348">
        <f t="shared" si="1"/>
        <v>3048</v>
      </c>
      <c r="P18" s="351"/>
      <c r="Q18" s="353"/>
      <c r="R18" s="353"/>
      <c r="S18" s="353"/>
      <c r="T18" s="353"/>
      <c r="U18" s="354">
        <f t="shared" si="2"/>
        <v>0</v>
      </c>
      <c r="V18" s="355"/>
      <c r="W18" s="356">
        <f t="shared" si="3"/>
        <v>3048</v>
      </c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</row>
    <row r="19" spans="1:35" ht="35.1" hidden="1" customHeight="1" x14ac:dyDescent="0.25">
      <c r="A19" s="70">
        <v>3</v>
      </c>
      <c r="B19" s="117" t="s">
        <v>232</v>
      </c>
      <c r="C19" s="26" t="s">
        <v>235</v>
      </c>
      <c r="D19" s="348">
        <f>2078.583+8019.33</f>
        <v>10097.913</v>
      </c>
      <c r="E19" s="348"/>
      <c r="F19" s="365"/>
      <c r="G19" s="348"/>
      <c r="H19" s="348">
        <f>-10097.913</f>
        <v>-10097.913</v>
      </c>
      <c r="I19" s="348"/>
      <c r="J19" s="349"/>
      <c r="K19" s="348"/>
      <c r="L19" s="348"/>
      <c r="M19" s="348"/>
      <c r="N19" s="348"/>
      <c r="O19" s="348">
        <f t="shared" si="1"/>
        <v>0</v>
      </c>
      <c r="P19" s="351"/>
      <c r="Q19" s="353"/>
      <c r="R19" s="353"/>
      <c r="S19" s="353"/>
      <c r="T19" s="353"/>
      <c r="U19" s="354">
        <f t="shared" si="2"/>
        <v>0</v>
      </c>
      <c r="V19" s="355"/>
      <c r="W19" s="356">
        <f t="shared" si="3"/>
        <v>0</v>
      </c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1:35" ht="35.1" hidden="1" customHeight="1" x14ac:dyDescent="0.25">
      <c r="A20" s="70">
        <v>4</v>
      </c>
      <c r="B20" s="117" t="s">
        <v>266</v>
      </c>
      <c r="C20" s="26" t="s">
        <v>267</v>
      </c>
      <c r="D20" s="348"/>
      <c r="E20" s="348"/>
      <c r="F20" s="365"/>
      <c r="G20" s="348"/>
      <c r="H20" s="348">
        <f>232</f>
        <v>232</v>
      </c>
      <c r="I20" s="348"/>
      <c r="J20" s="349"/>
      <c r="K20" s="348"/>
      <c r="L20" s="348"/>
      <c r="M20" s="348"/>
      <c r="N20" s="348"/>
      <c r="O20" s="348">
        <f t="shared" si="1"/>
        <v>232</v>
      </c>
      <c r="P20" s="351"/>
      <c r="Q20" s="353"/>
      <c r="R20" s="353"/>
      <c r="S20" s="353"/>
      <c r="T20" s="353"/>
      <c r="U20" s="354">
        <f t="shared" ref="U20" si="4">SUM(Q20:T20)</f>
        <v>0</v>
      </c>
      <c r="V20" s="355"/>
      <c r="W20" s="356">
        <f t="shared" ref="W20" si="5">O20+U20</f>
        <v>232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</row>
    <row r="21" spans="1:35" ht="35.1" hidden="1" customHeight="1" x14ac:dyDescent="0.25">
      <c r="A21" s="70">
        <v>5</v>
      </c>
      <c r="B21" s="117" t="s">
        <v>272</v>
      </c>
      <c r="C21" s="26" t="s">
        <v>273</v>
      </c>
      <c r="D21" s="348"/>
      <c r="E21" s="348"/>
      <c r="F21" s="365"/>
      <c r="G21" s="348"/>
      <c r="H21" s="348">
        <f>4308+1163+686+185</f>
        <v>6342</v>
      </c>
      <c r="I21" s="348"/>
      <c r="J21" s="349"/>
      <c r="K21" s="348"/>
      <c r="L21" s="348"/>
      <c r="M21" s="348"/>
      <c r="N21" s="348"/>
      <c r="O21" s="348">
        <f t="shared" si="1"/>
        <v>6342</v>
      </c>
      <c r="P21" s="351"/>
      <c r="Q21" s="353"/>
      <c r="R21" s="353"/>
      <c r="S21" s="353"/>
      <c r="T21" s="353"/>
      <c r="U21" s="354">
        <f t="shared" ref="U21" si="6">SUM(Q21:T21)</f>
        <v>0</v>
      </c>
      <c r="V21" s="355"/>
      <c r="W21" s="356">
        <f t="shared" ref="W21" si="7">O21+U21</f>
        <v>6342</v>
      </c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 ht="35.1" hidden="1" customHeight="1" x14ac:dyDescent="0.25">
      <c r="A22" s="70">
        <v>6</v>
      </c>
      <c r="B22" s="117" t="s">
        <v>264</v>
      </c>
      <c r="C22" s="26" t="s">
        <v>265</v>
      </c>
      <c r="D22" s="348"/>
      <c r="E22" s="348"/>
      <c r="F22" s="365"/>
      <c r="G22" s="348"/>
      <c r="H22" s="348"/>
      <c r="I22" s="348"/>
      <c r="J22" s="349"/>
      <c r="K22" s="348"/>
      <c r="L22" s="348">
        <f>14100</f>
        <v>14100</v>
      </c>
      <c r="M22" s="348"/>
      <c r="N22" s="348"/>
      <c r="O22" s="348">
        <f t="shared" si="1"/>
        <v>14100</v>
      </c>
      <c r="P22" s="351"/>
      <c r="Q22" s="353"/>
      <c r="R22" s="353"/>
      <c r="S22" s="353"/>
      <c r="T22" s="353"/>
      <c r="U22" s="354">
        <f t="shared" si="2"/>
        <v>0</v>
      </c>
      <c r="V22" s="355"/>
      <c r="W22" s="356">
        <f t="shared" si="3"/>
        <v>14100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</row>
    <row r="23" spans="1:35" ht="35.1" hidden="1" customHeight="1" x14ac:dyDescent="0.25">
      <c r="A23" s="70">
        <v>7</v>
      </c>
      <c r="B23" s="345" t="s">
        <v>239</v>
      </c>
      <c r="C23" s="26" t="s">
        <v>240</v>
      </c>
      <c r="D23" s="348"/>
      <c r="E23" s="348"/>
      <c r="F23" s="365"/>
      <c r="G23" s="348">
        <f>300</f>
        <v>300</v>
      </c>
      <c r="H23" s="348"/>
      <c r="I23" s="348"/>
      <c r="J23" s="349"/>
      <c r="K23" s="348"/>
      <c r="L23" s="348"/>
      <c r="M23" s="348"/>
      <c r="N23" s="348"/>
      <c r="O23" s="348">
        <f t="shared" si="1"/>
        <v>300</v>
      </c>
      <c r="P23" s="351"/>
      <c r="Q23" s="353"/>
      <c r="R23" s="353"/>
      <c r="S23" s="353"/>
      <c r="T23" s="353"/>
      <c r="U23" s="354">
        <f t="shared" si="2"/>
        <v>0</v>
      </c>
      <c r="V23" s="355"/>
      <c r="W23" s="356">
        <f t="shared" si="3"/>
        <v>300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</row>
    <row r="24" spans="1:35" ht="35.1" hidden="1" customHeight="1" x14ac:dyDescent="0.25">
      <c r="A24" s="70">
        <v>8</v>
      </c>
      <c r="B24" s="345" t="s">
        <v>268</v>
      </c>
      <c r="C24" s="26" t="s">
        <v>269</v>
      </c>
      <c r="D24" s="348"/>
      <c r="E24" s="348"/>
      <c r="F24" s="365"/>
      <c r="G24" s="348"/>
      <c r="H24" s="348">
        <f>2195+593</f>
        <v>2788</v>
      </c>
      <c r="I24" s="348"/>
      <c r="J24" s="349"/>
      <c r="K24" s="348"/>
      <c r="L24" s="348"/>
      <c r="M24" s="348"/>
      <c r="N24" s="348"/>
      <c r="O24" s="348">
        <f t="shared" si="1"/>
        <v>2788</v>
      </c>
      <c r="P24" s="351"/>
      <c r="Q24" s="353"/>
      <c r="R24" s="353"/>
      <c r="S24" s="353"/>
      <c r="T24" s="353"/>
      <c r="U24" s="354">
        <f t="shared" si="2"/>
        <v>0</v>
      </c>
      <c r="V24" s="355"/>
      <c r="W24" s="356">
        <f t="shared" si="3"/>
        <v>2788</v>
      </c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</row>
    <row r="25" spans="1:35" ht="35.1" hidden="1" customHeight="1" x14ac:dyDescent="0.25">
      <c r="A25" s="70">
        <v>9</v>
      </c>
      <c r="B25" s="345" t="s">
        <v>274</v>
      </c>
      <c r="C25" s="26" t="s">
        <v>276</v>
      </c>
      <c r="D25" s="348">
        <f>129.418</f>
        <v>129.41800000000001</v>
      </c>
      <c r="E25" s="348"/>
      <c r="F25" s="365"/>
      <c r="G25" s="348"/>
      <c r="H25" s="348"/>
      <c r="I25" s="348"/>
      <c r="J25" s="349"/>
      <c r="K25" s="348"/>
      <c r="L25" s="348"/>
      <c r="M25" s="348"/>
      <c r="N25" s="348"/>
      <c r="O25" s="348">
        <f t="shared" si="1"/>
        <v>129.41800000000001</v>
      </c>
      <c r="P25" s="351"/>
      <c r="Q25" s="353"/>
      <c r="R25" s="353"/>
      <c r="S25" s="353"/>
      <c r="T25" s="353"/>
      <c r="U25" s="354">
        <f t="shared" si="2"/>
        <v>0</v>
      </c>
      <c r="V25" s="355"/>
      <c r="W25" s="356">
        <f t="shared" si="3"/>
        <v>129.41800000000001</v>
      </c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</row>
    <row r="26" spans="1:35" ht="35.1" hidden="1" customHeight="1" x14ac:dyDescent="0.25">
      <c r="A26" s="70">
        <v>10</v>
      </c>
      <c r="B26" s="345" t="s">
        <v>274</v>
      </c>
      <c r="C26" s="26" t="s">
        <v>275</v>
      </c>
      <c r="D26" s="348">
        <v>2358.4560000000001</v>
      </c>
      <c r="E26" s="348"/>
      <c r="F26" s="365"/>
      <c r="G26" s="348"/>
      <c r="H26" s="348"/>
      <c r="I26" s="348"/>
      <c r="J26" s="349"/>
      <c r="K26" s="348"/>
      <c r="L26" s="348"/>
      <c r="M26" s="348"/>
      <c r="N26" s="348"/>
      <c r="O26" s="348">
        <f t="shared" si="1"/>
        <v>2358.4560000000001</v>
      </c>
      <c r="P26" s="351"/>
      <c r="Q26" s="353"/>
      <c r="R26" s="353"/>
      <c r="S26" s="353"/>
      <c r="T26" s="353"/>
      <c r="U26" s="354">
        <f t="shared" si="2"/>
        <v>0</v>
      </c>
      <c r="V26" s="355"/>
      <c r="W26" s="356">
        <f t="shared" si="3"/>
        <v>2358.4560000000001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1:35" ht="35.1" hidden="1" customHeight="1" x14ac:dyDescent="0.25">
      <c r="A27" s="70">
        <v>11</v>
      </c>
      <c r="B27" s="345" t="s">
        <v>274</v>
      </c>
      <c r="C27" s="26" t="s">
        <v>277</v>
      </c>
      <c r="D27" s="348">
        <v>1020.653</v>
      </c>
      <c r="E27" s="348"/>
      <c r="F27" s="365"/>
      <c r="G27" s="348"/>
      <c r="H27" s="348"/>
      <c r="I27" s="348"/>
      <c r="J27" s="349"/>
      <c r="K27" s="348"/>
      <c r="L27" s="348"/>
      <c r="M27" s="348"/>
      <c r="N27" s="348"/>
      <c r="O27" s="348">
        <f t="shared" si="1"/>
        <v>1020.653</v>
      </c>
      <c r="P27" s="351"/>
      <c r="Q27" s="353"/>
      <c r="R27" s="353"/>
      <c r="S27" s="353"/>
      <c r="T27" s="353"/>
      <c r="U27" s="354">
        <f t="shared" si="2"/>
        <v>0</v>
      </c>
      <c r="V27" s="355"/>
      <c r="W27" s="356">
        <f t="shared" si="3"/>
        <v>1020.653</v>
      </c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1:35" ht="35.1" hidden="1" customHeight="1" x14ac:dyDescent="0.25">
      <c r="A28" s="70">
        <v>12</v>
      </c>
      <c r="B28" s="345" t="s">
        <v>280</v>
      </c>
      <c r="C28" s="26" t="s">
        <v>281</v>
      </c>
      <c r="D28" s="348">
        <v>15924.323</v>
      </c>
      <c r="E28" s="348"/>
      <c r="F28" s="365"/>
      <c r="G28" s="348"/>
      <c r="H28" s="348"/>
      <c r="I28" s="348"/>
      <c r="J28" s="349"/>
      <c r="K28" s="348"/>
      <c r="L28" s="348"/>
      <c r="M28" s="348"/>
      <c r="N28" s="348"/>
      <c r="O28" s="348">
        <f t="shared" si="1"/>
        <v>15924.323</v>
      </c>
      <c r="P28" s="351"/>
      <c r="Q28" s="353"/>
      <c r="R28" s="353"/>
      <c r="S28" s="353"/>
      <c r="T28" s="353"/>
      <c r="U28" s="354">
        <f t="shared" si="2"/>
        <v>0</v>
      </c>
      <c r="V28" s="355"/>
      <c r="W28" s="356">
        <f t="shared" si="3"/>
        <v>15924.323</v>
      </c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</row>
    <row r="29" spans="1:35" ht="35.1" hidden="1" customHeight="1" x14ac:dyDescent="0.25">
      <c r="A29" s="70">
        <v>13</v>
      </c>
      <c r="B29" s="345" t="s">
        <v>289</v>
      </c>
      <c r="C29" s="26" t="s">
        <v>290</v>
      </c>
      <c r="D29" s="348"/>
      <c r="E29" s="348"/>
      <c r="F29" s="365"/>
      <c r="G29" s="348"/>
      <c r="H29" s="348">
        <f>690+187</f>
        <v>877</v>
      </c>
      <c r="I29" s="348"/>
      <c r="J29" s="349"/>
      <c r="K29" s="348"/>
      <c r="M29" s="348"/>
      <c r="N29" s="348"/>
      <c r="O29" s="348">
        <f t="shared" si="1"/>
        <v>877</v>
      </c>
      <c r="P29" s="351"/>
      <c r="Q29" s="348"/>
      <c r="R29" s="353"/>
      <c r="S29" s="353"/>
      <c r="T29" s="353"/>
      <c r="U29" s="354">
        <f t="shared" si="2"/>
        <v>0</v>
      </c>
      <c r="V29" s="355"/>
      <c r="W29" s="356">
        <f t="shared" si="3"/>
        <v>877</v>
      </c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</row>
    <row r="30" spans="1:35" ht="35.1" hidden="1" customHeight="1" x14ac:dyDescent="0.25">
      <c r="A30" s="70">
        <v>14</v>
      </c>
      <c r="B30" s="117" t="s">
        <v>294</v>
      </c>
      <c r="C30" s="26" t="s">
        <v>293</v>
      </c>
      <c r="D30" s="348"/>
      <c r="E30" s="348"/>
      <c r="F30" s="349"/>
      <c r="G30" s="348"/>
      <c r="H30" s="348">
        <v>1</v>
      </c>
      <c r="I30" s="348"/>
      <c r="J30" s="349"/>
      <c r="K30" s="348"/>
      <c r="L30" s="348"/>
      <c r="M30" s="348"/>
      <c r="N30" s="348"/>
      <c r="O30" s="348">
        <f t="shared" si="1"/>
        <v>1</v>
      </c>
      <c r="P30" s="351"/>
      <c r="Q30" s="353"/>
      <c r="R30" s="353"/>
      <c r="S30" s="353"/>
      <c r="T30" s="353"/>
      <c r="U30" s="354">
        <f t="shared" si="2"/>
        <v>0</v>
      </c>
      <c r="V30" s="355"/>
      <c r="W30" s="356">
        <f t="shared" si="3"/>
        <v>1</v>
      </c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1:35" ht="35.1" hidden="1" customHeight="1" x14ac:dyDescent="0.25">
      <c r="A31" s="70">
        <v>15</v>
      </c>
      <c r="B31" s="345" t="s">
        <v>295</v>
      </c>
      <c r="C31" s="26" t="s">
        <v>296</v>
      </c>
      <c r="D31" s="348"/>
      <c r="E31" s="348"/>
      <c r="F31" s="349"/>
      <c r="G31" s="348"/>
      <c r="H31" s="348">
        <f>20+10</f>
        <v>30</v>
      </c>
      <c r="I31" s="348"/>
      <c r="J31" s="349"/>
      <c r="K31" s="348"/>
      <c r="L31" s="348"/>
      <c r="M31" s="348"/>
      <c r="N31" s="348"/>
      <c r="O31" s="348">
        <f>SUM(D31:N31)</f>
        <v>30</v>
      </c>
      <c r="P31" s="351"/>
      <c r="Q31" s="353"/>
      <c r="R31" s="353"/>
      <c r="S31" s="353"/>
      <c r="T31" s="353"/>
      <c r="U31" s="354">
        <f>SUM(Q31:T31)</f>
        <v>0</v>
      </c>
      <c r="V31" s="355"/>
      <c r="W31" s="356">
        <f>O31+U31</f>
        <v>30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</row>
    <row r="32" spans="1:35" ht="35.1" hidden="1" customHeight="1" x14ac:dyDescent="0.25">
      <c r="A32" s="70">
        <v>16</v>
      </c>
      <c r="B32" s="117" t="s">
        <v>311</v>
      </c>
      <c r="C32" s="26" t="s">
        <v>310</v>
      </c>
      <c r="D32" s="348"/>
      <c r="E32" s="348"/>
      <c r="F32" s="349"/>
      <c r="G32" s="348"/>
      <c r="H32" s="348">
        <f>1500+100+150+100</f>
        <v>1850</v>
      </c>
      <c r="I32" s="348"/>
      <c r="J32" s="349"/>
      <c r="K32" s="348"/>
      <c r="L32" s="348"/>
      <c r="M32" s="348"/>
      <c r="N32" s="348"/>
      <c r="O32" s="348">
        <f t="shared" si="1"/>
        <v>1850</v>
      </c>
      <c r="P32" s="351"/>
      <c r="Q32" s="353"/>
      <c r="R32" s="353"/>
      <c r="S32" s="353"/>
      <c r="T32" s="353"/>
      <c r="U32" s="354">
        <f t="shared" si="2"/>
        <v>0</v>
      </c>
      <c r="V32" s="355"/>
      <c r="W32" s="356">
        <f t="shared" si="3"/>
        <v>1850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</row>
    <row r="33" spans="1:35" ht="35.1" hidden="1" customHeight="1" x14ac:dyDescent="0.25">
      <c r="A33" s="70">
        <v>17</v>
      </c>
      <c r="B33" s="117" t="s">
        <v>312</v>
      </c>
      <c r="C33" s="26" t="s">
        <v>313</v>
      </c>
      <c r="D33" s="348">
        <f>13593</f>
        <v>13593</v>
      </c>
      <c r="E33" s="348"/>
      <c r="F33" s="349">
        <f>26</f>
        <v>26</v>
      </c>
      <c r="G33" s="348"/>
      <c r="H33" s="348"/>
      <c r="I33" s="348"/>
      <c r="J33" s="349"/>
      <c r="K33" s="348"/>
      <c r="L33" s="348"/>
      <c r="M33" s="348"/>
      <c r="N33" s="348"/>
      <c r="O33" s="348">
        <f t="shared" si="1"/>
        <v>13619</v>
      </c>
      <c r="P33" s="351"/>
      <c r="Q33" s="353"/>
      <c r="R33" s="353"/>
      <c r="S33" s="353"/>
      <c r="T33" s="353"/>
      <c r="U33" s="354">
        <f t="shared" si="2"/>
        <v>0</v>
      </c>
      <c r="V33" s="355"/>
      <c r="W33" s="356">
        <f t="shared" si="3"/>
        <v>13619</v>
      </c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1:35" ht="30" hidden="1" customHeight="1" x14ac:dyDescent="0.25">
      <c r="A34" s="70">
        <v>18</v>
      </c>
      <c r="B34" s="345" t="s">
        <v>319</v>
      </c>
      <c r="C34" s="26" t="s">
        <v>318</v>
      </c>
      <c r="D34" s="348"/>
      <c r="E34" s="348"/>
      <c r="F34" s="348"/>
      <c r="G34" s="348"/>
      <c r="H34" s="348">
        <f>85</f>
        <v>85</v>
      </c>
      <c r="I34" s="348"/>
      <c r="J34" s="348"/>
      <c r="K34" s="348"/>
      <c r="L34" s="348"/>
      <c r="M34" s="348"/>
      <c r="N34" s="348"/>
      <c r="O34" s="348">
        <f t="shared" si="1"/>
        <v>85</v>
      </c>
      <c r="P34" s="351"/>
      <c r="Q34" s="353"/>
      <c r="R34" s="353"/>
      <c r="S34" s="353"/>
      <c r="T34" s="353"/>
      <c r="U34" s="354">
        <f t="shared" si="2"/>
        <v>0</v>
      </c>
      <c r="V34" s="355"/>
      <c r="W34" s="356">
        <f t="shared" si="3"/>
        <v>85</v>
      </c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</row>
    <row r="35" spans="1:35" ht="30" hidden="1" customHeight="1" x14ac:dyDescent="0.25">
      <c r="A35" s="70">
        <v>19</v>
      </c>
      <c r="B35" s="117" t="s">
        <v>322</v>
      </c>
      <c r="C35" s="26" t="s">
        <v>325</v>
      </c>
      <c r="D35" s="348"/>
      <c r="E35" s="348"/>
      <c r="F35" s="348"/>
      <c r="G35" s="348">
        <f>240</f>
        <v>240</v>
      </c>
      <c r="H35" s="348"/>
      <c r="I35" s="348"/>
      <c r="J35" s="348"/>
      <c r="K35" s="348"/>
      <c r="L35" s="348"/>
      <c r="M35" s="348"/>
      <c r="N35" s="348"/>
      <c r="O35" s="348">
        <f t="shared" ref="O35:O56" si="8">SUM(D35:N35)</f>
        <v>240</v>
      </c>
      <c r="P35" s="351"/>
      <c r="Q35" s="348"/>
      <c r="R35" s="353"/>
      <c r="S35" s="353"/>
      <c r="T35" s="353"/>
      <c r="U35" s="354">
        <f t="shared" ref="U35:U56" si="9">SUM(Q35:T35)</f>
        <v>0</v>
      </c>
      <c r="V35" s="355"/>
      <c r="W35" s="356">
        <f t="shared" ref="W35:W56" si="10">O35+U35</f>
        <v>240</v>
      </c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</row>
    <row r="36" spans="1:35" ht="30" hidden="1" customHeight="1" x14ac:dyDescent="0.25">
      <c r="A36" s="70">
        <v>20</v>
      </c>
      <c r="B36" s="117" t="s">
        <v>323</v>
      </c>
      <c r="C36" s="26" t="s">
        <v>324</v>
      </c>
      <c r="D36" s="348"/>
      <c r="E36" s="348"/>
      <c r="F36" s="348"/>
      <c r="G36" s="348"/>
      <c r="H36" s="348">
        <f>25+7</f>
        <v>32</v>
      </c>
      <c r="I36" s="348"/>
      <c r="J36" s="348"/>
      <c r="K36" s="348"/>
      <c r="L36" s="348"/>
      <c r="M36" s="348"/>
      <c r="N36" s="348"/>
      <c r="O36" s="348">
        <f t="shared" si="8"/>
        <v>32</v>
      </c>
      <c r="P36" s="351"/>
      <c r="Q36" s="353"/>
      <c r="R36" s="348"/>
      <c r="S36" s="353"/>
      <c r="T36" s="353"/>
      <c r="U36" s="354">
        <f t="shared" si="9"/>
        <v>0</v>
      </c>
      <c r="V36" s="355"/>
      <c r="W36" s="356">
        <f t="shared" si="10"/>
        <v>32</v>
      </c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</row>
    <row r="37" spans="1:35" ht="30" hidden="1" customHeight="1" x14ac:dyDescent="0.25">
      <c r="A37" s="70">
        <v>21</v>
      </c>
      <c r="B37" s="117" t="s">
        <v>327</v>
      </c>
      <c r="C37" s="26" t="s">
        <v>326</v>
      </c>
      <c r="D37" s="348"/>
      <c r="E37" s="348"/>
      <c r="F37" s="348"/>
      <c r="G37" s="348"/>
      <c r="H37" s="348">
        <f>80+100+31+69+40</f>
        <v>320</v>
      </c>
      <c r="I37" s="348"/>
      <c r="J37" s="348"/>
      <c r="K37" s="348"/>
      <c r="L37" s="348"/>
      <c r="M37" s="348"/>
      <c r="N37" s="348"/>
      <c r="O37" s="348">
        <f t="shared" si="8"/>
        <v>320</v>
      </c>
      <c r="P37" s="351"/>
      <c r="Q37" s="353"/>
      <c r="R37" s="353"/>
      <c r="S37" s="353"/>
      <c r="T37" s="353"/>
      <c r="U37" s="354">
        <f t="shared" si="9"/>
        <v>0</v>
      </c>
      <c r="V37" s="355"/>
      <c r="W37" s="356">
        <f t="shared" si="10"/>
        <v>320</v>
      </c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</row>
    <row r="38" spans="1:35" ht="30" hidden="1" customHeight="1" x14ac:dyDescent="0.25">
      <c r="A38" s="70">
        <v>22</v>
      </c>
      <c r="B38" s="345" t="s">
        <v>329</v>
      </c>
      <c r="C38" s="26" t="s">
        <v>328</v>
      </c>
      <c r="D38" s="348"/>
      <c r="E38" s="348"/>
      <c r="F38" s="348"/>
      <c r="G38" s="348"/>
      <c r="H38" s="348">
        <f>544+52</f>
        <v>596</v>
      </c>
      <c r="I38" s="348"/>
      <c r="J38" s="348"/>
      <c r="K38" s="348"/>
      <c r="L38" s="348"/>
      <c r="M38" s="348"/>
      <c r="N38" s="348"/>
      <c r="O38" s="348">
        <f t="shared" si="8"/>
        <v>596</v>
      </c>
      <c r="P38" s="351"/>
      <c r="Q38" s="353"/>
      <c r="R38" s="353"/>
      <c r="S38" s="353"/>
      <c r="T38" s="353"/>
      <c r="U38" s="354">
        <f t="shared" si="9"/>
        <v>0</v>
      </c>
      <c r="V38" s="355"/>
      <c r="W38" s="356">
        <f t="shared" si="10"/>
        <v>596</v>
      </c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</row>
    <row r="39" spans="1:35" ht="30" hidden="1" customHeight="1" x14ac:dyDescent="0.25">
      <c r="A39" s="70">
        <v>23</v>
      </c>
      <c r="B39" s="117" t="s">
        <v>330</v>
      </c>
      <c r="C39" s="26" t="s">
        <v>331</v>
      </c>
      <c r="D39" s="348"/>
      <c r="E39" s="348"/>
      <c r="F39" s="348"/>
      <c r="G39" s="348"/>
      <c r="H39" s="348">
        <f>40+11</f>
        <v>51</v>
      </c>
      <c r="I39" s="348"/>
      <c r="J39" s="348"/>
      <c r="K39" s="348"/>
      <c r="L39" s="348"/>
      <c r="M39" s="348"/>
      <c r="N39" s="348"/>
      <c r="O39" s="348">
        <f t="shared" si="8"/>
        <v>51</v>
      </c>
      <c r="P39" s="351"/>
      <c r="Q39" s="353"/>
      <c r="R39" s="353"/>
      <c r="S39" s="353"/>
      <c r="T39" s="353"/>
      <c r="U39" s="354">
        <f t="shared" si="9"/>
        <v>0</v>
      </c>
      <c r="V39" s="355"/>
      <c r="W39" s="356">
        <f t="shared" si="10"/>
        <v>51</v>
      </c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</row>
    <row r="40" spans="1:35" ht="30" hidden="1" customHeight="1" x14ac:dyDescent="0.25">
      <c r="A40" s="70">
        <v>24</v>
      </c>
      <c r="B40" s="117" t="s">
        <v>335</v>
      </c>
      <c r="C40" s="26" t="s">
        <v>334</v>
      </c>
      <c r="D40" s="348"/>
      <c r="E40" s="348"/>
      <c r="F40" s="348">
        <f>14</f>
        <v>14</v>
      </c>
      <c r="G40" s="348"/>
      <c r="H40" s="348"/>
      <c r="I40" s="348"/>
      <c r="J40" s="348"/>
      <c r="K40" s="348"/>
      <c r="L40" s="348"/>
      <c r="M40" s="348"/>
      <c r="N40" s="348"/>
      <c r="O40" s="348">
        <f>SUM(D40:N40)</f>
        <v>14</v>
      </c>
      <c r="P40" s="351"/>
      <c r="Q40" s="353"/>
      <c r="R40" s="353"/>
      <c r="S40" s="353"/>
      <c r="T40" s="353"/>
      <c r="U40" s="354">
        <f>SUM(Q40:T40)</f>
        <v>0</v>
      </c>
      <c r="V40" s="355"/>
      <c r="W40" s="356">
        <f>O40+U40</f>
        <v>14</v>
      </c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</row>
    <row r="41" spans="1:35" ht="30" hidden="1" customHeight="1" x14ac:dyDescent="0.25">
      <c r="A41" s="70">
        <v>25</v>
      </c>
      <c r="B41" s="117" t="s">
        <v>336</v>
      </c>
      <c r="C41" s="26" t="s">
        <v>337</v>
      </c>
      <c r="D41" s="348"/>
      <c r="E41" s="348"/>
      <c r="F41" s="348">
        <f>72</f>
        <v>72</v>
      </c>
      <c r="G41" s="348"/>
      <c r="H41" s="348">
        <f>10+3+90+118</f>
        <v>221</v>
      </c>
      <c r="I41" s="348"/>
      <c r="J41" s="348"/>
      <c r="K41" s="348"/>
      <c r="L41" s="348"/>
      <c r="M41" s="348"/>
      <c r="N41" s="348"/>
      <c r="O41" s="348">
        <f t="shared" si="8"/>
        <v>293</v>
      </c>
      <c r="P41" s="351"/>
      <c r="Q41" s="353"/>
      <c r="R41" s="353"/>
      <c r="S41" s="353"/>
      <c r="T41" s="353"/>
      <c r="U41" s="354">
        <f t="shared" si="9"/>
        <v>0</v>
      </c>
      <c r="V41" s="355"/>
      <c r="W41" s="356">
        <f t="shared" si="10"/>
        <v>293</v>
      </c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</row>
    <row r="42" spans="1:35" ht="30" hidden="1" customHeight="1" x14ac:dyDescent="0.25">
      <c r="A42" s="70">
        <v>26</v>
      </c>
      <c r="B42" s="117" t="s">
        <v>338</v>
      </c>
      <c r="C42" s="26" t="s">
        <v>326</v>
      </c>
      <c r="D42" s="348"/>
      <c r="E42" s="348"/>
      <c r="F42" s="348"/>
      <c r="G42" s="348"/>
      <c r="H42" s="348">
        <f>32+8+47+13+154</f>
        <v>254</v>
      </c>
      <c r="I42" s="348"/>
      <c r="J42" s="348"/>
      <c r="K42" s="348"/>
      <c r="L42" s="348"/>
      <c r="M42" s="348"/>
      <c r="N42" s="348"/>
      <c r="O42" s="348">
        <f t="shared" si="8"/>
        <v>254</v>
      </c>
      <c r="P42" s="351"/>
      <c r="Q42" s="353"/>
      <c r="R42" s="353"/>
      <c r="S42" s="353"/>
      <c r="T42" s="353"/>
      <c r="U42" s="354">
        <f t="shared" si="9"/>
        <v>0</v>
      </c>
      <c r="V42" s="355"/>
      <c r="W42" s="356">
        <f t="shared" si="10"/>
        <v>254</v>
      </c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</row>
    <row r="43" spans="1:35" ht="30" hidden="1" customHeight="1" x14ac:dyDescent="0.25">
      <c r="A43" s="70">
        <v>27</v>
      </c>
      <c r="B43" s="345" t="s">
        <v>343</v>
      </c>
      <c r="C43" s="26" t="s">
        <v>344</v>
      </c>
      <c r="D43" s="348"/>
      <c r="E43" s="348"/>
      <c r="F43" s="348">
        <f>1220</f>
        <v>1220</v>
      </c>
      <c r="G43" s="348"/>
      <c r="H43" s="348"/>
      <c r="I43" s="348"/>
      <c r="J43" s="348"/>
      <c r="K43" s="348"/>
      <c r="L43" s="348"/>
      <c r="M43" s="348"/>
      <c r="N43" s="348"/>
      <c r="O43" s="348">
        <f t="shared" si="8"/>
        <v>1220</v>
      </c>
      <c r="P43" s="351"/>
      <c r="Q43" s="353"/>
      <c r="R43" s="353"/>
      <c r="S43" s="353"/>
      <c r="T43" s="353"/>
      <c r="U43" s="354">
        <f t="shared" si="9"/>
        <v>0</v>
      </c>
      <c r="V43" s="355"/>
      <c r="W43" s="356">
        <f t="shared" si="10"/>
        <v>1220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</row>
    <row r="44" spans="1:35" ht="30" hidden="1" customHeight="1" x14ac:dyDescent="0.25">
      <c r="A44" s="70">
        <v>28</v>
      </c>
      <c r="B44" s="345" t="s">
        <v>362</v>
      </c>
      <c r="C44" s="26" t="s">
        <v>363</v>
      </c>
      <c r="D44" s="348"/>
      <c r="E44" s="348"/>
      <c r="F44" s="348"/>
      <c r="G44" s="348"/>
      <c r="H44" s="348">
        <f>46567+12574+1459+395</f>
        <v>60995</v>
      </c>
      <c r="I44" s="348"/>
      <c r="J44" s="348"/>
      <c r="K44" s="348"/>
      <c r="L44" s="348"/>
      <c r="M44" s="348"/>
      <c r="N44" s="348"/>
      <c r="O44" s="348">
        <f t="shared" si="8"/>
        <v>60995</v>
      </c>
      <c r="P44" s="351"/>
      <c r="Q44" s="353"/>
      <c r="R44" s="353"/>
      <c r="S44" s="353"/>
      <c r="T44" s="353"/>
      <c r="U44" s="354">
        <f t="shared" si="9"/>
        <v>0</v>
      </c>
      <c r="V44" s="355"/>
      <c r="W44" s="356">
        <f t="shared" si="10"/>
        <v>60995</v>
      </c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</row>
    <row r="45" spans="1:35" ht="30" hidden="1" customHeight="1" x14ac:dyDescent="0.25">
      <c r="A45" s="70">
        <v>29</v>
      </c>
      <c r="B45" s="345" t="s">
        <v>364</v>
      </c>
      <c r="C45" s="26" t="s">
        <v>401</v>
      </c>
      <c r="D45" s="348">
        <f>45.53</f>
        <v>45.53</v>
      </c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>
        <f t="shared" si="8"/>
        <v>45.53</v>
      </c>
      <c r="P45" s="351"/>
      <c r="Q45" s="353"/>
      <c r="R45" s="353"/>
      <c r="S45" s="353"/>
      <c r="T45" s="353"/>
      <c r="U45" s="354">
        <f t="shared" si="9"/>
        <v>0</v>
      </c>
      <c r="V45" s="355"/>
      <c r="W45" s="356">
        <f t="shared" si="10"/>
        <v>45.53</v>
      </c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ht="30" hidden="1" customHeight="1" x14ac:dyDescent="0.25">
      <c r="A46" s="70">
        <v>30</v>
      </c>
      <c r="B46" s="345" t="s">
        <v>364</v>
      </c>
      <c r="C46" s="26" t="s">
        <v>403</v>
      </c>
      <c r="D46" s="348">
        <f>505.727</f>
        <v>505.72699999999998</v>
      </c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>
        <f t="shared" si="8"/>
        <v>505.72699999999998</v>
      </c>
      <c r="P46" s="351"/>
      <c r="Q46" s="353"/>
      <c r="R46" s="353"/>
      <c r="S46" s="353"/>
      <c r="T46" s="353"/>
      <c r="U46" s="354">
        <f t="shared" si="9"/>
        <v>0</v>
      </c>
      <c r="V46" s="355"/>
      <c r="W46" s="356">
        <f t="shared" si="10"/>
        <v>505.72699999999998</v>
      </c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</row>
    <row r="47" spans="1:35" ht="30" hidden="1" customHeight="1" x14ac:dyDescent="0.25">
      <c r="A47" s="70">
        <v>31</v>
      </c>
      <c r="B47" s="345" t="s">
        <v>364</v>
      </c>
      <c r="C47" s="26" t="s">
        <v>404</v>
      </c>
      <c r="D47" s="348">
        <f>1160.591</f>
        <v>1160.5909999999999</v>
      </c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>
        <f t="shared" si="8"/>
        <v>1160.5909999999999</v>
      </c>
      <c r="P47" s="351"/>
      <c r="Q47" s="353"/>
      <c r="R47" s="353"/>
      <c r="S47" s="353"/>
      <c r="T47" s="353"/>
      <c r="U47" s="354">
        <f t="shared" si="9"/>
        <v>0</v>
      </c>
      <c r="V47" s="355"/>
      <c r="W47" s="356">
        <f t="shared" si="10"/>
        <v>1160.5909999999999</v>
      </c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</row>
    <row r="48" spans="1:35" ht="30" hidden="1" customHeight="1" x14ac:dyDescent="0.25">
      <c r="A48" s="70">
        <v>32</v>
      </c>
      <c r="B48" s="345" t="s">
        <v>402</v>
      </c>
      <c r="C48" s="26" t="s">
        <v>405</v>
      </c>
      <c r="D48" s="348">
        <f>8223.387</f>
        <v>8223.3870000000006</v>
      </c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>
        <f t="shared" si="8"/>
        <v>8223.3870000000006</v>
      </c>
      <c r="P48" s="351"/>
      <c r="Q48" s="353"/>
      <c r="R48" s="353"/>
      <c r="S48" s="353"/>
      <c r="T48" s="353"/>
      <c r="U48" s="354">
        <f t="shared" si="9"/>
        <v>0</v>
      </c>
      <c r="V48" s="355"/>
      <c r="W48" s="356">
        <f t="shared" si="10"/>
        <v>8223.3870000000006</v>
      </c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60"/>
    </row>
    <row r="49" spans="1:35" ht="30" hidden="1" customHeight="1" x14ac:dyDescent="0.25">
      <c r="A49" s="70">
        <v>33</v>
      </c>
      <c r="B49" s="117" t="s">
        <v>367</v>
      </c>
      <c r="C49" s="26" t="s">
        <v>368</v>
      </c>
      <c r="D49" s="348"/>
      <c r="E49" s="348"/>
      <c r="F49" s="348">
        <f>500</f>
        <v>500</v>
      </c>
      <c r="G49" s="348"/>
      <c r="H49" s="348"/>
      <c r="I49" s="348"/>
      <c r="J49" s="348"/>
      <c r="K49" s="348"/>
      <c r="L49" s="348"/>
      <c r="M49" s="348"/>
      <c r="N49" s="348"/>
      <c r="O49" s="348">
        <f t="shared" si="8"/>
        <v>500</v>
      </c>
      <c r="P49" s="351"/>
      <c r="Q49" s="353"/>
      <c r="R49" s="353"/>
      <c r="S49" s="353"/>
      <c r="T49" s="353"/>
      <c r="U49" s="354">
        <f t="shared" si="9"/>
        <v>0</v>
      </c>
      <c r="V49" s="355"/>
      <c r="W49" s="356">
        <f t="shared" si="10"/>
        <v>500</v>
      </c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60"/>
    </row>
    <row r="50" spans="1:35" ht="30" hidden="1" customHeight="1" x14ac:dyDescent="0.25">
      <c r="A50" s="70">
        <v>34</v>
      </c>
      <c r="B50" s="117" t="s">
        <v>369</v>
      </c>
      <c r="C50" s="26" t="s">
        <v>370</v>
      </c>
      <c r="D50" s="348"/>
      <c r="E50" s="348"/>
      <c r="F50" s="348"/>
      <c r="G50" s="348"/>
      <c r="H50" s="348">
        <f>200</f>
        <v>200</v>
      </c>
      <c r="I50" s="348"/>
      <c r="J50" s="348"/>
      <c r="K50" s="348"/>
      <c r="L50" s="348"/>
      <c r="M50" s="348"/>
      <c r="N50" s="348"/>
      <c r="O50" s="348">
        <f t="shared" si="8"/>
        <v>200</v>
      </c>
      <c r="P50" s="351"/>
      <c r="Q50" s="353"/>
      <c r="R50" s="353"/>
      <c r="S50" s="353"/>
      <c r="T50" s="353"/>
      <c r="U50" s="354">
        <f t="shared" si="9"/>
        <v>0</v>
      </c>
      <c r="V50" s="355"/>
      <c r="W50" s="356">
        <f t="shared" si="10"/>
        <v>200</v>
      </c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60"/>
    </row>
    <row r="51" spans="1:35" ht="30" hidden="1" customHeight="1" x14ac:dyDescent="0.25">
      <c r="A51" s="70">
        <v>35</v>
      </c>
      <c r="B51" s="117" t="s">
        <v>380</v>
      </c>
      <c r="C51" s="26" t="s">
        <v>382</v>
      </c>
      <c r="D51" s="348"/>
      <c r="E51" s="348"/>
      <c r="F51" s="348"/>
      <c r="G51" s="348"/>
      <c r="H51" s="348">
        <f>863</f>
        <v>863</v>
      </c>
      <c r="I51" s="348"/>
      <c r="J51" s="348"/>
      <c r="K51" s="348"/>
      <c r="L51" s="348"/>
      <c r="M51" s="348"/>
      <c r="N51" s="348"/>
      <c r="O51" s="348">
        <f t="shared" si="8"/>
        <v>863</v>
      </c>
      <c r="P51" s="351"/>
      <c r="Q51" s="353"/>
      <c r="R51" s="353"/>
      <c r="S51" s="353"/>
      <c r="T51" s="353"/>
      <c r="U51" s="354">
        <f t="shared" si="9"/>
        <v>0</v>
      </c>
      <c r="V51" s="355"/>
      <c r="W51" s="356">
        <f t="shared" si="10"/>
        <v>863</v>
      </c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60"/>
    </row>
    <row r="52" spans="1:35" ht="30" hidden="1" customHeight="1" x14ac:dyDescent="0.25">
      <c r="A52" s="70">
        <v>36</v>
      </c>
      <c r="B52" s="345" t="s">
        <v>381</v>
      </c>
      <c r="C52" s="26" t="s">
        <v>383</v>
      </c>
      <c r="D52" s="348"/>
      <c r="E52" s="348"/>
      <c r="F52" s="348"/>
      <c r="G52" s="348"/>
      <c r="H52" s="348"/>
      <c r="I52" s="348">
        <f>1800</f>
        <v>1800</v>
      </c>
      <c r="J52" s="348"/>
      <c r="K52" s="348"/>
      <c r="L52" s="348"/>
      <c r="M52" s="348"/>
      <c r="N52" s="348"/>
      <c r="O52" s="348">
        <f t="shared" si="8"/>
        <v>1800</v>
      </c>
      <c r="P52" s="351"/>
      <c r="Q52" s="353"/>
      <c r="R52" s="353"/>
      <c r="S52" s="353"/>
      <c r="T52" s="353"/>
      <c r="U52" s="354">
        <f t="shared" si="9"/>
        <v>0</v>
      </c>
      <c r="V52" s="355"/>
      <c r="W52" s="356">
        <f t="shared" si="10"/>
        <v>1800</v>
      </c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60"/>
    </row>
    <row r="53" spans="1:35" ht="30" hidden="1" customHeight="1" x14ac:dyDescent="0.25">
      <c r="A53" s="70">
        <v>37</v>
      </c>
      <c r="B53" s="345" t="s">
        <v>385</v>
      </c>
      <c r="C53" s="26" t="s">
        <v>384</v>
      </c>
      <c r="D53" s="348"/>
      <c r="E53" s="348"/>
      <c r="F53" s="348"/>
      <c r="G53" s="348"/>
      <c r="H53" s="348">
        <v>406</v>
      </c>
      <c r="I53" s="348"/>
      <c r="J53" s="348"/>
      <c r="K53" s="348"/>
      <c r="L53" s="348"/>
      <c r="M53" s="348"/>
      <c r="N53" s="348"/>
      <c r="O53" s="348">
        <f t="shared" si="8"/>
        <v>406</v>
      </c>
      <c r="P53" s="351"/>
      <c r="Q53" s="353"/>
      <c r="R53" s="353"/>
      <c r="S53" s="353"/>
      <c r="T53" s="353"/>
      <c r="U53" s="354">
        <f t="shared" si="9"/>
        <v>0</v>
      </c>
      <c r="V53" s="355"/>
      <c r="W53" s="356">
        <f t="shared" si="10"/>
        <v>406</v>
      </c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</row>
    <row r="54" spans="1:35" ht="30" hidden="1" customHeight="1" x14ac:dyDescent="0.25">
      <c r="A54" s="70">
        <v>38</v>
      </c>
      <c r="B54" s="345" t="s">
        <v>393</v>
      </c>
      <c r="C54" s="26" t="s">
        <v>400</v>
      </c>
      <c r="D54" s="348"/>
      <c r="E54" s="348"/>
      <c r="F54" s="348"/>
      <c r="G54" s="348"/>
      <c r="H54" s="348"/>
      <c r="I54" s="348"/>
      <c r="J54" s="348"/>
      <c r="K54" s="348"/>
      <c r="L54" s="348">
        <f>110</f>
        <v>110</v>
      </c>
      <c r="M54" s="348"/>
      <c r="N54" s="348"/>
      <c r="O54" s="348">
        <f t="shared" si="8"/>
        <v>110</v>
      </c>
      <c r="P54" s="351"/>
      <c r="Q54" s="353"/>
      <c r="R54" s="353"/>
      <c r="S54" s="353"/>
      <c r="T54" s="353"/>
      <c r="U54" s="354">
        <f t="shared" si="9"/>
        <v>0</v>
      </c>
      <c r="V54" s="355"/>
      <c r="W54" s="356">
        <f t="shared" si="10"/>
        <v>110</v>
      </c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</row>
    <row r="55" spans="1:35" ht="30" hidden="1" customHeight="1" x14ac:dyDescent="0.25">
      <c r="A55" s="70">
        <v>39</v>
      </c>
      <c r="B55" s="414" t="s">
        <v>410</v>
      </c>
      <c r="C55" s="26" t="s">
        <v>412</v>
      </c>
      <c r="D55" s="348"/>
      <c r="E55" s="348"/>
      <c r="F55" s="348"/>
      <c r="G55" s="348"/>
      <c r="H55" s="348">
        <f>-20000</f>
        <v>-20000</v>
      </c>
      <c r="I55" s="348"/>
      <c r="J55" s="348"/>
      <c r="K55" s="348"/>
      <c r="L55" s="348"/>
      <c r="M55" s="348"/>
      <c r="N55" s="348"/>
      <c r="O55" s="348">
        <f t="shared" si="8"/>
        <v>-20000</v>
      </c>
      <c r="P55" s="351"/>
      <c r="Q55" s="353"/>
      <c r="R55" s="353"/>
      <c r="S55" s="353"/>
      <c r="T55" s="353"/>
      <c r="U55" s="354">
        <f t="shared" si="9"/>
        <v>0</v>
      </c>
      <c r="V55" s="355"/>
      <c r="W55" s="356">
        <f t="shared" si="10"/>
        <v>-20000</v>
      </c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60"/>
    </row>
    <row r="56" spans="1:35" ht="30" hidden="1" customHeight="1" x14ac:dyDescent="0.25">
      <c r="A56" s="70"/>
      <c r="B56" s="117"/>
      <c r="C56" s="26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>
        <f t="shared" si="8"/>
        <v>0</v>
      </c>
      <c r="P56" s="351"/>
      <c r="Q56" s="353"/>
      <c r="R56" s="353"/>
      <c r="S56" s="353"/>
      <c r="T56" s="353"/>
      <c r="U56" s="354">
        <f t="shared" si="9"/>
        <v>0</v>
      </c>
      <c r="V56" s="355"/>
      <c r="W56" s="356">
        <f t="shared" si="10"/>
        <v>0</v>
      </c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</row>
    <row r="57" spans="1:35" ht="30" hidden="1" customHeight="1" x14ac:dyDescent="0.25">
      <c r="A57" s="70"/>
      <c r="B57" s="117"/>
      <c r="C57" s="36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>
        <f>SUM(D57:N57)</f>
        <v>0</v>
      </c>
      <c r="P57" s="351"/>
      <c r="Q57" s="353"/>
      <c r="R57" s="353"/>
      <c r="S57" s="353"/>
      <c r="T57" s="353"/>
      <c r="U57" s="354">
        <f>SUM(Q57:T57)</f>
        <v>0</v>
      </c>
      <c r="V57" s="355"/>
      <c r="W57" s="356">
        <f>O57+U57</f>
        <v>0</v>
      </c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60"/>
    </row>
    <row r="58" spans="1:35" ht="35.1" hidden="1" customHeight="1" thickBot="1" x14ac:dyDescent="0.3">
      <c r="A58" s="58"/>
      <c r="B58" s="100"/>
      <c r="C58" s="26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48"/>
      <c r="P58" s="351"/>
      <c r="Q58" s="351"/>
      <c r="R58" s="351"/>
      <c r="S58" s="351"/>
      <c r="T58" s="351"/>
      <c r="U58" s="357"/>
      <c r="V58" s="358"/>
      <c r="W58" s="3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60"/>
    </row>
    <row r="59" spans="1:35" ht="35.1" hidden="1" customHeight="1" thickTop="1" thickBot="1" x14ac:dyDescent="0.3">
      <c r="A59" s="32"/>
      <c r="B59" s="33"/>
      <c r="C59" s="40" t="s">
        <v>19</v>
      </c>
      <c r="D59" s="280">
        <f t="shared" ref="D59:O59" si="11">SUM(D17:D58)</f>
        <v>53058.998</v>
      </c>
      <c r="E59" s="280">
        <f t="shared" si="11"/>
        <v>0</v>
      </c>
      <c r="F59" s="280">
        <f t="shared" si="11"/>
        <v>1832</v>
      </c>
      <c r="G59" s="280">
        <f t="shared" si="11"/>
        <v>540</v>
      </c>
      <c r="H59" s="280">
        <f t="shared" si="11"/>
        <v>49164.087</v>
      </c>
      <c r="I59" s="280">
        <f t="shared" si="11"/>
        <v>1800</v>
      </c>
      <c r="J59" s="280">
        <f t="shared" si="11"/>
        <v>0</v>
      </c>
      <c r="K59" s="280">
        <f t="shared" si="11"/>
        <v>0</v>
      </c>
      <c r="L59" s="280">
        <f t="shared" si="11"/>
        <v>14210</v>
      </c>
      <c r="M59" s="280">
        <f t="shared" si="11"/>
        <v>0</v>
      </c>
      <c r="N59" s="280">
        <f t="shared" si="11"/>
        <v>0</v>
      </c>
      <c r="O59" s="280">
        <f t="shared" si="11"/>
        <v>120605.08499999999</v>
      </c>
      <c r="P59" s="280"/>
      <c r="Q59" s="280">
        <f>SUM(Q17:Q58)</f>
        <v>0</v>
      </c>
      <c r="R59" s="280">
        <f>SUM(R17:R58)</f>
        <v>0</v>
      </c>
      <c r="S59" s="280">
        <f>SUM(S17:S58)</f>
        <v>0</v>
      </c>
      <c r="T59" s="280">
        <f>SUM(T17:T58)</f>
        <v>0</v>
      </c>
      <c r="U59" s="280">
        <f>SUM(U17:U58)</f>
        <v>0</v>
      </c>
      <c r="V59" s="281"/>
      <c r="W59" s="282">
        <f>SUM(W17:W58)</f>
        <v>120605.08499999999</v>
      </c>
    </row>
    <row r="60" spans="1:35" ht="35.1" hidden="1" customHeight="1" thickTop="1" thickBot="1" x14ac:dyDescent="0.3">
      <c r="A60" s="32"/>
      <c r="B60" s="33"/>
      <c r="C60" s="40" t="s">
        <v>103</v>
      </c>
      <c r="D60" s="360">
        <f t="shared" ref="D60:O60" si="12">D16+D59</f>
        <v>2574034.2770000002</v>
      </c>
      <c r="E60" s="360">
        <f t="shared" si="12"/>
        <v>0</v>
      </c>
      <c r="F60" s="360">
        <f t="shared" si="12"/>
        <v>53832</v>
      </c>
      <c r="G60" s="360">
        <f t="shared" si="12"/>
        <v>9541503</v>
      </c>
      <c r="H60" s="360">
        <f t="shared" si="12"/>
        <v>2530367.8079999997</v>
      </c>
      <c r="I60" s="360">
        <f t="shared" si="12"/>
        <v>1800</v>
      </c>
      <c r="J60" s="360">
        <f t="shared" si="12"/>
        <v>1146000</v>
      </c>
      <c r="K60" s="360">
        <f t="shared" si="12"/>
        <v>4683689</v>
      </c>
      <c r="L60" s="360">
        <f t="shared" si="12"/>
        <v>1785210</v>
      </c>
      <c r="M60" s="360">
        <f t="shared" si="12"/>
        <v>10000</v>
      </c>
      <c r="N60" s="360">
        <f t="shared" si="12"/>
        <v>0</v>
      </c>
      <c r="O60" s="361">
        <f t="shared" si="12"/>
        <v>22326436.085000001</v>
      </c>
      <c r="P60" s="361"/>
      <c r="Q60" s="361">
        <f>Q16+Q59</f>
        <v>2382040</v>
      </c>
      <c r="R60" s="361">
        <f>R16+R59</f>
        <v>1111769</v>
      </c>
      <c r="S60" s="361">
        <f>S16+S59</f>
        <v>0</v>
      </c>
      <c r="T60" s="361">
        <f>T16+T59</f>
        <v>0</v>
      </c>
      <c r="U60" s="361">
        <f>U16+U59</f>
        <v>3493809</v>
      </c>
      <c r="V60" s="362"/>
      <c r="W60" s="363">
        <f t="shared" ref="W60:W124" si="13">O60+U60</f>
        <v>25820245.085000001</v>
      </c>
    </row>
    <row r="61" spans="1:35" ht="35.1" hidden="1" customHeight="1" thickTop="1" thickBot="1" x14ac:dyDescent="0.3">
      <c r="A61" s="32"/>
      <c r="B61" s="33"/>
      <c r="C61" s="36" t="s">
        <v>164</v>
      </c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1"/>
      <c r="O61" s="361"/>
      <c r="P61" s="361"/>
      <c r="Q61" s="361"/>
      <c r="R61" s="361">
        <f>5075+738+193152+4509+7345+612+1270+7493+4681+5674+6477+198+152858+200+25400+9600+19023+18280+712+8+170649+653243+3810+130+100+885+120+20650+5+458+3696+2048+216885+28146+4763+10668+70+1097+8780+3617+1270+3556+1136+980+8960.366+18412+200+254+3048+2101-4212+2717926.328</f>
        <v>4346756.6940000001</v>
      </c>
      <c r="S61" s="361"/>
      <c r="T61" s="361"/>
      <c r="U61" s="360">
        <f>SUM(Q61:T61)</f>
        <v>4346756.6940000001</v>
      </c>
      <c r="V61" s="364"/>
      <c r="W61" s="363">
        <f t="shared" si="13"/>
        <v>4346756.6940000001</v>
      </c>
    </row>
    <row r="62" spans="1:35" ht="35.1" hidden="1" customHeight="1" thickTop="1" thickBot="1" x14ac:dyDescent="0.3">
      <c r="A62" s="32"/>
      <c r="B62" s="342" t="s">
        <v>122</v>
      </c>
      <c r="C62" s="40" t="s">
        <v>165</v>
      </c>
      <c r="D62" s="360">
        <f t="shared" ref="D62:U62" si="14">D60+D61</f>
        <v>2574034.2770000002</v>
      </c>
      <c r="E62" s="360">
        <f t="shared" si="14"/>
        <v>0</v>
      </c>
      <c r="F62" s="360">
        <f t="shared" si="14"/>
        <v>53832</v>
      </c>
      <c r="G62" s="360">
        <f t="shared" si="14"/>
        <v>9541503</v>
      </c>
      <c r="H62" s="360">
        <f t="shared" si="14"/>
        <v>2530367.8079999997</v>
      </c>
      <c r="I62" s="360">
        <f t="shared" si="14"/>
        <v>1800</v>
      </c>
      <c r="J62" s="360">
        <f t="shared" si="14"/>
        <v>1146000</v>
      </c>
      <c r="K62" s="360">
        <f t="shared" si="14"/>
        <v>4683689</v>
      </c>
      <c r="L62" s="360">
        <f t="shared" si="14"/>
        <v>1785210</v>
      </c>
      <c r="M62" s="360">
        <f t="shared" si="14"/>
        <v>10000</v>
      </c>
      <c r="N62" s="360">
        <f t="shared" si="14"/>
        <v>0</v>
      </c>
      <c r="O62" s="361">
        <f t="shared" si="14"/>
        <v>22326436.085000001</v>
      </c>
      <c r="P62" s="361"/>
      <c r="Q62" s="361">
        <f t="shared" si="14"/>
        <v>2382040</v>
      </c>
      <c r="R62" s="361">
        <f t="shared" si="14"/>
        <v>5458525.6940000001</v>
      </c>
      <c r="S62" s="361">
        <f t="shared" si="14"/>
        <v>0</v>
      </c>
      <c r="T62" s="361">
        <f t="shared" si="14"/>
        <v>0</v>
      </c>
      <c r="U62" s="360">
        <f t="shared" si="14"/>
        <v>7840565.6940000001</v>
      </c>
      <c r="V62" s="364"/>
      <c r="W62" s="363">
        <f t="shared" si="13"/>
        <v>30167001.778999999</v>
      </c>
    </row>
    <row r="63" spans="1:35" ht="24.95" customHeight="1" x14ac:dyDescent="0.25">
      <c r="A63" s="20"/>
      <c r="B63" s="21"/>
      <c r="C63" s="172" t="s">
        <v>18</v>
      </c>
      <c r="D63" s="23">
        <f t="shared" ref="D63:U63" si="15">D62</f>
        <v>2574034.2770000002</v>
      </c>
      <c r="E63" s="23">
        <f t="shared" si="15"/>
        <v>0</v>
      </c>
      <c r="F63" s="23">
        <f t="shared" si="15"/>
        <v>53832</v>
      </c>
      <c r="G63" s="23">
        <f t="shared" si="15"/>
        <v>9541503</v>
      </c>
      <c r="H63" s="23">
        <f t="shared" si="15"/>
        <v>2530367.8079999997</v>
      </c>
      <c r="I63" s="23">
        <f t="shared" si="15"/>
        <v>1800</v>
      </c>
      <c r="J63" s="23">
        <f t="shared" si="15"/>
        <v>1146000</v>
      </c>
      <c r="K63" s="23">
        <f t="shared" si="15"/>
        <v>4683689</v>
      </c>
      <c r="L63" s="23">
        <f t="shared" si="15"/>
        <v>1785210</v>
      </c>
      <c r="M63" s="23">
        <f t="shared" si="15"/>
        <v>10000</v>
      </c>
      <c r="N63" s="23">
        <f t="shared" si="15"/>
        <v>0</v>
      </c>
      <c r="O63" s="23">
        <f t="shared" si="15"/>
        <v>22326436.085000001</v>
      </c>
      <c r="P63" s="23"/>
      <c r="Q63" s="23">
        <f t="shared" si="15"/>
        <v>2382040</v>
      </c>
      <c r="R63" s="23">
        <f>R62</f>
        <v>5458525.6940000001</v>
      </c>
      <c r="S63" s="23">
        <f>S62</f>
        <v>0</v>
      </c>
      <c r="T63" s="23">
        <f t="shared" si="15"/>
        <v>0</v>
      </c>
      <c r="U63" s="23">
        <f t="shared" si="15"/>
        <v>7840565.6940000001</v>
      </c>
      <c r="V63" s="121"/>
      <c r="W63" s="497">
        <f t="shared" si="13"/>
        <v>30167001.778999999</v>
      </c>
    </row>
    <row r="64" spans="1:35" ht="24.95" customHeight="1" x14ac:dyDescent="0.25">
      <c r="A64" s="323"/>
      <c r="B64" s="21"/>
      <c r="C64" s="28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442"/>
      <c r="W64" s="443"/>
    </row>
    <row r="65" spans="1:23" ht="24.95" customHeight="1" x14ac:dyDescent="0.2">
      <c r="A65" s="176">
        <v>1</v>
      </c>
      <c r="B65" s="312" t="s">
        <v>430</v>
      </c>
      <c r="C65" s="26" t="s">
        <v>431</v>
      </c>
      <c r="D65" s="181"/>
      <c r="E65" s="181"/>
      <c r="F65" s="181"/>
      <c r="G65" s="181"/>
      <c r="H65" s="181">
        <f>100+27</f>
        <v>127</v>
      </c>
      <c r="I65" s="181"/>
      <c r="J65" s="181"/>
      <c r="K65" s="181"/>
      <c r="L65" s="181"/>
      <c r="M65" s="181"/>
      <c r="N65" s="181"/>
      <c r="O65" s="181">
        <f t="shared" ref="O65:O124" si="16">SUM(D65:N65)</f>
        <v>127</v>
      </c>
      <c r="P65" s="145"/>
      <c r="Q65" s="145"/>
      <c r="R65" s="145"/>
      <c r="S65" s="145"/>
      <c r="T65" s="145"/>
      <c r="U65" s="181">
        <f t="shared" ref="U65:U124" si="17">SUM(Q65:T65)</f>
        <v>0</v>
      </c>
      <c r="V65" s="493"/>
      <c r="W65" s="494">
        <f t="shared" si="13"/>
        <v>127</v>
      </c>
    </row>
    <row r="66" spans="1:23" ht="31.5" customHeight="1" x14ac:dyDescent="0.2">
      <c r="A66" s="176">
        <v>2</v>
      </c>
      <c r="B66" s="312" t="s">
        <v>445</v>
      </c>
      <c r="C66" s="38" t="s">
        <v>444</v>
      </c>
      <c r="D66" s="181"/>
      <c r="E66" s="181"/>
      <c r="F66" s="181"/>
      <c r="G66" s="491"/>
      <c r="H66" s="181">
        <f>88</f>
        <v>88</v>
      </c>
      <c r="I66" s="181"/>
      <c r="J66" s="181"/>
      <c r="K66" s="181"/>
      <c r="L66" s="181"/>
      <c r="M66" s="181"/>
      <c r="N66" s="181"/>
      <c r="O66" s="181">
        <f t="shared" si="16"/>
        <v>88</v>
      </c>
      <c r="P66" s="145"/>
      <c r="Q66" s="145"/>
      <c r="R66" s="145"/>
      <c r="S66" s="145"/>
      <c r="T66" s="145"/>
      <c r="U66" s="181">
        <f t="shared" si="17"/>
        <v>0</v>
      </c>
      <c r="V66" s="493"/>
      <c r="W66" s="494">
        <f t="shared" si="13"/>
        <v>88</v>
      </c>
    </row>
    <row r="67" spans="1:23" ht="24.95" customHeight="1" x14ac:dyDescent="0.2">
      <c r="A67" s="176">
        <v>3</v>
      </c>
      <c r="B67" s="312" t="s">
        <v>443</v>
      </c>
      <c r="C67" s="38" t="s">
        <v>446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>
        <f>600</f>
        <v>600</v>
      </c>
      <c r="O67" s="181">
        <f t="shared" si="16"/>
        <v>600</v>
      </c>
      <c r="P67" s="145"/>
      <c r="Q67" s="145"/>
      <c r="R67" s="145"/>
      <c r="S67" s="145"/>
      <c r="T67" s="145"/>
      <c r="U67" s="181">
        <f t="shared" si="17"/>
        <v>0</v>
      </c>
      <c r="V67" s="493"/>
      <c r="W67" s="494">
        <f t="shared" si="13"/>
        <v>600</v>
      </c>
    </row>
    <row r="68" spans="1:23" ht="24.95" customHeight="1" x14ac:dyDescent="0.2">
      <c r="A68" s="176">
        <v>4</v>
      </c>
      <c r="B68" s="312" t="s">
        <v>447</v>
      </c>
      <c r="C68" s="38" t="s">
        <v>363</v>
      </c>
      <c r="D68" s="181"/>
      <c r="E68" s="181"/>
      <c r="F68" s="181"/>
      <c r="G68" s="181"/>
      <c r="H68" s="181">
        <f>8845+2388+960+259</f>
        <v>12452</v>
      </c>
      <c r="I68" s="181"/>
      <c r="J68" s="181"/>
      <c r="K68" s="181"/>
      <c r="L68" s="181"/>
      <c r="M68" s="181"/>
      <c r="N68" s="181"/>
      <c r="O68" s="181">
        <f t="shared" si="16"/>
        <v>12452</v>
      </c>
      <c r="P68" s="145"/>
      <c r="Q68" s="145"/>
      <c r="R68" s="145"/>
      <c r="S68" s="145"/>
      <c r="T68" s="145"/>
      <c r="U68" s="181">
        <f t="shared" si="17"/>
        <v>0</v>
      </c>
      <c r="V68" s="493"/>
      <c r="W68" s="494">
        <f t="shared" si="13"/>
        <v>12452</v>
      </c>
    </row>
    <row r="69" spans="1:23" ht="31.5" customHeight="1" x14ac:dyDescent="0.2">
      <c r="A69" s="176">
        <v>5</v>
      </c>
      <c r="B69" s="312" t="s">
        <v>448</v>
      </c>
      <c r="C69" s="38" t="s">
        <v>449</v>
      </c>
      <c r="D69" s="181"/>
      <c r="E69" s="181"/>
      <c r="F69" s="181"/>
      <c r="G69" s="491"/>
      <c r="H69" s="181">
        <f>44</f>
        <v>44</v>
      </c>
      <c r="I69" s="181"/>
      <c r="J69" s="181"/>
      <c r="K69" s="181"/>
      <c r="L69" s="181"/>
      <c r="M69" s="181"/>
      <c r="N69" s="181"/>
      <c r="O69" s="181">
        <f t="shared" si="16"/>
        <v>44</v>
      </c>
      <c r="P69" s="145"/>
      <c r="Q69" s="145"/>
      <c r="R69" s="145"/>
      <c r="S69" s="145"/>
      <c r="T69" s="145"/>
      <c r="U69" s="181">
        <f t="shared" si="17"/>
        <v>0</v>
      </c>
      <c r="V69" s="493"/>
      <c r="W69" s="494">
        <f t="shared" si="13"/>
        <v>44</v>
      </c>
    </row>
    <row r="70" spans="1:23" ht="24.95" customHeight="1" x14ac:dyDescent="0.2">
      <c r="A70" s="176">
        <v>6</v>
      </c>
      <c r="B70" s="312" t="s">
        <v>454</v>
      </c>
      <c r="C70" s="38" t="s">
        <v>453</v>
      </c>
      <c r="D70" s="181"/>
      <c r="E70" s="181"/>
      <c r="F70" s="181"/>
      <c r="G70" s="181"/>
      <c r="H70" s="181"/>
      <c r="I70" s="181"/>
      <c r="J70" s="181"/>
      <c r="K70" s="181"/>
      <c r="L70" s="181">
        <f>518</f>
        <v>518</v>
      </c>
      <c r="M70" s="181"/>
      <c r="N70" s="181"/>
      <c r="O70" s="181">
        <f t="shared" si="16"/>
        <v>518</v>
      </c>
      <c r="P70" s="145"/>
      <c r="Q70" s="145"/>
      <c r="R70" s="145"/>
      <c r="S70" s="145"/>
      <c r="T70" s="145"/>
      <c r="U70" s="181">
        <f t="shared" si="17"/>
        <v>0</v>
      </c>
      <c r="V70" s="493"/>
      <c r="W70" s="494">
        <f t="shared" si="13"/>
        <v>518</v>
      </c>
    </row>
    <row r="71" spans="1:23" ht="24.95" customHeight="1" x14ac:dyDescent="0.2">
      <c r="A71" s="176">
        <v>7</v>
      </c>
      <c r="B71" s="313" t="s">
        <v>457</v>
      </c>
      <c r="C71" s="38" t="s">
        <v>458</v>
      </c>
      <c r="D71" s="181">
        <f>46.605</f>
        <v>46.604999999999997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>
        <f t="shared" si="16"/>
        <v>46.604999999999997</v>
      </c>
      <c r="P71" s="145"/>
      <c r="Q71" s="145"/>
      <c r="R71" s="145"/>
      <c r="S71" s="145"/>
      <c r="T71" s="145"/>
      <c r="U71" s="181">
        <f t="shared" si="17"/>
        <v>0</v>
      </c>
      <c r="V71" s="493"/>
      <c r="W71" s="494">
        <f t="shared" si="13"/>
        <v>46.604999999999997</v>
      </c>
    </row>
    <row r="72" spans="1:23" ht="31.5" customHeight="1" x14ac:dyDescent="0.2">
      <c r="A72" s="176">
        <v>8</v>
      </c>
      <c r="B72" s="313" t="s">
        <v>457</v>
      </c>
      <c r="C72" s="38" t="s">
        <v>469</v>
      </c>
      <c r="D72" s="181">
        <f>510.86</f>
        <v>510.86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>
        <f t="shared" si="16"/>
        <v>510.86</v>
      </c>
      <c r="P72" s="145"/>
      <c r="Q72" s="145"/>
      <c r="R72" s="145"/>
      <c r="S72" s="145"/>
      <c r="T72" s="145"/>
      <c r="U72" s="181">
        <f t="shared" si="17"/>
        <v>0</v>
      </c>
      <c r="V72" s="493"/>
      <c r="W72" s="494">
        <f t="shared" si="13"/>
        <v>510.86</v>
      </c>
    </row>
    <row r="73" spans="1:23" ht="24.95" customHeight="1" x14ac:dyDescent="0.2">
      <c r="A73" s="176">
        <v>9</v>
      </c>
      <c r="B73" s="313" t="s">
        <v>457</v>
      </c>
      <c r="C73" s="26" t="s">
        <v>471</v>
      </c>
      <c r="D73" s="181">
        <f>1148.993</f>
        <v>1148.9929999999999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>
        <f t="shared" si="16"/>
        <v>1148.9929999999999</v>
      </c>
      <c r="P73" s="145"/>
      <c r="Q73" s="145"/>
      <c r="R73" s="145"/>
      <c r="S73" s="145"/>
      <c r="T73" s="145"/>
      <c r="U73" s="181">
        <f t="shared" si="17"/>
        <v>0</v>
      </c>
      <c r="V73" s="493"/>
      <c r="W73" s="494">
        <f t="shared" si="13"/>
        <v>1148.9929999999999</v>
      </c>
    </row>
    <row r="74" spans="1:23" ht="31.5" customHeight="1" x14ac:dyDescent="0.2">
      <c r="A74" s="176">
        <v>10</v>
      </c>
      <c r="B74" s="415" t="s">
        <v>472</v>
      </c>
      <c r="C74" s="38" t="s">
        <v>473</v>
      </c>
      <c r="D74" s="181">
        <f>8219.979</f>
        <v>8219.9789999999994</v>
      </c>
      <c r="E74" s="181"/>
      <c r="F74" s="181"/>
      <c r="G74" s="491"/>
      <c r="H74" s="181"/>
      <c r="I74" s="181"/>
      <c r="J74" s="181"/>
      <c r="K74" s="181"/>
      <c r="L74" s="181"/>
      <c r="M74" s="181"/>
      <c r="N74" s="181"/>
      <c r="O74" s="181">
        <f t="shared" si="16"/>
        <v>8219.9789999999994</v>
      </c>
      <c r="P74" s="145"/>
      <c r="Q74" s="145"/>
      <c r="R74" s="145"/>
      <c r="S74" s="145"/>
      <c r="T74" s="145"/>
      <c r="U74" s="181">
        <f t="shared" si="17"/>
        <v>0</v>
      </c>
      <c r="V74" s="493"/>
      <c r="W74" s="494">
        <f t="shared" si="13"/>
        <v>8219.9789999999994</v>
      </c>
    </row>
    <row r="75" spans="1:23" ht="24.95" customHeight="1" x14ac:dyDescent="0.2">
      <c r="A75" s="176">
        <v>11</v>
      </c>
      <c r="B75" s="313" t="s">
        <v>485</v>
      </c>
      <c r="C75" s="26" t="s">
        <v>486</v>
      </c>
      <c r="D75" s="181"/>
      <c r="E75" s="181"/>
      <c r="F75" s="181"/>
      <c r="G75" s="181"/>
      <c r="H75" s="181">
        <f>125</f>
        <v>125</v>
      </c>
      <c r="I75" s="181"/>
      <c r="J75" s="181"/>
      <c r="K75" s="181"/>
      <c r="L75" s="181"/>
      <c r="M75" s="181"/>
      <c r="N75" s="181"/>
      <c r="O75" s="181">
        <f t="shared" si="16"/>
        <v>125</v>
      </c>
      <c r="P75" s="145"/>
      <c r="Q75" s="145"/>
      <c r="R75" s="145"/>
      <c r="S75" s="145"/>
      <c r="T75" s="145"/>
      <c r="U75" s="181">
        <f t="shared" si="17"/>
        <v>0</v>
      </c>
      <c r="V75" s="493"/>
      <c r="W75" s="494">
        <f t="shared" si="13"/>
        <v>125</v>
      </c>
    </row>
    <row r="76" spans="1:23" ht="31.5" customHeight="1" x14ac:dyDescent="0.2">
      <c r="A76" s="176">
        <v>12</v>
      </c>
      <c r="B76" s="313" t="s">
        <v>490</v>
      </c>
      <c r="C76" s="38" t="s">
        <v>532</v>
      </c>
      <c r="D76" s="181">
        <f>504.411</f>
        <v>504.411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>
        <f t="shared" si="16"/>
        <v>504.411</v>
      </c>
      <c r="P76" s="145"/>
      <c r="Q76" s="145"/>
      <c r="R76" s="145"/>
      <c r="S76" s="145"/>
      <c r="T76" s="145"/>
      <c r="U76" s="181">
        <f t="shared" ref="U76:U77" si="18">SUM(Q76:T76)</f>
        <v>0</v>
      </c>
      <c r="V76" s="493"/>
      <c r="W76" s="494">
        <f t="shared" ref="W76:W77" si="19">O76+U76</f>
        <v>504.411</v>
      </c>
    </row>
    <row r="77" spans="1:23" ht="24.95" customHeight="1" x14ac:dyDescent="0.2">
      <c r="A77" s="176">
        <v>13</v>
      </c>
      <c r="B77" s="313" t="s">
        <v>490</v>
      </c>
      <c r="C77" s="26" t="s">
        <v>534</v>
      </c>
      <c r="D77" s="181">
        <v>1116.729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>
        <f t="shared" si="16"/>
        <v>1116.729</v>
      </c>
      <c r="P77" s="145"/>
      <c r="Q77" s="145"/>
      <c r="R77" s="145"/>
      <c r="S77" s="145"/>
      <c r="T77" s="145"/>
      <c r="U77" s="181">
        <f t="shared" si="18"/>
        <v>0</v>
      </c>
      <c r="V77" s="493"/>
      <c r="W77" s="494">
        <f t="shared" si="19"/>
        <v>1116.729</v>
      </c>
    </row>
    <row r="78" spans="1:23" ht="24.95" customHeight="1" x14ac:dyDescent="0.2">
      <c r="A78" s="176">
        <v>14</v>
      </c>
      <c r="B78" s="314" t="s">
        <v>490</v>
      </c>
      <c r="C78" s="26" t="s">
        <v>491</v>
      </c>
      <c r="D78" s="181">
        <f>46.605</f>
        <v>46.604999999999997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>
        <f t="shared" si="16"/>
        <v>46.604999999999997</v>
      </c>
      <c r="P78" s="145"/>
      <c r="Q78" s="145"/>
      <c r="R78" s="145"/>
      <c r="S78" s="145"/>
      <c r="T78" s="145"/>
      <c r="U78" s="181">
        <f t="shared" si="17"/>
        <v>0</v>
      </c>
      <c r="V78" s="493"/>
      <c r="W78" s="494">
        <f t="shared" si="13"/>
        <v>46.604999999999997</v>
      </c>
    </row>
    <row r="79" spans="1:23" ht="24.95" customHeight="1" x14ac:dyDescent="0.2">
      <c r="A79" s="176">
        <v>15</v>
      </c>
      <c r="B79" s="314" t="s">
        <v>535</v>
      </c>
      <c r="C79" s="26" t="s">
        <v>536</v>
      </c>
      <c r="D79" s="181">
        <v>8208.9840000000004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>
        <f t="shared" si="16"/>
        <v>8208.9840000000004</v>
      </c>
      <c r="P79" s="145"/>
      <c r="Q79" s="145"/>
      <c r="R79" s="145"/>
      <c r="S79" s="145"/>
      <c r="T79" s="145"/>
      <c r="U79" s="181">
        <f t="shared" ref="U79" si="20">SUM(Q79:T79)</f>
        <v>0</v>
      </c>
      <c r="V79" s="493"/>
      <c r="W79" s="494">
        <f t="shared" ref="W79:W80" si="21">O79+U79</f>
        <v>8208.9840000000004</v>
      </c>
    </row>
    <row r="80" spans="1:23" ht="24.95" customHeight="1" x14ac:dyDescent="0.2">
      <c r="A80" s="176">
        <v>16</v>
      </c>
      <c r="B80" s="313" t="s">
        <v>498</v>
      </c>
      <c r="C80" s="26" t="s">
        <v>499</v>
      </c>
      <c r="D80" s="181"/>
      <c r="E80" s="181"/>
      <c r="F80" s="181"/>
      <c r="G80" s="181"/>
      <c r="H80" s="181">
        <f>60</f>
        <v>60</v>
      </c>
      <c r="I80" s="181"/>
      <c r="J80" s="181"/>
      <c r="K80" s="181"/>
      <c r="L80" s="181"/>
      <c r="M80" s="181"/>
      <c r="N80" s="181"/>
      <c r="O80" s="181">
        <f t="shared" si="16"/>
        <v>60</v>
      </c>
      <c r="P80" s="145"/>
      <c r="Q80" s="145"/>
      <c r="R80" s="145"/>
      <c r="S80" s="145"/>
      <c r="T80" s="145"/>
      <c r="U80" s="181">
        <f t="shared" si="17"/>
        <v>0</v>
      </c>
      <c r="V80" s="493"/>
      <c r="W80" s="494">
        <f t="shared" si="21"/>
        <v>60</v>
      </c>
    </row>
    <row r="81" spans="1:23" ht="33.75" customHeight="1" x14ac:dyDescent="0.2">
      <c r="A81" s="176">
        <v>17</v>
      </c>
      <c r="B81" s="28" t="s">
        <v>502</v>
      </c>
      <c r="C81" s="26" t="s">
        <v>503</v>
      </c>
      <c r="D81" s="181"/>
      <c r="E81" s="181"/>
      <c r="F81" s="181"/>
      <c r="G81" s="181"/>
      <c r="H81" s="181">
        <f>2835+765</f>
        <v>3600</v>
      </c>
      <c r="I81" s="181"/>
      <c r="J81" s="181"/>
      <c r="K81" s="181"/>
      <c r="L81" s="181"/>
      <c r="M81" s="181"/>
      <c r="N81" s="181"/>
      <c r="O81" s="181">
        <f t="shared" si="16"/>
        <v>3600</v>
      </c>
      <c r="P81" s="145"/>
      <c r="Q81" s="145"/>
      <c r="R81" s="145"/>
      <c r="S81" s="145"/>
      <c r="T81" s="145"/>
      <c r="U81" s="181">
        <f t="shared" si="17"/>
        <v>0</v>
      </c>
      <c r="V81" s="493"/>
      <c r="W81" s="494">
        <f t="shared" si="13"/>
        <v>3600</v>
      </c>
    </row>
    <row r="82" spans="1:23" ht="24.95" customHeight="1" x14ac:dyDescent="0.2">
      <c r="A82" s="176">
        <v>18</v>
      </c>
      <c r="B82" s="29" t="s">
        <v>508</v>
      </c>
      <c r="C82" s="26" t="s">
        <v>509</v>
      </c>
      <c r="D82" s="181"/>
      <c r="E82" s="181">
        <f>4391.309</f>
        <v>4391.3090000000002</v>
      </c>
      <c r="F82" s="181"/>
      <c r="G82" s="181"/>
      <c r="H82" s="181"/>
      <c r="I82" s="181"/>
      <c r="J82" s="181"/>
      <c r="K82" s="181"/>
      <c r="L82" s="181"/>
      <c r="M82" s="181"/>
      <c r="N82" s="181"/>
      <c r="O82" s="181">
        <f t="shared" si="16"/>
        <v>4391.3090000000002</v>
      </c>
      <c r="P82" s="145"/>
      <c r="Q82" s="145"/>
      <c r="R82" s="145"/>
      <c r="S82" s="145"/>
      <c r="T82" s="145"/>
      <c r="U82" s="181">
        <f t="shared" si="17"/>
        <v>0</v>
      </c>
      <c r="V82" s="493"/>
      <c r="W82" s="494">
        <f t="shared" si="13"/>
        <v>4391.3090000000002</v>
      </c>
    </row>
    <row r="83" spans="1:23" ht="24.95" customHeight="1" x14ac:dyDescent="0.2">
      <c r="A83" s="176">
        <v>19</v>
      </c>
      <c r="B83" s="29" t="s">
        <v>515</v>
      </c>
      <c r="C83" s="38" t="s">
        <v>516</v>
      </c>
      <c r="D83" s="181"/>
      <c r="E83" s="181"/>
      <c r="F83" s="181"/>
      <c r="G83" s="181"/>
      <c r="H83" s="181">
        <v>10</v>
      </c>
      <c r="I83" s="181"/>
      <c r="J83" s="181"/>
      <c r="K83" s="181"/>
      <c r="L83" s="181"/>
      <c r="M83" s="181"/>
      <c r="N83" s="181"/>
      <c r="O83" s="181">
        <f t="shared" si="16"/>
        <v>10</v>
      </c>
      <c r="P83" s="145"/>
      <c r="Q83" s="145"/>
      <c r="R83" s="145"/>
      <c r="S83" s="145"/>
      <c r="T83" s="145"/>
      <c r="U83" s="181">
        <f t="shared" si="17"/>
        <v>0</v>
      </c>
      <c r="V83" s="493"/>
      <c r="W83" s="494">
        <f t="shared" si="13"/>
        <v>10</v>
      </c>
    </row>
    <row r="84" spans="1:23" ht="24.95" customHeight="1" x14ac:dyDescent="0.2">
      <c r="A84" s="176">
        <v>20</v>
      </c>
      <c r="B84" s="29" t="s">
        <v>556</v>
      </c>
      <c r="C84" s="38" t="s">
        <v>557</v>
      </c>
      <c r="D84" s="181"/>
      <c r="E84" s="181"/>
      <c r="F84" s="181"/>
      <c r="G84" s="181"/>
      <c r="H84" s="181">
        <v>6205</v>
      </c>
      <c r="I84" s="181"/>
      <c r="J84" s="181"/>
      <c r="K84" s="181"/>
      <c r="L84" s="181"/>
      <c r="M84" s="181"/>
      <c r="N84" s="181"/>
      <c r="O84" s="181">
        <f t="shared" si="16"/>
        <v>6205</v>
      </c>
      <c r="P84" s="145"/>
      <c r="Q84" s="145"/>
      <c r="R84" s="145"/>
      <c r="S84" s="145"/>
      <c r="T84" s="145"/>
      <c r="U84" s="181">
        <f t="shared" si="17"/>
        <v>0</v>
      </c>
      <c r="V84" s="493"/>
      <c r="W84" s="494">
        <f t="shared" si="13"/>
        <v>6205</v>
      </c>
    </row>
    <row r="85" spans="1:23" ht="24.95" customHeight="1" x14ac:dyDescent="0.2">
      <c r="A85" s="176">
        <v>21</v>
      </c>
      <c r="B85" s="29" t="s">
        <v>562</v>
      </c>
      <c r="C85" s="38" t="s">
        <v>363</v>
      </c>
      <c r="D85" s="181"/>
      <c r="E85" s="181"/>
      <c r="F85" s="181"/>
      <c r="G85" s="181"/>
      <c r="H85" s="181">
        <f>5404+1459+274+74</f>
        <v>7211</v>
      </c>
      <c r="I85" s="181"/>
      <c r="J85" s="181"/>
      <c r="K85" s="181"/>
      <c r="L85" s="181"/>
      <c r="M85" s="181"/>
      <c r="N85" s="181"/>
      <c r="O85" s="181">
        <f t="shared" si="16"/>
        <v>7211</v>
      </c>
      <c r="P85" s="145"/>
      <c r="Q85" s="145"/>
      <c r="R85" s="145"/>
      <c r="S85" s="145"/>
      <c r="T85" s="145"/>
      <c r="U85" s="181">
        <f t="shared" si="17"/>
        <v>0</v>
      </c>
      <c r="V85" s="493"/>
      <c r="W85" s="494">
        <f t="shared" si="13"/>
        <v>7211</v>
      </c>
    </row>
    <row r="86" spans="1:23" ht="24.95" customHeight="1" x14ac:dyDescent="0.2">
      <c r="A86" s="176">
        <v>22</v>
      </c>
      <c r="B86" s="418" t="s">
        <v>543</v>
      </c>
      <c r="C86" s="38" t="s">
        <v>542</v>
      </c>
      <c r="D86" s="181"/>
      <c r="E86" s="181"/>
      <c r="F86" s="181"/>
      <c r="G86" s="181">
        <f>100</f>
        <v>100</v>
      </c>
      <c r="H86" s="181"/>
      <c r="I86" s="181"/>
      <c r="J86" s="181"/>
      <c r="K86" s="181"/>
      <c r="L86" s="181"/>
      <c r="M86" s="181"/>
      <c r="N86" s="181"/>
      <c r="O86" s="181">
        <f t="shared" si="16"/>
        <v>100</v>
      </c>
      <c r="P86" s="145"/>
      <c r="Q86" s="145"/>
      <c r="R86" s="145"/>
      <c r="S86" s="145"/>
      <c r="T86" s="145"/>
      <c r="U86" s="181">
        <f t="shared" si="17"/>
        <v>0</v>
      </c>
      <c r="V86" s="493"/>
      <c r="W86" s="494">
        <f t="shared" si="13"/>
        <v>100</v>
      </c>
    </row>
    <row r="87" spans="1:23" ht="24.95" customHeight="1" x14ac:dyDescent="0.2">
      <c r="A87" s="176">
        <v>23</v>
      </c>
      <c r="B87" s="28" t="s">
        <v>563</v>
      </c>
      <c r="C87" s="38" t="s">
        <v>221</v>
      </c>
      <c r="D87" s="181"/>
      <c r="E87" s="181"/>
      <c r="F87" s="181"/>
      <c r="G87" s="181"/>
      <c r="H87" s="181">
        <f>1200+324</f>
        <v>1524</v>
      </c>
      <c r="I87" s="181"/>
      <c r="J87" s="181"/>
      <c r="K87" s="181"/>
      <c r="L87" s="181"/>
      <c r="M87" s="181"/>
      <c r="N87" s="181"/>
      <c r="O87" s="181">
        <f t="shared" si="16"/>
        <v>1524</v>
      </c>
      <c r="P87" s="145"/>
      <c r="Q87" s="145"/>
      <c r="R87" s="145"/>
      <c r="S87" s="145"/>
      <c r="T87" s="145"/>
      <c r="U87" s="181">
        <f t="shared" si="17"/>
        <v>0</v>
      </c>
      <c r="V87" s="493"/>
      <c r="W87" s="494">
        <f t="shared" si="13"/>
        <v>1524</v>
      </c>
    </row>
    <row r="88" spans="1:23" ht="24.95" customHeight="1" x14ac:dyDescent="0.2">
      <c r="A88" s="176">
        <v>24</v>
      </c>
      <c r="B88" s="28" t="s">
        <v>564</v>
      </c>
      <c r="C88" s="106" t="s">
        <v>363</v>
      </c>
      <c r="D88" s="181"/>
      <c r="E88" s="181"/>
      <c r="F88" s="181"/>
      <c r="G88" s="181"/>
      <c r="H88" s="181">
        <f>5276+1425+662+179</f>
        <v>7542</v>
      </c>
      <c r="I88" s="181"/>
      <c r="J88" s="181"/>
      <c r="K88" s="181"/>
      <c r="L88" s="181"/>
      <c r="M88" s="181"/>
      <c r="N88" s="181"/>
      <c r="O88" s="181">
        <f t="shared" si="16"/>
        <v>7542</v>
      </c>
      <c r="P88" s="145"/>
      <c r="Q88" s="145"/>
      <c r="R88" s="145"/>
      <c r="S88" s="145"/>
      <c r="T88" s="145"/>
      <c r="U88" s="181">
        <f t="shared" si="17"/>
        <v>0</v>
      </c>
      <c r="V88" s="493"/>
      <c r="W88" s="494">
        <f t="shared" si="13"/>
        <v>7542</v>
      </c>
    </row>
    <row r="89" spans="1:23" ht="24.95" customHeight="1" x14ac:dyDescent="0.2">
      <c r="A89" s="176">
        <v>25</v>
      </c>
      <c r="B89" s="28" t="s">
        <v>566</v>
      </c>
      <c r="C89" s="106" t="s">
        <v>625</v>
      </c>
      <c r="D89" s="181">
        <f>46.844</f>
        <v>46.844000000000001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>
        <f t="shared" si="16"/>
        <v>46.844000000000001</v>
      </c>
      <c r="P89" s="145"/>
      <c r="Q89" s="145"/>
      <c r="R89" s="145"/>
      <c r="S89" s="145"/>
      <c r="T89" s="145"/>
      <c r="U89" s="181">
        <f t="shared" si="17"/>
        <v>0</v>
      </c>
      <c r="V89" s="493"/>
      <c r="W89" s="494">
        <f t="shared" si="13"/>
        <v>46.844000000000001</v>
      </c>
    </row>
    <row r="90" spans="1:23" ht="30.75" customHeight="1" x14ac:dyDescent="0.2">
      <c r="A90" s="176">
        <v>26</v>
      </c>
      <c r="B90" s="28" t="s">
        <v>566</v>
      </c>
      <c r="C90" s="106" t="s">
        <v>626</v>
      </c>
      <c r="D90" s="181">
        <f>498.081</f>
        <v>498.08100000000002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>
        <f t="shared" si="16"/>
        <v>498.08100000000002</v>
      </c>
      <c r="P90" s="145"/>
      <c r="Q90" s="145"/>
      <c r="R90" s="145"/>
      <c r="S90" s="145"/>
      <c r="T90" s="145"/>
      <c r="U90" s="181">
        <f t="shared" si="17"/>
        <v>0</v>
      </c>
      <c r="V90" s="493"/>
      <c r="W90" s="494">
        <f t="shared" si="13"/>
        <v>498.08100000000002</v>
      </c>
    </row>
    <row r="91" spans="1:23" ht="24.95" customHeight="1" x14ac:dyDescent="0.2">
      <c r="A91" s="176">
        <v>27</v>
      </c>
      <c r="B91" s="28" t="s">
        <v>566</v>
      </c>
      <c r="C91" s="26" t="s">
        <v>576</v>
      </c>
      <c r="D91" s="181">
        <f>1101.786</f>
        <v>1101.7860000000001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>
        <f t="shared" si="16"/>
        <v>1101.7860000000001</v>
      </c>
      <c r="P91" s="145"/>
      <c r="Q91" s="145"/>
      <c r="R91" s="145"/>
      <c r="S91" s="145"/>
      <c r="T91" s="145"/>
      <c r="U91" s="181">
        <f t="shared" si="17"/>
        <v>0</v>
      </c>
      <c r="V91" s="493"/>
      <c r="W91" s="494">
        <f t="shared" si="13"/>
        <v>1101.7860000000001</v>
      </c>
    </row>
    <row r="92" spans="1:23" ht="24.95" customHeight="1" x14ac:dyDescent="0.2">
      <c r="A92" s="176">
        <v>28</v>
      </c>
      <c r="B92" s="28" t="s">
        <v>568</v>
      </c>
      <c r="C92" s="38" t="s">
        <v>577</v>
      </c>
      <c r="D92" s="181">
        <f>8094.565</f>
        <v>8094.5649999999996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>
        <f t="shared" si="16"/>
        <v>8094.5649999999996</v>
      </c>
      <c r="P92" s="145"/>
      <c r="Q92" s="145"/>
      <c r="R92" s="145"/>
      <c r="S92" s="145"/>
      <c r="T92" s="145"/>
      <c r="U92" s="181">
        <f t="shared" si="17"/>
        <v>0</v>
      </c>
      <c r="V92" s="493"/>
      <c r="W92" s="494">
        <f t="shared" si="13"/>
        <v>8094.5649999999996</v>
      </c>
    </row>
    <row r="93" spans="1:23" ht="24.95" customHeight="1" x14ac:dyDescent="0.2">
      <c r="A93" s="176">
        <v>29</v>
      </c>
      <c r="B93" s="178" t="s">
        <v>569</v>
      </c>
      <c r="C93" s="38" t="s">
        <v>570</v>
      </c>
      <c r="D93" s="181">
        <f>26065+18098+24714+2020</f>
        <v>70897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>
        <f t="shared" si="16"/>
        <v>70897</v>
      </c>
      <c r="P93" s="145"/>
      <c r="Q93" s="145"/>
      <c r="R93" s="145"/>
      <c r="S93" s="145"/>
      <c r="T93" s="145"/>
      <c r="U93" s="181">
        <f t="shared" si="17"/>
        <v>0</v>
      </c>
      <c r="V93" s="493"/>
      <c r="W93" s="494">
        <f t="shared" si="13"/>
        <v>70897</v>
      </c>
    </row>
    <row r="94" spans="1:23" ht="24.95" customHeight="1" x14ac:dyDescent="0.2">
      <c r="A94" s="176">
        <v>30</v>
      </c>
      <c r="B94" s="178" t="s">
        <v>632</v>
      </c>
      <c r="C94" s="38" t="s">
        <v>633</v>
      </c>
      <c r="D94" s="181"/>
      <c r="E94" s="181"/>
      <c r="F94" s="181">
        <f>469.5</f>
        <v>469.5</v>
      </c>
      <c r="G94" s="181"/>
      <c r="H94" s="181"/>
      <c r="I94" s="181"/>
      <c r="J94" s="181"/>
      <c r="K94" s="181"/>
      <c r="L94" s="181"/>
      <c r="M94" s="181"/>
      <c r="N94" s="181"/>
      <c r="O94" s="181">
        <f t="shared" si="16"/>
        <v>469.5</v>
      </c>
      <c r="P94" s="145"/>
      <c r="Q94" s="145"/>
      <c r="R94" s="145"/>
      <c r="S94" s="145"/>
      <c r="T94" s="145"/>
      <c r="U94" s="181">
        <f t="shared" si="17"/>
        <v>0</v>
      </c>
      <c r="V94" s="493"/>
      <c r="W94" s="494">
        <f t="shared" si="13"/>
        <v>469.5</v>
      </c>
    </row>
    <row r="95" spans="1:23" ht="24.95" customHeight="1" x14ac:dyDescent="0.2">
      <c r="A95" s="176">
        <v>31</v>
      </c>
      <c r="B95" s="28" t="s">
        <v>623</v>
      </c>
      <c r="C95" s="38" t="s">
        <v>267</v>
      </c>
      <c r="D95" s="181"/>
      <c r="E95" s="181"/>
      <c r="F95" s="181"/>
      <c r="G95" s="181"/>
      <c r="H95" s="181">
        <f>3</f>
        <v>3</v>
      </c>
      <c r="I95" s="181"/>
      <c r="J95" s="181"/>
      <c r="K95" s="181"/>
      <c r="L95" s="181"/>
      <c r="M95" s="181"/>
      <c r="N95" s="181"/>
      <c r="O95" s="181">
        <f t="shared" si="16"/>
        <v>3</v>
      </c>
      <c r="P95" s="145"/>
      <c r="Q95" s="145"/>
      <c r="R95" s="145"/>
      <c r="S95" s="145"/>
      <c r="T95" s="145"/>
      <c r="U95" s="181">
        <f t="shared" si="17"/>
        <v>0</v>
      </c>
      <c r="V95" s="493"/>
      <c r="W95" s="494">
        <f t="shared" si="13"/>
        <v>3</v>
      </c>
    </row>
    <row r="96" spans="1:23" ht="30.75" customHeight="1" x14ac:dyDescent="0.2">
      <c r="A96" s="176">
        <v>32</v>
      </c>
      <c r="B96" s="28" t="s">
        <v>624</v>
      </c>
      <c r="C96" s="106" t="s">
        <v>627</v>
      </c>
      <c r="D96" s="181">
        <v>486.45499999999998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>
        <f t="shared" si="16"/>
        <v>486.45499999999998</v>
      </c>
      <c r="P96" s="145"/>
      <c r="Q96" s="145"/>
      <c r="R96" s="145"/>
      <c r="S96" s="145"/>
      <c r="T96" s="145"/>
      <c r="U96" s="181">
        <f t="shared" si="17"/>
        <v>0</v>
      </c>
      <c r="V96" s="493"/>
      <c r="W96" s="494">
        <f t="shared" si="13"/>
        <v>486.45499999999998</v>
      </c>
    </row>
    <row r="97" spans="1:23" ht="30.75" customHeight="1" x14ac:dyDescent="0.2">
      <c r="A97" s="176">
        <v>33</v>
      </c>
      <c r="B97" s="28" t="s">
        <v>624</v>
      </c>
      <c r="C97" s="106" t="s">
        <v>629</v>
      </c>
      <c r="D97" s="181">
        <f>1174.061</f>
        <v>1174.0609999999999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>
        <f t="shared" si="16"/>
        <v>1174.0609999999999</v>
      </c>
      <c r="P97" s="145"/>
      <c r="Q97" s="145"/>
      <c r="R97" s="145"/>
      <c r="S97" s="145"/>
      <c r="T97" s="145"/>
      <c r="U97" s="181">
        <f t="shared" si="17"/>
        <v>0</v>
      </c>
      <c r="V97" s="493"/>
      <c r="W97" s="494">
        <f t="shared" si="13"/>
        <v>1174.0609999999999</v>
      </c>
    </row>
    <row r="98" spans="1:23" ht="30.75" customHeight="1" x14ac:dyDescent="0.2">
      <c r="A98" s="444"/>
      <c r="B98" s="86"/>
      <c r="C98" s="445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47"/>
      <c r="Q98" s="147"/>
      <c r="R98" s="147"/>
      <c r="S98" s="147"/>
      <c r="T98" s="147"/>
      <c r="U98" s="199"/>
      <c r="V98" s="495"/>
      <c r="W98" s="496"/>
    </row>
    <row r="99" spans="1:23" ht="30.75" customHeight="1" x14ac:dyDescent="0.2">
      <c r="A99" s="176"/>
      <c r="B99" s="72"/>
      <c r="C99" s="106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45"/>
      <c r="Q99" s="145"/>
      <c r="R99" s="145"/>
      <c r="S99" s="145"/>
      <c r="T99" s="145"/>
      <c r="U99" s="181"/>
      <c r="V99" s="493"/>
      <c r="W99" s="494"/>
    </row>
    <row r="100" spans="1:23" ht="30.75" customHeight="1" x14ac:dyDescent="0.2">
      <c r="A100" s="176">
        <v>34</v>
      </c>
      <c r="B100" s="28" t="s">
        <v>624</v>
      </c>
      <c r="C100" s="106" t="s">
        <v>635</v>
      </c>
      <c r="D100" s="181">
        <v>47.116999999999997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>
        <f t="shared" si="16"/>
        <v>47.116999999999997</v>
      </c>
      <c r="P100" s="145"/>
      <c r="Q100" s="145"/>
      <c r="R100" s="145"/>
      <c r="S100" s="145"/>
      <c r="T100" s="145"/>
      <c r="U100" s="181">
        <f t="shared" si="17"/>
        <v>0</v>
      </c>
      <c r="V100" s="493"/>
      <c r="W100" s="494">
        <f t="shared" si="13"/>
        <v>47.116999999999997</v>
      </c>
    </row>
    <row r="101" spans="1:23" ht="30.75" customHeight="1" x14ac:dyDescent="0.2">
      <c r="A101" s="176">
        <v>35</v>
      </c>
      <c r="B101" s="178" t="s">
        <v>630</v>
      </c>
      <c r="C101" s="106" t="s">
        <v>631</v>
      </c>
      <c r="D101" s="181">
        <f>7950.727</f>
        <v>7950.7269999999999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>
        <f t="shared" si="16"/>
        <v>7950.7269999999999</v>
      </c>
      <c r="P101" s="145"/>
      <c r="Q101" s="145"/>
      <c r="R101" s="145"/>
      <c r="S101" s="145"/>
      <c r="T101" s="145"/>
      <c r="U101" s="181">
        <f t="shared" si="17"/>
        <v>0</v>
      </c>
      <c r="V101" s="493"/>
      <c r="W101" s="494">
        <f t="shared" si="13"/>
        <v>7950.7269999999999</v>
      </c>
    </row>
    <row r="102" spans="1:23" ht="24.95" customHeight="1" x14ac:dyDescent="0.2">
      <c r="A102" s="176">
        <v>36</v>
      </c>
      <c r="B102" s="150" t="s">
        <v>638</v>
      </c>
      <c r="C102" s="38" t="s">
        <v>221</v>
      </c>
      <c r="D102" s="181"/>
      <c r="E102" s="181"/>
      <c r="F102" s="181"/>
      <c r="G102" s="181"/>
      <c r="H102" s="181">
        <f>2400+648</f>
        <v>3048</v>
      </c>
      <c r="I102" s="181"/>
      <c r="J102" s="181"/>
      <c r="K102" s="181"/>
      <c r="L102" s="181"/>
      <c r="M102" s="181"/>
      <c r="N102" s="181"/>
      <c r="O102" s="181">
        <f t="shared" si="16"/>
        <v>3048</v>
      </c>
      <c r="P102" s="145"/>
      <c r="Q102" s="145"/>
      <c r="R102" s="145"/>
      <c r="S102" s="145"/>
      <c r="T102" s="145"/>
      <c r="U102" s="181">
        <f t="shared" si="17"/>
        <v>0</v>
      </c>
      <c r="V102" s="493"/>
      <c r="W102" s="494">
        <f t="shared" si="13"/>
        <v>3048</v>
      </c>
    </row>
    <row r="103" spans="1:23" ht="24.95" customHeight="1" x14ac:dyDescent="0.2">
      <c r="A103" s="176">
        <v>37</v>
      </c>
      <c r="B103" s="150" t="s">
        <v>648</v>
      </c>
      <c r="C103" s="38" t="s">
        <v>363</v>
      </c>
      <c r="D103" s="181"/>
      <c r="E103" s="181"/>
      <c r="F103" s="181"/>
      <c r="G103" s="181"/>
      <c r="H103" s="181">
        <f>5276+1425+662+179</f>
        <v>7542</v>
      </c>
      <c r="I103" s="181"/>
      <c r="J103" s="181"/>
      <c r="K103" s="181"/>
      <c r="L103" s="181"/>
      <c r="M103" s="181"/>
      <c r="N103" s="181"/>
      <c r="O103" s="181">
        <f t="shared" si="16"/>
        <v>7542</v>
      </c>
      <c r="P103" s="145"/>
      <c r="Q103" s="145"/>
      <c r="R103" s="145"/>
      <c r="S103" s="145"/>
      <c r="T103" s="145"/>
      <c r="U103" s="181">
        <f t="shared" si="17"/>
        <v>0</v>
      </c>
      <c r="V103" s="493"/>
      <c r="W103" s="494">
        <f t="shared" si="13"/>
        <v>7542</v>
      </c>
    </row>
    <row r="104" spans="1:23" ht="24.95" customHeight="1" x14ac:dyDescent="0.2">
      <c r="A104" s="176">
        <v>38</v>
      </c>
      <c r="B104" s="105" t="s">
        <v>652</v>
      </c>
      <c r="C104" s="38" t="s">
        <v>651</v>
      </c>
      <c r="D104" s="181"/>
      <c r="E104" s="181"/>
      <c r="F104" s="181"/>
      <c r="G104" s="181"/>
      <c r="H104" s="181"/>
      <c r="I104" s="181">
        <f>9803.388</f>
        <v>9803.3880000000008</v>
      </c>
      <c r="J104" s="181"/>
      <c r="K104" s="181"/>
      <c r="L104" s="181"/>
      <c r="M104" s="181"/>
      <c r="N104" s="181"/>
      <c r="O104" s="181">
        <f t="shared" si="16"/>
        <v>9803.3880000000008</v>
      </c>
      <c r="P104" s="145"/>
      <c r="Q104" s="145"/>
      <c r="R104" s="145"/>
      <c r="S104" s="145"/>
      <c r="T104" s="145"/>
      <c r="U104" s="181">
        <f t="shared" si="17"/>
        <v>0</v>
      </c>
      <c r="V104" s="493"/>
      <c r="W104" s="494">
        <f t="shared" si="13"/>
        <v>9803.3880000000008</v>
      </c>
    </row>
    <row r="105" spans="1:23" ht="24.95" customHeight="1" x14ac:dyDescent="0.2">
      <c r="A105" s="176">
        <v>39</v>
      </c>
      <c r="B105" s="105" t="s">
        <v>653</v>
      </c>
      <c r="C105" s="38" t="s">
        <v>363</v>
      </c>
      <c r="D105" s="181"/>
      <c r="E105" s="181"/>
      <c r="F105" s="181"/>
      <c r="G105" s="181"/>
      <c r="H105" s="181">
        <f>5404+1459+274+74</f>
        <v>7211</v>
      </c>
      <c r="I105" s="181"/>
      <c r="J105" s="181"/>
      <c r="K105" s="181"/>
      <c r="L105" s="181"/>
      <c r="M105" s="181"/>
      <c r="N105" s="181"/>
      <c r="O105" s="181">
        <f t="shared" si="16"/>
        <v>7211</v>
      </c>
      <c r="P105" s="145"/>
      <c r="Q105" s="145"/>
      <c r="R105" s="145"/>
      <c r="S105" s="145"/>
      <c r="T105" s="145"/>
      <c r="U105" s="181">
        <f t="shared" si="17"/>
        <v>0</v>
      </c>
      <c r="V105" s="493"/>
      <c r="W105" s="494">
        <f t="shared" si="13"/>
        <v>7211</v>
      </c>
    </row>
    <row r="106" spans="1:23" ht="24.95" customHeight="1" x14ac:dyDescent="0.2">
      <c r="A106" s="176">
        <v>40</v>
      </c>
      <c r="B106" s="429" t="s">
        <v>654</v>
      </c>
      <c r="C106" s="38" t="s">
        <v>363</v>
      </c>
      <c r="D106" s="181"/>
      <c r="E106" s="181"/>
      <c r="F106" s="181"/>
      <c r="G106" s="181"/>
      <c r="H106" s="181">
        <f>2105+568+178+48</f>
        <v>2899</v>
      </c>
      <c r="I106" s="181"/>
      <c r="J106" s="181"/>
      <c r="K106" s="181"/>
      <c r="L106" s="181"/>
      <c r="M106" s="181"/>
      <c r="N106" s="181"/>
      <c r="O106" s="181">
        <f t="shared" si="16"/>
        <v>2899</v>
      </c>
      <c r="P106" s="145"/>
      <c r="Q106" s="145"/>
      <c r="R106" s="145"/>
      <c r="S106" s="145"/>
      <c r="T106" s="145"/>
      <c r="U106" s="181">
        <f t="shared" si="17"/>
        <v>0</v>
      </c>
      <c r="V106" s="493"/>
      <c r="W106" s="494">
        <f t="shared" si="13"/>
        <v>2899</v>
      </c>
    </row>
    <row r="107" spans="1:23" ht="24.95" customHeight="1" x14ac:dyDescent="0.2">
      <c r="A107" s="176">
        <v>41</v>
      </c>
      <c r="B107" s="105" t="s">
        <v>672</v>
      </c>
      <c r="C107" s="38" t="s">
        <v>673</v>
      </c>
      <c r="D107" s="181"/>
      <c r="E107" s="181"/>
      <c r="F107" s="181"/>
      <c r="G107" s="181"/>
      <c r="H107" s="181">
        <f>4</f>
        <v>4</v>
      </c>
      <c r="I107" s="181"/>
      <c r="J107" s="181"/>
      <c r="K107" s="181"/>
      <c r="L107" s="181"/>
      <c r="M107" s="181"/>
      <c r="N107" s="181"/>
      <c r="O107" s="181">
        <f t="shared" si="16"/>
        <v>4</v>
      </c>
      <c r="P107" s="145"/>
      <c r="Q107" s="145"/>
      <c r="R107" s="145"/>
      <c r="S107" s="145"/>
      <c r="T107" s="145"/>
      <c r="U107" s="181">
        <f t="shared" si="17"/>
        <v>0</v>
      </c>
      <c r="V107" s="493"/>
      <c r="W107" s="494">
        <f t="shared" si="13"/>
        <v>4</v>
      </c>
    </row>
    <row r="108" spans="1:23" ht="24.95" customHeight="1" x14ac:dyDescent="0.2">
      <c r="A108" s="176">
        <v>42</v>
      </c>
      <c r="B108" s="105" t="s">
        <v>686</v>
      </c>
      <c r="C108" s="38" t="s">
        <v>687</v>
      </c>
      <c r="D108" s="181">
        <f>47.117</f>
        <v>47.116999999999997</v>
      </c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>
        <f t="shared" si="16"/>
        <v>47.116999999999997</v>
      </c>
      <c r="P108" s="145"/>
      <c r="Q108" s="145"/>
      <c r="R108" s="145"/>
      <c r="S108" s="145"/>
      <c r="T108" s="145"/>
      <c r="U108" s="181">
        <f t="shared" si="17"/>
        <v>0</v>
      </c>
      <c r="V108" s="493"/>
      <c r="W108" s="494">
        <f t="shared" si="13"/>
        <v>47.116999999999997</v>
      </c>
    </row>
    <row r="109" spans="1:23" ht="33" customHeight="1" x14ac:dyDescent="0.2">
      <c r="A109" s="176">
        <v>43</v>
      </c>
      <c r="B109" s="105" t="s">
        <v>686</v>
      </c>
      <c r="C109" s="38" t="s">
        <v>693</v>
      </c>
      <c r="D109" s="181">
        <f>483.513</f>
        <v>483.51299999999998</v>
      </c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>
        <f t="shared" si="16"/>
        <v>483.51299999999998</v>
      </c>
      <c r="P109" s="145"/>
      <c r="Q109" s="145"/>
      <c r="R109" s="145"/>
      <c r="S109" s="145"/>
      <c r="T109" s="145"/>
      <c r="U109" s="181">
        <f t="shared" si="17"/>
        <v>0</v>
      </c>
      <c r="V109" s="493"/>
      <c r="W109" s="494">
        <f t="shared" si="13"/>
        <v>483.51299999999998</v>
      </c>
    </row>
    <row r="110" spans="1:23" ht="33" customHeight="1" x14ac:dyDescent="0.2">
      <c r="A110" s="176">
        <v>44</v>
      </c>
      <c r="B110" s="105" t="s">
        <v>686</v>
      </c>
      <c r="C110" s="38" t="s">
        <v>694</v>
      </c>
      <c r="D110" s="181">
        <f>1174.293</f>
        <v>1174.2929999999999</v>
      </c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>
        <f t="shared" si="16"/>
        <v>1174.2929999999999</v>
      </c>
      <c r="P110" s="145"/>
      <c r="Q110" s="145"/>
      <c r="R110" s="145"/>
      <c r="S110" s="145"/>
      <c r="T110" s="145"/>
      <c r="U110" s="181">
        <f t="shared" si="17"/>
        <v>0</v>
      </c>
      <c r="V110" s="493"/>
      <c r="W110" s="494">
        <f t="shared" si="13"/>
        <v>1174.2929999999999</v>
      </c>
    </row>
    <row r="111" spans="1:23" ht="33" customHeight="1" x14ac:dyDescent="0.2">
      <c r="A111" s="176">
        <v>45</v>
      </c>
      <c r="B111" s="105" t="s">
        <v>695</v>
      </c>
      <c r="C111" s="106" t="s">
        <v>696</v>
      </c>
      <c r="D111" s="181">
        <v>7969.0259999999998</v>
      </c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>
        <f t="shared" si="16"/>
        <v>7969.0259999999998</v>
      </c>
      <c r="P111" s="145"/>
      <c r="Q111" s="145"/>
      <c r="R111" s="145"/>
      <c r="S111" s="145"/>
      <c r="T111" s="145"/>
      <c r="U111" s="181">
        <f t="shared" si="17"/>
        <v>0</v>
      </c>
      <c r="V111" s="493"/>
      <c r="W111" s="494">
        <f t="shared" si="13"/>
        <v>7969.0259999999998</v>
      </c>
    </row>
    <row r="112" spans="1:23" ht="24.95" customHeight="1" x14ac:dyDescent="0.2">
      <c r="A112" s="176">
        <v>46</v>
      </c>
      <c r="B112" s="105" t="s">
        <v>689</v>
      </c>
      <c r="C112" s="38" t="s">
        <v>690</v>
      </c>
      <c r="D112" s="181">
        <f>136.68</f>
        <v>136.68</v>
      </c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>
        <f t="shared" si="16"/>
        <v>136.68</v>
      </c>
      <c r="P112" s="145"/>
      <c r="Q112" s="145"/>
      <c r="R112" s="145"/>
      <c r="S112" s="145"/>
      <c r="T112" s="145"/>
      <c r="U112" s="181">
        <f t="shared" si="17"/>
        <v>0</v>
      </c>
      <c r="V112" s="493"/>
      <c r="W112" s="494">
        <f t="shared" si="13"/>
        <v>136.68</v>
      </c>
    </row>
    <row r="113" spans="1:23" ht="24.95" customHeight="1" x14ac:dyDescent="0.2">
      <c r="A113" s="176">
        <v>47</v>
      </c>
      <c r="B113" s="150" t="s">
        <v>691</v>
      </c>
      <c r="C113" s="38" t="s">
        <v>692</v>
      </c>
      <c r="D113" s="181"/>
      <c r="E113" s="181"/>
      <c r="F113" s="181"/>
      <c r="G113" s="181"/>
      <c r="H113" s="181">
        <f>355</f>
        <v>355</v>
      </c>
      <c r="I113" s="181"/>
      <c r="J113" s="181"/>
      <c r="K113" s="181"/>
      <c r="L113" s="181"/>
      <c r="M113" s="181"/>
      <c r="N113" s="181"/>
      <c r="O113" s="181">
        <f t="shared" si="16"/>
        <v>355</v>
      </c>
      <c r="P113" s="145"/>
      <c r="Q113" s="145"/>
      <c r="R113" s="145"/>
      <c r="S113" s="145"/>
      <c r="T113" s="145"/>
      <c r="U113" s="181">
        <f t="shared" si="17"/>
        <v>0</v>
      </c>
      <c r="V113" s="493"/>
      <c r="W113" s="494">
        <f t="shared" si="13"/>
        <v>355</v>
      </c>
    </row>
    <row r="114" spans="1:23" ht="24.95" customHeight="1" x14ac:dyDescent="0.2">
      <c r="A114" s="176">
        <v>48</v>
      </c>
      <c r="B114" s="150" t="s">
        <v>709</v>
      </c>
      <c r="C114" s="38" t="s">
        <v>710</v>
      </c>
      <c r="D114" s="181"/>
      <c r="E114" s="181"/>
      <c r="F114" s="181">
        <f>2418.8</f>
        <v>2418.8000000000002</v>
      </c>
      <c r="G114" s="181"/>
      <c r="H114" s="181"/>
      <c r="I114" s="181"/>
      <c r="J114" s="181"/>
      <c r="K114" s="181"/>
      <c r="L114" s="181"/>
      <c r="M114" s="181"/>
      <c r="N114" s="181"/>
      <c r="O114" s="181">
        <f t="shared" si="16"/>
        <v>2418.8000000000002</v>
      </c>
      <c r="P114" s="145"/>
      <c r="Q114" s="145"/>
      <c r="R114" s="145"/>
      <c r="S114" s="145"/>
      <c r="T114" s="145"/>
      <c r="U114" s="181">
        <f t="shared" si="17"/>
        <v>0</v>
      </c>
      <c r="V114" s="493"/>
      <c r="W114" s="494">
        <f t="shared" si="13"/>
        <v>2418.8000000000002</v>
      </c>
    </row>
    <row r="115" spans="1:23" ht="24.95" customHeight="1" x14ac:dyDescent="0.2">
      <c r="A115" s="176">
        <v>49</v>
      </c>
      <c r="B115" s="105" t="s">
        <v>733</v>
      </c>
      <c r="C115" s="38" t="s">
        <v>734</v>
      </c>
      <c r="D115" s="181"/>
      <c r="E115" s="181"/>
      <c r="F115" s="181"/>
      <c r="G115" s="181"/>
      <c r="H115" s="181">
        <f>39+11</f>
        <v>50</v>
      </c>
      <c r="I115" s="181"/>
      <c r="J115" s="181"/>
      <c r="K115" s="181"/>
      <c r="L115" s="181"/>
      <c r="M115" s="181"/>
      <c r="N115" s="181"/>
      <c r="O115" s="181">
        <f t="shared" si="16"/>
        <v>50</v>
      </c>
      <c r="P115" s="145"/>
      <c r="Q115" s="145"/>
      <c r="R115" s="145"/>
      <c r="S115" s="145"/>
      <c r="T115" s="145"/>
      <c r="U115" s="181">
        <f t="shared" si="17"/>
        <v>0</v>
      </c>
      <c r="V115" s="493"/>
      <c r="W115" s="494">
        <f t="shared" si="13"/>
        <v>50</v>
      </c>
    </row>
    <row r="116" spans="1:23" ht="24.95" customHeight="1" x14ac:dyDescent="0.2">
      <c r="A116" s="176">
        <v>50</v>
      </c>
      <c r="B116" s="105" t="s">
        <v>735</v>
      </c>
      <c r="C116" s="38" t="s">
        <v>736</v>
      </c>
      <c r="D116" s="181">
        <v>47.118000000000002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>
        <f t="shared" si="16"/>
        <v>47.118000000000002</v>
      </c>
      <c r="P116" s="145"/>
      <c r="Q116" s="145"/>
      <c r="R116" s="145"/>
      <c r="S116" s="145"/>
      <c r="T116" s="145"/>
      <c r="U116" s="181">
        <f t="shared" si="17"/>
        <v>0</v>
      </c>
      <c r="V116" s="493"/>
      <c r="W116" s="494">
        <f t="shared" si="13"/>
        <v>47.118000000000002</v>
      </c>
    </row>
    <row r="117" spans="1:23" ht="33.75" customHeight="1" x14ac:dyDescent="0.2">
      <c r="A117" s="176">
        <v>51</v>
      </c>
      <c r="B117" s="105" t="s">
        <v>735</v>
      </c>
      <c r="C117" s="38" t="s">
        <v>741</v>
      </c>
      <c r="D117" s="181">
        <v>481.517</v>
      </c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>
        <f t="shared" si="16"/>
        <v>481.517</v>
      </c>
      <c r="P117" s="145"/>
      <c r="Q117" s="145"/>
      <c r="R117" s="145"/>
      <c r="S117" s="145"/>
      <c r="T117" s="145"/>
      <c r="U117" s="181">
        <f t="shared" si="17"/>
        <v>0</v>
      </c>
      <c r="V117" s="493"/>
      <c r="W117" s="494">
        <f t="shared" si="13"/>
        <v>481.517</v>
      </c>
    </row>
    <row r="118" spans="1:23" ht="33" customHeight="1" x14ac:dyDescent="0.2">
      <c r="A118" s="176">
        <v>52</v>
      </c>
      <c r="B118" s="105" t="s">
        <v>735</v>
      </c>
      <c r="C118" s="38" t="s">
        <v>742</v>
      </c>
      <c r="D118" s="181">
        <v>1146.922</v>
      </c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>
        <f t="shared" si="16"/>
        <v>1146.922</v>
      </c>
      <c r="P118" s="145"/>
      <c r="Q118" s="145"/>
      <c r="R118" s="145"/>
      <c r="S118" s="145"/>
      <c r="T118" s="145"/>
      <c r="U118" s="181">
        <f t="shared" si="17"/>
        <v>0</v>
      </c>
      <c r="V118" s="493"/>
      <c r="W118" s="494">
        <f t="shared" si="13"/>
        <v>1146.922</v>
      </c>
    </row>
    <row r="119" spans="1:23" ht="39" customHeight="1" x14ac:dyDescent="0.2">
      <c r="A119" s="176">
        <v>53</v>
      </c>
      <c r="B119" s="150" t="s">
        <v>743</v>
      </c>
      <c r="C119" s="106" t="s">
        <v>696</v>
      </c>
      <c r="D119" s="181">
        <v>8085.9809999999998</v>
      </c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>
        <f t="shared" si="16"/>
        <v>8085.9809999999998</v>
      </c>
      <c r="P119" s="145"/>
      <c r="Q119" s="145"/>
      <c r="R119" s="145"/>
      <c r="S119" s="145"/>
      <c r="T119" s="145"/>
      <c r="U119" s="181">
        <f t="shared" si="17"/>
        <v>0</v>
      </c>
      <c r="V119" s="493"/>
      <c r="W119" s="494">
        <f t="shared" si="13"/>
        <v>8085.9809999999998</v>
      </c>
    </row>
    <row r="120" spans="1:23" ht="33" x14ac:dyDescent="0.2">
      <c r="A120" s="176">
        <v>54</v>
      </c>
      <c r="B120" s="105" t="s">
        <v>747</v>
      </c>
      <c r="C120" s="106" t="s">
        <v>748</v>
      </c>
      <c r="D120" s="181"/>
      <c r="E120" s="181"/>
      <c r="F120" s="181"/>
      <c r="G120" s="181"/>
      <c r="H120" s="181">
        <v>7540</v>
      </c>
      <c r="I120" s="181"/>
      <c r="J120" s="181"/>
      <c r="K120" s="181"/>
      <c r="L120" s="181"/>
      <c r="M120" s="181"/>
      <c r="N120" s="181"/>
      <c r="O120" s="181">
        <f t="shared" si="16"/>
        <v>7540</v>
      </c>
      <c r="P120" s="145"/>
      <c r="Q120" s="145"/>
      <c r="R120" s="145"/>
      <c r="S120" s="145"/>
      <c r="T120" s="145"/>
      <c r="U120" s="181">
        <f t="shared" si="17"/>
        <v>0</v>
      </c>
      <c r="V120" s="493"/>
      <c r="W120" s="494">
        <f t="shared" si="13"/>
        <v>7540</v>
      </c>
    </row>
    <row r="121" spans="1:23" ht="24.75" customHeight="1" x14ac:dyDescent="0.2">
      <c r="A121" s="176">
        <v>55</v>
      </c>
      <c r="B121" s="105" t="s">
        <v>750</v>
      </c>
      <c r="C121" s="106" t="s">
        <v>221</v>
      </c>
      <c r="D121" s="181"/>
      <c r="E121" s="181"/>
      <c r="F121" s="181"/>
      <c r="G121" s="181"/>
      <c r="H121" s="181">
        <v>1016</v>
      </c>
      <c r="I121" s="181"/>
      <c r="J121" s="181"/>
      <c r="K121" s="181"/>
      <c r="L121" s="181"/>
      <c r="M121" s="181"/>
      <c r="N121" s="181"/>
      <c r="O121" s="181">
        <f t="shared" si="16"/>
        <v>1016</v>
      </c>
      <c r="P121" s="145"/>
      <c r="Q121" s="145"/>
      <c r="R121" s="145"/>
      <c r="S121" s="145"/>
      <c r="T121" s="145"/>
      <c r="U121" s="181">
        <f t="shared" si="17"/>
        <v>0</v>
      </c>
      <c r="V121" s="493"/>
      <c r="W121" s="494">
        <f t="shared" si="13"/>
        <v>1016</v>
      </c>
    </row>
    <row r="122" spans="1:23" ht="33" x14ac:dyDescent="0.2">
      <c r="A122" s="176">
        <v>56</v>
      </c>
      <c r="B122" s="105" t="s">
        <v>751</v>
      </c>
      <c r="C122" s="106" t="s">
        <v>752</v>
      </c>
      <c r="D122" s="181"/>
      <c r="E122" s="181"/>
      <c r="F122" s="181"/>
      <c r="G122" s="181"/>
      <c r="H122" s="181">
        <v>96</v>
      </c>
      <c r="I122" s="181"/>
      <c r="J122" s="181"/>
      <c r="K122" s="181"/>
      <c r="L122" s="181"/>
      <c r="M122" s="181"/>
      <c r="N122" s="181"/>
      <c r="O122" s="181">
        <f t="shared" si="16"/>
        <v>96</v>
      </c>
      <c r="P122" s="145"/>
      <c r="Q122" s="145"/>
      <c r="R122" s="145"/>
      <c r="S122" s="145"/>
      <c r="T122" s="145"/>
      <c r="U122" s="181">
        <f t="shared" si="17"/>
        <v>0</v>
      </c>
      <c r="V122" s="493"/>
      <c r="W122" s="494">
        <f t="shared" si="13"/>
        <v>96</v>
      </c>
    </row>
    <row r="123" spans="1:23" ht="24.75" customHeight="1" x14ac:dyDescent="0.2">
      <c r="A123" s="176">
        <v>57</v>
      </c>
      <c r="B123" s="105" t="s">
        <v>757</v>
      </c>
      <c r="C123" s="106" t="s">
        <v>431</v>
      </c>
      <c r="D123" s="181"/>
      <c r="E123" s="181"/>
      <c r="F123" s="181"/>
      <c r="G123" s="181"/>
      <c r="H123" s="181">
        <v>114</v>
      </c>
      <c r="I123" s="181"/>
      <c r="J123" s="181"/>
      <c r="K123" s="181"/>
      <c r="L123" s="181"/>
      <c r="M123" s="181"/>
      <c r="N123" s="181"/>
      <c r="O123" s="181">
        <f t="shared" si="16"/>
        <v>114</v>
      </c>
      <c r="P123" s="145"/>
      <c r="Q123" s="145"/>
      <c r="R123" s="145"/>
      <c r="S123" s="145"/>
      <c r="T123" s="145"/>
      <c r="U123" s="181">
        <f t="shared" si="17"/>
        <v>0</v>
      </c>
      <c r="V123" s="493"/>
      <c r="W123" s="494">
        <f t="shared" si="13"/>
        <v>114</v>
      </c>
    </row>
    <row r="124" spans="1:23" ht="38.25" customHeight="1" x14ac:dyDescent="0.2">
      <c r="A124" s="176">
        <v>58</v>
      </c>
      <c r="B124" s="422" t="s">
        <v>760</v>
      </c>
      <c r="C124" s="106" t="s">
        <v>748</v>
      </c>
      <c r="D124" s="181"/>
      <c r="E124" s="181"/>
      <c r="F124" s="181"/>
      <c r="G124" s="181"/>
      <c r="H124" s="181">
        <v>7210</v>
      </c>
      <c r="I124" s="181"/>
      <c r="J124" s="181"/>
      <c r="K124" s="181"/>
      <c r="L124" s="181"/>
      <c r="M124" s="181"/>
      <c r="N124" s="181"/>
      <c r="O124" s="181">
        <f t="shared" si="16"/>
        <v>7210</v>
      </c>
      <c r="P124" s="145"/>
      <c r="Q124" s="145"/>
      <c r="R124" s="145"/>
      <c r="S124" s="145"/>
      <c r="T124" s="145"/>
      <c r="U124" s="181">
        <f t="shared" si="17"/>
        <v>0</v>
      </c>
      <c r="V124" s="493"/>
      <c r="W124" s="494">
        <f t="shared" si="13"/>
        <v>7210</v>
      </c>
    </row>
    <row r="125" spans="1:23" ht="24.95" customHeight="1" thickBot="1" x14ac:dyDescent="0.25">
      <c r="A125" s="37"/>
      <c r="B125" s="86"/>
      <c r="C125" s="8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274"/>
      <c r="W125" s="269"/>
    </row>
    <row r="126" spans="1:23" ht="24.95" customHeight="1" thickTop="1" thickBot="1" x14ac:dyDescent="0.25">
      <c r="A126" s="41"/>
      <c r="B126" s="91" t="s">
        <v>127</v>
      </c>
      <c r="C126" s="40" t="s">
        <v>19</v>
      </c>
      <c r="D126" s="159">
        <f t="shared" ref="D126:O126" si="22">SUM(D65:D125)</f>
        <v>129671.96900000001</v>
      </c>
      <c r="E126" s="225">
        <f t="shared" si="22"/>
        <v>4391.3090000000002</v>
      </c>
      <c r="F126" s="159">
        <f t="shared" si="22"/>
        <v>2888.3</v>
      </c>
      <c r="G126" s="159">
        <f t="shared" si="22"/>
        <v>100</v>
      </c>
      <c r="H126" s="159">
        <f t="shared" si="22"/>
        <v>76076</v>
      </c>
      <c r="I126" s="159">
        <f t="shared" si="22"/>
        <v>9803.3880000000008</v>
      </c>
      <c r="J126" s="159">
        <f t="shared" si="22"/>
        <v>0</v>
      </c>
      <c r="K126" s="159">
        <f t="shared" si="22"/>
        <v>0</v>
      </c>
      <c r="L126" s="159">
        <f t="shared" si="22"/>
        <v>518</v>
      </c>
      <c r="M126" s="159">
        <f t="shared" si="22"/>
        <v>0</v>
      </c>
      <c r="N126" s="159">
        <f t="shared" si="22"/>
        <v>600</v>
      </c>
      <c r="O126" s="159">
        <f t="shared" si="22"/>
        <v>224048.96599999996</v>
      </c>
      <c r="P126" s="148"/>
      <c r="Q126" s="159">
        <f>SUM(Q65:Q125)</f>
        <v>0</v>
      </c>
      <c r="R126" s="159">
        <f>SUM(R65:R125)</f>
        <v>0</v>
      </c>
      <c r="S126" s="159">
        <f>SUM(S65:S125)</f>
        <v>0</v>
      </c>
      <c r="T126" s="159">
        <f>SUM(T65:T125)</f>
        <v>0</v>
      </c>
      <c r="U126" s="159">
        <f>SUM(U65:U125)</f>
        <v>0</v>
      </c>
      <c r="V126" s="211"/>
      <c r="W126" s="492">
        <f>SUM(W65:W125)</f>
        <v>224048.96599999996</v>
      </c>
    </row>
    <row r="127" spans="1:23" ht="24.95" hidden="1" customHeight="1" thickTop="1" x14ac:dyDescent="0.2">
      <c r="A127" s="37"/>
      <c r="B127" s="28"/>
      <c r="C127" s="38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>
        <f t="shared" ref="O127:O137" si="23">SUM(D127:N127)</f>
        <v>0</v>
      </c>
      <c r="P127" s="145"/>
      <c r="Q127" s="145"/>
      <c r="R127" s="145"/>
      <c r="S127" s="145"/>
      <c r="T127" s="145"/>
      <c r="U127" s="145">
        <f t="shared" ref="U127:U137" si="24">SUM(Q127:T127)</f>
        <v>0</v>
      </c>
      <c r="V127" s="273"/>
      <c r="W127" s="268">
        <f t="shared" ref="W127:W136" si="25">O127+U127</f>
        <v>0</v>
      </c>
    </row>
    <row r="128" spans="1:23" ht="24.95" hidden="1" customHeight="1" x14ac:dyDescent="0.2">
      <c r="A128" s="37"/>
      <c r="B128" s="28"/>
      <c r="C128" s="38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>
        <f t="shared" si="23"/>
        <v>0</v>
      </c>
      <c r="P128" s="145"/>
      <c r="Q128" s="145"/>
      <c r="R128" s="145"/>
      <c r="S128" s="145"/>
      <c r="T128" s="145"/>
      <c r="U128" s="145">
        <f t="shared" si="24"/>
        <v>0</v>
      </c>
      <c r="V128" s="273"/>
      <c r="W128" s="268">
        <f t="shared" si="25"/>
        <v>0</v>
      </c>
    </row>
    <row r="129" spans="1:23" ht="24.95" hidden="1" customHeight="1" x14ac:dyDescent="0.2">
      <c r="A129" s="37"/>
      <c r="B129" s="29"/>
      <c r="C129" s="38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>
        <f t="shared" si="23"/>
        <v>0</v>
      </c>
      <c r="P129" s="145"/>
      <c r="Q129" s="145"/>
      <c r="R129" s="145"/>
      <c r="S129" s="145"/>
      <c r="T129" s="145"/>
      <c r="U129" s="145">
        <f t="shared" si="24"/>
        <v>0</v>
      </c>
      <c r="V129" s="273"/>
      <c r="W129" s="268">
        <f t="shared" si="25"/>
        <v>0</v>
      </c>
    </row>
    <row r="130" spans="1:23" ht="24.95" hidden="1" customHeight="1" x14ac:dyDescent="0.2">
      <c r="A130" s="37"/>
      <c r="B130" s="29"/>
      <c r="C130" s="38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>
        <f t="shared" si="23"/>
        <v>0</v>
      </c>
      <c r="P130" s="145"/>
      <c r="Q130" s="145"/>
      <c r="R130" s="145"/>
      <c r="S130" s="145"/>
      <c r="T130" s="145"/>
      <c r="U130" s="145">
        <f t="shared" si="24"/>
        <v>0</v>
      </c>
      <c r="V130" s="273"/>
      <c r="W130" s="268">
        <f t="shared" si="25"/>
        <v>0</v>
      </c>
    </row>
    <row r="131" spans="1:23" ht="24.95" hidden="1" customHeight="1" x14ac:dyDescent="0.2">
      <c r="A131" s="37"/>
      <c r="B131" s="29"/>
      <c r="C131" s="38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>
        <f t="shared" si="23"/>
        <v>0</v>
      </c>
      <c r="P131" s="145"/>
      <c r="Q131" s="145"/>
      <c r="R131" s="145"/>
      <c r="S131" s="145"/>
      <c r="T131" s="145"/>
      <c r="U131" s="145">
        <f t="shared" si="24"/>
        <v>0</v>
      </c>
      <c r="V131" s="273"/>
      <c r="W131" s="268">
        <f t="shared" si="25"/>
        <v>0</v>
      </c>
    </row>
    <row r="132" spans="1:23" ht="24.95" hidden="1" customHeight="1" x14ac:dyDescent="0.2">
      <c r="A132" s="37"/>
      <c r="B132" s="29"/>
      <c r="C132" s="38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>
        <f t="shared" si="23"/>
        <v>0</v>
      </c>
      <c r="P132" s="145"/>
      <c r="Q132" s="145"/>
      <c r="R132" s="145"/>
      <c r="S132" s="145"/>
      <c r="T132" s="145"/>
      <c r="U132" s="145">
        <f t="shared" si="24"/>
        <v>0</v>
      </c>
      <c r="V132" s="273"/>
      <c r="W132" s="268">
        <f t="shared" si="25"/>
        <v>0</v>
      </c>
    </row>
    <row r="133" spans="1:23" ht="24.95" hidden="1" customHeight="1" x14ac:dyDescent="0.2">
      <c r="A133" s="37"/>
      <c r="B133" s="29"/>
      <c r="C133" s="38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>
        <f t="shared" si="23"/>
        <v>0</v>
      </c>
      <c r="P133" s="145"/>
      <c r="Q133" s="145"/>
      <c r="R133" s="145"/>
      <c r="S133" s="145"/>
      <c r="T133" s="145"/>
      <c r="U133" s="145">
        <f t="shared" si="24"/>
        <v>0</v>
      </c>
      <c r="V133" s="273"/>
      <c r="W133" s="268">
        <f t="shared" si="25"/>
        <v>0</v>
      </c>
    </row>
    <row r="134" spans="1:23" ht="24.95" hidden="1" customHeight="1" x14ac:dyDescent="0.2">
      <c r="A134" s="37"/>
      <c r="B134" s="28"/>
      <c r="C134" s="38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>
        <f t="shared" si="23"/>
        <v>0</v>
      </c>
      <c r="P134" s="145"/>
      <c r="Q134" s="145"/>
      <c r="R134" s="145"/>
      <c r="S134" s="145"/>
      <c r="T134" s="145"/>
      <c r="U134" s="145">
        <f t="shared" si="24"/>
        <v>0</v>
      </c>
      <c r="V134" s="273"/>
      <c r="W134" s="268">
        <f t="shared" si="25"/>
        <v>0</v>
      </c>
    </row>
    <row r="135" spans="1:23" ht="24.95" hidden="1" customHeight="1" x14ac:dyDescent="0.2">
      <c r="A135" s="37"/>
      <c r="B135" s="28"/>
      <c r="C135" s="38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>
        <f t="shared" si="23"/>
        <v>0</v>
      </c>
      <c r="P135" s="145"/>
      <c r="Q135" s="145"/>
      <c r="R135" s="145"/>
      <c r="S135" s="145"/>
      <c r="T135" s="145"/>
      <c r="U135" s="145">
        <f t="shared" si="24"/>
        <v>0</v>
      </c>
      <c r="V135" s="273"/>
      <c r="W135" s="268">
        <f t="shared" si="25"/>
        <v>0</v>
      </c>
    </row>
    <row r="136" spans="1:23" ht="24.95" hidden="1" customHeight="1" x14ac:dyDescent="0.2">
      <c r="A136" s="37"/>
      <c r="B136" s="28"/>
      <c r="C136" s="38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>
        <f t="shared" si="23"/>
        <v>0</v>
      </c>
      <c r="P136" s="145"/>
      <c r="Q136" s="145"/>
      <c r="R136" s="145"/>
      <c r="S136" s="145"/>
      <c r="T136" s="145"/>
      <c r="U136" s="145">
        <f t="shared" si="24"/>
        <v>0</v>
      </c>
      <c r="V136" s="273"/>
      <c r="W136" s="268">
        <f t="shared" si="25"/>
        <v>0</v>
      </c>
    </row>
    <row r="137" spans="1:23" ht="24.95" hidden="1" customHeight="1" thickBot="1" x14ac:dyDescent="0.25">
      <c r="A137" s="37"/>
      <c r="B137" s="29"/>
      <c r="C137" s="31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>
        <f t="shared" si="23"/>
        <v>0</v>
      </c>
      <c r="P137" s="145"/>
      <c r="Q137" s="145"/>
      <c r="R137" s="145"/>
      <c r="S137" s="145"/>
      <c r="T137" s="145"/>
      <c r="U137" s="145">
        <f t="shared" si="24"/>
        <v>0</v>
      </c>
      <c r="V137" s="273"/>
      <c r="W137" s="268"/>
    </row>
    <row r="138" spans="1:23" ht="24.95" hidden="1" customHeight="1" thickTop="1" thickBot="1" x14ac:dyDescent="0.25">
      <c r="A138" s="39"/>
      <c r="B138" s="92" t="s">
        <v>39</v>
      </c>
      <c r="C138" s="40" t="s">
        <v>19</v>
      </c>
      <c r="D138" s="148">
        <f t="shared" ref="D138:Q138" si="26">SUM(D127:D130)</f>
        <v>0</v>
      </c>
      <c r="E138" s="148">
        <f t="shared" si="26"/>
        <v>0</v>
      </c>
      <c r="F138" s="148">
        <f t="shared" si="26"/>
        <v>0</v>
      </c>
      <c r="G138" s="148">
        <f t="shared" si="26"/>
        <v>0</v>
      </c>
      <c r="H138" s="148">
        <f t="shared" si="26"/>
        <v>0</v>
      </c>
      <c r="I138" s="148">
        <f t="shared" si="26"/>
        <v>0</v>
      </c>
      <c r="J138" s="148">
        <f t="shared" si="26"/>
        <v>0</v>
      </c>
      <c r="K138" s="148">
        <f t="shared" si="26"/>
        <v>0</v>
      </c>
      <c r="L138" s="148">
        <f t="shared" si="26"/>
        <v>0</v>
      </c>
      <c r="M138" s="148">
        <f t="shared" si="26"/>
        <v>0</v>
      </c>
      <c r="N138" s="148">
        <f>SUM(N127:N130)</f>
        <v>0</v>
      </c>
      <c r="O138" s="148">
        <f t="shared" si="26"/>
        <v>0</v>
      </c>
      <c r="P138" s="148"/>
      <c r="Q138" s="148">
        <f t="shared" si="26"/>
        <v>0</v>
      </c>
      <c r="R138" s="148">
        <f>SUM(R127:R130)</f>
        <v>0</v>
      </c>
      <c r="S138" s="148"/>
      <c r="T138" s="148">
        <f>SUM(T127:T130)</f>
        <v>0</v>
      </c>
      <c r="U138" s="148">
        <f>SUM(U127:U130)</f>
        <v>0</v>
      </c>
      <c r="V138" s="151"/>
      <c r="W138" s="270">
        <f>SUM(W127:W130)</f>
        <v>0</v>
      </c>
    </row>
    <row r="139" spans="1:23" ht="24.95" customHeight="1" thickTop="1" thickBot="1" x14ac:dyDescent="0.25">
      <c r="A139" s="39"/>
      <c r="B139" s="91" t="s">
        <v>127</v>
      </c>
      <c r="C139" s="40" t="s">
        <v>103</v>
      </c>
      <c r="D139" s="159">
        <f t="shared" ref="D139:O139" si="27">D63+D126+D138</f>
        <v>2703706.2460000003</v>
      </c>
      <c r="E139" s="159">
        <f t="shared" si="27"/>
        <v>4391.3090000000002</v>
      </c>
      <c r="F139" s="159">
        <f t="shared" si="27"/>
        <v>56720.3</v>
      </c>
      <c r="G139" s="159">
        <f t="shared" si="27"/>
        <v>9541603</v>
      </c>
      <c r="H139" s="159">
        <f t="shared" si="27"/>
        <v>2606443.8079999997</v>
      </c>
      <c r="I139" s="159">
        <f t="shared" si="27"/>
        <v>11603.388000000001</v>
      </c>
      <c r="J139" s="159">
        <f t="shared" si="27"/>
        <v>1146000</v>
      </c>
      <c r="K139" s="159">
        <f t="shared" si="27"/>
        <v>4683689</v>
      </c>
      <c r="L139" s="159">
        <f t="shared" si="27"/>
        <v>1785728</v>
      </c>
      <c r="M139" s="159">
        <f t="shared" si="27"/>
        <v>10000</v>
      </c>
      <c r="N139" s="159">
        <f t="shared" si="27"/>
        <v>600</v>
      </c>
      <c r="O139" s="159">
        <f t="shared" si="27"/>
        <v>22550485.050999999</v>
      </c>
      <c r="P139" s="159"/>
      <c r="Q139" s="159">
        <f>Q63+Q126+Q138</f>
        <v>2382040</v>
      </c>
      <c r="R139" s="159">
        <f>R63+R126+R138</f>
        <v>5458525.6940000001</v>
      </c>
      <c r="S139" s="159">
        <f>S63+S126+S138</f>
        <v>0</v>
      </c>
      <c r="T139" s="159">
        <f>T63+T126+T138</f>
        <v>0</v>
      </c>
      <c r="U139" s="159">
        <f>U63+U126+U138</f>
        <v>7840565.6940000001</v>
      </c>
      <c r="V139" s="211"/>
      <c r="W139" s="492">
        <f>W63+W126+W138</f>
        <v>30391050.744999997</v>
      </c>
    </row>
    <row r="140" spans="1:23" ht="24.95" customHeight="1" thickTop="1" x14ac:dyDescent="0.25"/>
    <row r="141" spans="1:23" ht="24.95" customHeight="1" x14ac:dyDescent="0.25"/>
    <row r="142" spans="1:23" ht="24.95" customHeight="1" x14ac:dyDescent="0.25"/>
    <row r="143" spans="1:23" ht="24.95" customHeight="1" x14ac:dyDescent="0.25"/>
    <row r="144" spans="1:23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391" spans="9:9" x14ac:dyDescent="0.25">
      <c r="I391" s="42">
        <f>-10437-1367-86-236+13-6357-200+31+71-310-1500-799-55-443-3970</f>
        <v>-25645</v>
      </c>
    </row>
  </sheetData>
  <mergeCells count="5">
    <mergeCell ref="D7:F7"/>
    <mergeCell ref="J7:K7"/>
    <mergeCell ref="Q7:T7"/>
    <mergeCell ref="A2:W2"/>
    <mergeCell ref="A4:W4"/>
  </mergeCells>
  <phoneticPr fontId="3" type="noConversion"/>
  <printOptions horizontalCentered="1"/>
  <pageMargins left="0" right="0" top="0.51181102362204722" bottom="0.55118110236220474" header="7.874015748031496E-2" footer="7.874015748031496E-2"/>
  <pageSetup paperSize="9" scale="44" firstPageNumber="0" orientation="landscape" horizontalDpi="300" verticalDpi="300" r:id="rId1"/>
  <headerFooter alignWithMargins="0">
    <oddFooter>&amp;C1. sz. melléklet 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351"/>
  <sheetViews>
    <sheetView zoomScale="71" zoomScaleNormal="71" workbookViewId="0">
      <selection activeCell="Z1" sqref="Z1"/>
    </sheetView>
  </sheetViews>
  <sheetFormatPr defaultRowHeight="16.5" x14ac:dyDescent="0.25"/>
  <cols>
    <col min="1" max="1" width="5.28515625" style="77" customWidth="1"/>
    <col min="2" max="2" width="11.5703125" style="1" hidden="1" customWidth="1"/>
    <col min="3" max="3" width="53.7109375" style="2" customWidth="1"/>
    <col min="4" max="9" width="12.7109375" style="2" customWidth="1"/>
    <col min="10" max="10" width="13.7109375" style="2" customWidth="1"/>
    <col min="11" max="11" width="14.85546875" style="2" customWidth="1"/>
    <col min="12" max="12" width="14.140625" style="2" customWidth="1"/>
    <col min="13" max="17" width="12.7109375" style="2" customWidth="1"/>
    <col min="18" max="18" width="14.7109375" style="2" customWidth="1"/>
    <col min="19" max="19" width="1.7109375" style="2" customWidth="1"/>
    <col min="20" max="20" width="13.5703125" style="2" customWidth="1"/>
    <col min="21" max="21" width="14.140625" style="2" customWidth="1"/>
    <col min="22" max="22" width="12.7109375" style="2" customWidth="1"/>
    <col min="23" max="23" width="11.85546875" style="2" customWidth="1"/>
    <col min="24" max="24" width="13.5703125" style="2" customWidth="1"/>
    <col min="25" max="25" width="16.7109375" style="2" customWidth="1"/>
    <col min="26" max="26" width="16.7109375" style="43" customWidth="1"/>
    <col min="27" max="27" width="18.28515625" style="43" customWidth="1"/>
    <col min="28" max="28" width="16.28515625" style="43" customWidth="1"/>
    <col min="29" max="31" width="10.42578125" style="43" customWidth="1"/>
    <col min="32" max="32" width="12.28515625" style="43" customWidth="1"/>
    <col min="33" max="33" width="14" style="43" customWidth="1"/>
    <col min="34" max="34" width="12.28515625" style="43" customWidth="1"/>
    <col min="35" max="36" width="10.42578125" style="43" customWidth="1"/>
    <col min="37" max="37" width="12.28515625" style="43" customWidth="1"/>
    <col min="38" max="38" width="9.140625" style="43"/>
    <col min="39" max="40" width="10.42578125" style="43" customWidth="1"/>
    <col min="41" max="41" width="12.28515625" style="43" customWidth="1"/>
    <col min="42" max="42" width="12.7109375" style="43" customWidth="1"/>
    <col min="43" max="16384" width="9.140625" style="2"/>
  </cols>
  <sheetData>
    <row r="1" spans="1:42" ht="16.5" customHeight="1" x14ac:dyDescent="0.25">
      <c r="Z1" s="152" t="s">
        <v>57</v>
      </c>
      <c r="AA1" s="152"/>
    </row>
    <row r="2" spans="1:42" ht="30" customHeight="1" x14ac:dyDescent="0.2">
      <c r="A2" s="519" t="s">
        <v>0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233"/>
    </row>
    <row r="3" spans="1:42" ht="30" customHeight="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33"/>
    </row>
    <row r="4" spans="1:42" ht="50.1" customHeight="1" x14ac:dyDescent="0.2">
      <c r="A4" s="520" t="s">
        <v>766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233"/>
    </row>
    <row r="5" spans="1:42" ht="24.95" customHeight="1" x14ac:dyDescent="0.2">
      <c r="A5" s="285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33"/>
    </row>
    <row r="6" spans="1:42" ht="17.25" customHeight="1" thickBo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6" t="s">
        <v>1</v>
      </c>
      <c r="AA6" s="234"/>
    </row>
    <row r="7" spans="1:42" ht="17.25" thickBot="1" x14ac:dyDescent="0.3">
      <c r="A7" s="45"/>
      <c r="B7" s="7"/>
      <c r="C7" s="8"/>
      <c r="D7" s="521" t="s">
        <v>20</v>
      </c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</row>
    <row r="8" spans="1:42" ht="17.25" customHeight="1" thickTop="1" x14ac:dyDescent="0.25">
      <c r="A8" s="409"/>
      <c r="B8" s="11"/>
      <c r="C8" s="12"/>
      <c r="D8" s="522" t="s">
        <v>119</v>
      </c>
      <c r="E8" s="523"/>
      <c r="F8" s="523"/>
      <c r="G8" s="523"/>
      <c r="H8" s="523"/>
      <c r="I8" s="523"/>
      <c r="J8" s="523"/>
      <c r="K8" s="524"/>
      <c r="L8" s="525" t="s">
        <v>120</v>
      </c>
      <c r="M8" s="526"/>
      <c r="N8" s="526"/>
      <c r="O8" s="526"/>
      <c r="P8" s="526"/>
      <c r="Q8" s="524"/>
      <c r="R8" s="322" t="s">
        <v>88</v>
      </c>
      <c r="S8" s="298"/>
      <c r="T8" s="525" t="s">
        <v>121</v>
      </c>
      <c r="U8" s="526"/>
      <c r="V8" s="526"/>
      <c r="W8" s="527"/>
      <c r="X8" s="302" t="s">
        <v>99</v>
      </c>
      <c r="Y8" s="447" t="s">
        <v>2</v>
      </c>
      <c r="Z8" s="448"/>
      <c r="AA8" s="4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6"/>
    </row>
    <row r="9" spans="1:42" x14ac:dyDescent="0.25">
      <c r="A9" s="16" t="s">
        <v>8</v>
      </c>
      <c r="B9" s="11"/>
      <c r="C9" s="12" t="s">
        <v>3</v>
      </c>
      <c r="D9" s="48"/>
      <c r="E9" s="158" t="s">
        <v>25</v>
      </c>
      <c r="F9" s="49"/>
      <c r="G9" s="49" t="s">
        <v>21</v>
      </c>
      <c r="H9" s="49" t="s">
        <v>74</v>
      </c>
      <c r="I9" s="49" t="s">
        <v>75</v>
      </c>
      <c r="J9" s="49" t="s">
        <v>75</v>
      </c>
      <c r="K9" s="158"/>
      <c r="L9" s="49"/>
      <c r="M9" s="49"/>
      <c r="N9" s="49" t="s">
        <v>4</v>
      </c>
      <c r="O9" s="49" t="s">
        <v>104</v>
      </c>
      <c r="P9" s="50" t="s">
        <v>105</v>
      </c>
      <c r="Q9" s="158" t="s">
        <v>4</v>
      </c>
      <c r="R9" s="299" t="s">
        <v>89</v>
      </c>
      <c r="S9" s="299"/>
      <c r="T9" s="15" t="s">
        <v>106</v>
      </c>
      <c r="U9" s="15" t="s">
        <v>107</v>
      </c>
      <c r="V9" s="15" t="s">
        <v>166</v>
      </c>
      <c r="W9" s="15" t="s">
        <v>4</v>
      </c>
      <c r="X9" s="303" t="s">
        <v>100</v>
      </c>
      <c r="Y9" s="449" t="s">
        <v>23</v>
      </c>
      <c r="Z9" s="450" t="s">
        <v>22</v>
      </c>
      <c r="AA9" s="46"/>
      <c r="AB9" s="4"/>
      <c r="AC9" s="4"/>
      <c r="AD9" s="4"/>
      <c r="AE9" s="4"/>
      <c r="AF9" s="4"/>
      <c r="AG9" s="4"/>
      <c r="AH9" s="4"/>
      <c r="AI9" s="4"/>
      <c r="AJ9" s="518"/>
      <c r="AK9" s="518"/>
      <c r="AL9" s="4"/>
      <c r="AM9" s="4"/>
      <c r="AN9" s="4"/>
      <c r="AO9" s="4"/>
      <c r="AP9" s="46"/>
    </row>
    <row r="10" spans="1:42" ht="16.5" customHeight="1" x14ac:dyDescent="0.25">
      <c r="A10" s="10"/>
      <c r="B10" s="11"/>
      <c r="C10" s="12" t="s">
        <v>9</v>
      </c>
      <c r="D10" s="49" t="s">
        <v>24</v>
      </c>
      <c r="E10" s="49" t="s">
        <v>45</v>
      </c>
      <c r="F10" s="49" t="s">
        <v>26</v>
      </c>
      <c r="G10" s="49" t="s">
        <v>27</v>
      </c>
      <c r="H10" s="49" t="s">
        <v>76</v>
      </c>
      <c r="I10" s="49" t="s">
        <v>47</v>
      </c>
      <c r="J10" s="49" t="s">
        <v>47</v>
      </c>
      <c r="K10" s="49" t="s">
        <v>30</v>
      </c>
      <c r="L10" s="49" t="s">
        <v>108</v>
      </c>
      <c r="M10" s="49" t="s">
        <v>109</v>
      </c>
      <c r="N10" s="49" t="s">
        <v>110</v>
      </c>
      <c r="O10" s="49" t="s">
        <v>111</v>
      </c>
      <c r="P10" s="49" t="s">
        <v>38</v>
      </c>
      <c r="Q10" s="49" t="s">
        <v>110</v>
      </c>
      <c r="R10" s="300" t="s">
        <v>28</v>
      </c>
      <c r="S10" s="300"/>
      <c r="T10" s="12" t="s">
        <v>112</v>
      </c>
      <c r="U10" s="12" t="s">
        <v>93</v>
      </c>
      <c r="V10" s="12" t="s">
        <v>167</v>
      </c>
      <c r="W10" s="15" t="s">
        <v>128</v>
      </c>
      <c r="X10" s="254" t="s">
        <v>28</v>
      </c>
      <c r="Y10" s="449" t="s">
        <v>12</v>
      </c>
      <c r="Z10" s="450" t="s">
        <v>31</v>
      </c>
      <c r="AA10" s="46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6"/>
    </row>
    <row r="11" spans="1:42" x14ac:dyDescent="0.25">
      <c r="A11" s="47"/>
      <c r="B11" s="11"/>
      <c r="C11" s="12" t="s">
        <v>13</v>
      </c>
      <c r="D11" s="49" t="s">
        <v>32</v>
      </c>
      <c r="E11" s="49" t="s">
        <v>37</v>
      </c>
      <c r="F11" s="49" t="s">
        <v>28</v>
      </c>
      <c r="G11" s="49" t="s">
        <v>33</v>
      </c>
      <c r="H11" s="49" t="s">
        <v>78</v>
      </c>
      <c r="I11" s="49" t="s">
        <v>79</v>
      </c>
      <c r="J11" s="49" t="s">
        <v>79</v>
      </c>
      <c r="K11" s="49"/>
      <c r="L11" s="49"/>
      <c r="M11" s="49"/>
      <c r="N11" s="49" t="s">
        <v>47</v>
      </c>
      <c r="O11" s="49" t="s">
        <v>34</v>
      </c>
      <c r="P11" s="49"/>
      <c r="Q11" s="49" t="s">
        <v>47</v>
      </c>
      <c r="R11" s="300" t="s">
        <v>12</v>
      </c>
      <c r="S11" s="300"/>
      <c r="T11" s="12" t="s">
        <v>113</v>
      </c>
      <c r="U11" s="12" t="s">
        <v>95</v>
      </c>
      <c r="V11" s="12" t="s">
        <v>170</v>
      </c>
      <c r="W11" s="15" t="s">
        <v>129</v>
      </c>
      <c r="X11" s="254" t="s">
        <v>12</v>
      </c>
      <c r="Y11" s="253" t="s">
        <v>125</v>
      </c>
      <c r="Z11" s="450" t="s">
        <v>36</v>
      </c>
      <c r="AA11" s="235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6"/>
    </row>
    <row r="12" spans="1:42" x14ac:dyDescent="0.25">
      <c r="A12" s="47"/>
      <c r="B12" s="11"/>
      <c r="C12" s="12"/>
      <c r="D12" s="51"/>
      <c r="E12" s="49" t="s">
        <v>126</v>
      </c>
      <c r="F12" s="49"/>
      <c r="G12" s="109"/>
      <c r="H12" s="52"/>
      <c r="I12" s="109" t="s">
        <v>114</v>
      </c>
      <c r="J12" s="109" t="s">
        <v>115</v>
      </c>
      <c r="K12" s="49"/>
      <c r="L12" s="52"/>
      <c r="M12" s="49"/>
      <c r="N12" s="49" t="s">
        <v>116</v>
      </c>
      <c r="O12" s="49" t="s">
        <v>117</v>
      </c>
      <c r="P12" s="49"/>
      <c r="Q12" s="49" t="s">
        <v>117</v>
      </c>
      <c r="R12" s="301" t="s">
        <v>123</v>
      </c>
      <c r="S12" s="301"/>
      <c r="T12" s="12" t="s">
        <v>118</v>
      </c>
      <c r="U12" s="12" t="s">
        <v>35</v>
      </c>
      <c r="V12" s="12" t="s">
        <v>171</v>
      </c>
      <c r="W12" s="12" t="s">
        <v>28</v>
      </c>
      <c r="X12" s="235" t="s">
        <v>124</v>
      </c>
      <c r="Y12" s="449"/>
      <c r="Z12" s="450"/>
      <c r="AA12" s="46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6"/>
    </row>
    <row r="13" spans="1:42" hidden="1" x14ac:dyDescent="0.25">
      <c r="A13" s="101"/>
      <c r="B13" s="94"/>
      <c r="C13" s="95"/>
      <c r="D13" s="96" t="s">
        <v>130</v>
      </c>
      <c r="E13" s="14" t="s">
        <v>131</v>
      </c>
      <c r="F13" s="416" t="s">
        <v>132</v>
      </c>
      <c r="G13" s="15" t="s">
        <v>133</v>
      </c>
      <c r="H13" s="102" t="s">
        <v>134</v>
      </c>
      <c r="I13" s="12" t="s">
        <v>135</v>
      </c>
      <c r="J13" s="15" t="s">
        <v>136</v>
      </c>
      <c r="K13" s="95" t="s">
        <v>137</v>
      </c>
      <c r="L13" s="102" t="s">
        <v>138</v>
      </c>
      <c r="M13" s="102" t="s">
        <v>139</v>
      </c>
      <c r="N13" s="102" t="s">
        <v>140</v>
      </c>
      <c r="O13" s="103" t="s">
        <v>141</v>
      </c>
      <c r="P13" s="95" t="s">
        <v>142</v>
      </c>
      <c r="Q13" s="95" t="s">
        <v>143</v>
      </c>
      <c r="R13" s="95"/>
      <c r="S13" s="95"/>
      <c r="T13" s="95" t="s">
        <v>144</v>
      </c>
      <c r="U13" s="95" t="s">
        <v>145</v>
      </c>
      <c r="V13" s="95" t="s">
        <v>146</v>
      </c>
      <c r="W13" s="104" t="s">
        <v>147</v>
      </c>
      <c r="X13" s="292"/>
      <c r="Y13" s="451"/>
      <c r="Z13" s="99"/>
      <c r="AA13" s="4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6"/>
    </row>
    <row r="14" spans="1:42" ht="18" customHeight="1" thickBot="1" x14ac:dyDescent="0.3">
      <c r="A14" s="155">
        <v>1</v>
      </c>
      <c r="B14" s="171"/>
      <c r="C14" s="168">
        <v>2</v>
      </c>
      <c r="D14" s="168">
        <v>3</v>
      </c>
      <c r="E14" s="168">
        <v>4</v>
      </c>
      <c r="F14" s="168">
        <v>5</v>
      </c>
      <c r="G14" s="168">
        <v>6</v>
      </c>
      <c r="H14" s="168">
        <v>7</v>
      </c>
      <c r="I14" s="168">
        <v>8</v>
      </c>
      <c r="J14" s="168">
        <v>9</v>
      </c>
      <c r="K14" s="168">
        <v>10</v>
      </c>
      <c r="L14" s="168">
        <v>11</v>
      </c>
      <c r="M14" s="168">
        <v>12</v>
      </c>
      <c r="N14" s="168">
        <v>13</v>
      </c>
      <c r="O14" s="168">
        <v>14</v>
      </c>
      <c r="P14" s="168">
        <v>15</v>
      </c>
      <c r="Q14" s="168">
        <v>16</v>
      </c>
      <c r="R14" s="168">
        <v>17</v>
      </c>
      <c r="S14" s="168"/>
      <c r="T14" s="168">
        <v>18</v>
      </c>
      <c r="U14" s="168">
        <v>19</v>
      </c>
      <c r="V14" s="168">
        <v>20</v>
      </c>
      <c r="W14" s="168">
        <v>21</v>
      </c>
      <c r="X14" s="304">
        <v>22</v>
      </c>
      <c r="Y14" s="304">
        <v>21</v>
      </c>
      <c r="Z14" s="479">
        <v>22</v>
      </c>
      <c r="AA14" s="236"/>
      <c r="AB14" s="4"/>
      <c r="AC14" s="4"/>
      <c r="AD14" s="4"/>
      <c r="AE14" s="4"/>
      <c r="AF14" s="4"/>
      <c r="AG14" s="4"/>
      <c r="AH14" s="4"/>
      <c r="AI14" s="4"/>
      <c r="AJ14" s="518"/>
      <c r="AK14" s="518"/>
      <c r="AL14" s="4"/>
      <c r="AM14" s="4"/>
      <c r="AN14" s="4"/>
      <c r="AO14" s="4"/>
      <c r="AP14" s="4"/>
    </row>
    <row r="15" spans="1:42" s="57" customFormat="1" ht="19.5" hidden="1" customHeight="1" x14ac:dyDescent="0.3">
      <c r="A15" s="53"/>
      <c r="B15" s="131"/>
      <c r="C15" s="54" t="s">
        <v>42</v>
      </c>
      <c r="D15" s="132">
        <v>152497</v>
      </c>
      <c r="E15" s="132">
        <v>31675</v>
      </c>
      <c r="F15" s="132">
        <v>4750228</v>
      </c>
      <c r="G15" s="132">
        <v>206151</v>
      </c>
      <c r="H15" s="132">
        <v>308650</v>
      </c>
      <c r="I15" s="132">
        <v>69471</v>
      </c>
      <c r="J15" s="132">
        <v>970762</v>
      </c>
      <c r="K15" s="132">
        <v>1702168</v>
      </c>
      <c r="L15" s="132">
        <v>7903197</v>
      </c>
      <c r="M15" s="132">
        <v>457655</v>
      </c>
      <c r="N15" s="132">
        <v>100000</v>
      </c>
      <c r="O15" s="132">
        <v>3000</v>
      </c>
      <c r="P15" s="132">
        <v>0</v>
      </c>
      <c r="Q15" s="132">
        <v>353939</v>
      </c>
      <c r="R15" s="276">
        <f>SUM(D15:Q15)</f>
        <v>17009393</v>
      </c>
      <c r="S15" s="276"/>
      <c r="T15" s="132">
        <v>0</v>
      </c>
      <c r="U15" s="132">
        <v>0</v>
      </c>
      <c r="V15" s="132">
        <v>56742</v>
      </c>
      <c r="W15" s="132">
        <v>0</v>
      </c>
      <c r="X15" s="305">
        <f>SUM(T15:W15)</f>
        <v>56742</v>
      </c>
      <c r="Y15" s="452">
        <f>R15+X15</f>
        <v>17066135</v>
      </c>
      <c r="Z15" s="271">
        <v>8633505</v>
      </c>
      <c r="AA15" s="237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ht="20.100000000000001" hidden="1" customHeight="1" x14ac:dyDescent="0.25">
      <c r="A16" s="58"/>
      <c r="B16" s="117" t="s">
        <v>40</v>
      </c>
      <c r="C16" s="38" t="s">
        <v>66</v>
      </c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3"/>
      <c r="Y16" s="119">
        <f>SUM(D16:W16)</f>
        <v>0</v>
      </c>
      <c r="Z16" s="161"/>
      <c r="AA16" s="23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60"/>
    </row>
    <row r="17" spans="1:42" ht="20.100000000000001" hidden="1" customHeight="1" x14ac:dyDescent="0.25">
      <c r="A17" s="137"/>
      <c r="B17" s="25"/>
      <c r="C17" s="22" t="s">
        <v>18</v>
      </c>
      <c r="D17" s="132">
        <f>SUM(D15:D16)</f>
        <v>152497</v>
      </c>
      <c r="E17" s="132">
        <f t="shared" ref="E17:W17" si="0">SUM(E15:E16)</f>
        <v>31675</v>
      </c>
      <c r="F17" s="132">
        <f t="shared" si="0"/>
        <v>4750228</v>
      </c>
      <c r="G17" s="132">
        <f t="shared" si="0"/>
        <v>206151</v>
      </c>
      <c r="H17" s="132">
        <f t="shared" si="0"/>
        <v>308650</v>
      </c>
      <c r="I17" s="132">
        <f t="shared" si="0"/>
        <v>69471</v>
      </c>
      <c r="J17" s="132">
        <f t="shared" si="0"/>
        <v>970762</v>
      </c>
      <c r="K17" s="132">
        <f t="shared" si="0"/>
        <v>1702168</v>
      </c>
      <c r="L17" s="132">
        <f t="shared" si="0"/>
        <v>7903197</v>
      </c>
      <c r="M17" s="132">
        <f t="shared" si="0"/>
        <v>457655</v>
      </c>
      <c r="N17" s="132">
        <f t="shared" si="0"/>
        <v>100000</v>
      </c>
      <c r="O17" s="132">
        <f t="shared" si="0"/>
        <v>3000</v>
      </c>
      <c r="P17" s="132">
        <f t="shared" si="0"/>
        <v>0</v>
      </c>
      <c r="Q17" s="132">
        <f t="shared" si="0"/>
        <v>353939</v>
      </c>
      <c r="R17" s="132"/>
      <c r="S17" s="132"/>
      <c r="T17" s="132">
        <f t="shared" si="0"/>
        <v>0</v>
      </c>
      <c r="U17" s="132">
        <f t="shared" si="0"/>
        <v>0</v>
      </c>
      <c r="V17" s="132">
        <f t="shared" si="0"/>
        <v>56742</v>
      </c>
      <c r="W17" s="132">
        <f t="shared" si="0"/>
        <v>0</v>
      </c>
      <c r="X17" s="133"/>
      <c r="Y17" s="264">
        <f>SUM(Y15:Y16)</f>
        <v>17066135</v>
      </c>
      <c r="Z17" s="271">
        <f>SUM(Z15:Z16)</f>
        <v>8633505</v>
      </c>
      <c r="AA17" s="237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60"/>
    </row>
    <row r="18" spans="1:42" ht="24.95" hidden="1" customHeight="1" x14ac:dyDescent="0.25">
      <c r="A18" s="70">
        <v>1</v>
      </c>
      <c r="B18" s="117" t="s">
        <v>208</v>
      </c>
      <c r="C18" s="26" t="s">
        <v>242</v>
      </c>
      <c r="D18" s="348"/>
      <c r="E18" s="348"/>
      <c r="F18" s="348"/>
      <c r="G18" s="348"/>
      <c r="H18" s="348"/>
      <c r="I18" s="348"/>
      <c r="J18" s="348"/>
      <c r="K18" s="348">
        <f>-100</f>
        <v>-100</v>
      </c>
      <c r="L18" s="348"/>
      <c r="M18" s="349"/>
      <c r="N18" s="348"/>
      <c r="O18" s="348"/>
      <c r="P18" s="348"/>
      <c r="Q18" s="348"/>
      <c r="R18" s="348">
        <f t="shared" ref="R18:R117" si="1">SUM(D18:Q18)</f>
        <v>-100</v>
      </c>
      <c r="S18" s="348"/>
      <c r="T18" s="348"/>
      <c r="U18" s="348"/>
      <c r="V18" s="348"/>
      <c r="W18" s="348"/>
      <c r="X18" s="350">
        <f t="shared" ref="X18:X163" si="2">SUM(T18:W18)</f>
        <v>0</v>
      </c>
      <c r="Y18" s="354">
        <f t="shared" ref="Y18:Y163" si="3">R18+X18</f>
        <v>-100</v>
      </c>
      <c r="Z18" s="453">
        <f>100</f>
        <v>100</v>
      </c>
      <c r="AA18" s="238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60"/>
    </row>
    <row r="19" spans="1:42" ht="24.95" hidden="1" customHeight="1" x14ac:dyDescent="0.25">
      <c r="A19" s="70">
        <v>2</v>
      </c>
      <c r="B19" s="117" t="s">
        <v>206</v>
      </c>
      <c r="C19" s="26" t="s">
        <v>207</v>
      </c>
      <c r="D19" s="348"/>
      <c r="E19" s="348"/>
      <c r="F19" s="348">
        <f>539+70+2272</f>
        <v>2881</v>
      </c>
      <c r="G19" s="348"/>
      <c r="H19" s="348"/>
      <c r="I19" s="348"/>
      <c r="J19" s="348"/>
      <c r="K19" s="412">
        <f>-2881</f>
        <v>-2881</v>
      </c>
      <c r="L19" s="412"/>
      <c r="M19" s="348"/>
      <c r="N19" s="348"/>
      <c r="O19" s="348"/>
      <c r="P19" s="348"/>
      <c r="Q19" s="348"/>
      <c r="R19" s="348">
        <f t="shared" si="1"/>
        <v>0</v>
      </c>
      <c r="S19" s="348"/>
      <c r="T19" s="348"/>
      <c r="U19" s="348"/>
      <c r="V19" s="348"/>
      <c r="W19" s="348"/>
      <c r="X19" s="350">
        <f t="shared" si="2"/>
        <v>0</v>
      </c>
      <c r="Y19" s="354">
        <f t="shared" si="3"/>
        <v>0</v>
      </c>
      <c r="Z19" s="453"/>
      <c r="AA19" s="238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60"/>
    </row>
    <row r="20" spans="1:42" ht="24.95" hidden="1" customHeight="1" x14ac:dyDescent="0.25">
      <c r="A20" s="70">
        <v>3</v>
      </c>
      <c r="B20" s="117" t="s">
        <v>209</v>
      </c>
      <c r="C20" s="26" t="s">
        <v>224</v>
      </c>
      <c r="D20" s="348"/>
      <c r="E20" s="348"/>
      <c r="F20" s="348"/>
      <c r="G20" s="348"/>
      <c r="H20" s="348"/>
      <c r="I20" s="348"/>
      <c r="J20" s="348"/>
      <c r="K20" s="412">
        <f>-150</f>
        <v>-150</v>
      </c>
      <c r="L20" s="412"/>
      <c r="M20" s="348"/>
      <c r="N20" s="348"/>
      <c r="O20" s="348"/>
      <c r="P20" s="348"/>
      <c r="Q20" s="348"/>
      <c r="R20" s="348">
        <f t="shared" si="1"/>
        <v>-150</v>
      </c>
      <c r="S20" s="348"/>
      <c r="T20" s="348"/>
      <c r="U20" s="348"/>
      <c r="V20" s="348"/>
      <c r="W20" s="348"/>
      <c r="X20" s="350">
        <f t="shared" ref="X20" si="4">SUM(T20:W20)</f>
        <v>0</v>
      </c>
      <c r="Y20" s="354">
        <f t="shared" ref="Y20" si="5">R20+X20</f>
        <v>-150</v>
      </c>
      <c r="Z20" s="453">
        <f>150</f>
        <v>150</v>
      </c>
      <c r="AA20" s="238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60"/>
    </row>
    <row r="21" spans="1:42" ht="24.95" hidden="1" customHeight="1" x14ac:dyDescent="0.25">
      <c r="A21" s="70">
        <v>4</v>
      </c>
      <c r="B21" s="117" t="s">
        <v>210</v>
      </c>
      <c r="C21" s="26" t="s">
        <v>219</v>
      </c>
      <c r="D21" s="348"/>
      <c r="E21" s="348"/>
      <c r="F21" s="348"/>
      <c r="G21" s="348"/>
      <c r="H21" s="348"/>
      <c r="I21" s="348"/>
      <c r="J21" s="348"/>
      <c r="K21" s="412">
        <f>-298</f>
        <v>-298</v>
      </c>
      <c r="L21" s="412">
        <f>234+64</f>
        <v>298</v>
      </c>
      <c r="M21" s="348"/>
      <c r="N21" s="348"/>
      <c r="O21" s="348"/>
      <c r="P21" s="348"/>
      <c r="Q21" s="348"/>
      <c r="R21" s="348">
        <f t="shared" si="1"/>
        <v>0</v>
      </c>
      <c r="S21" s="348"/>
      <c r="T21" s="348"/>
      <c r="U21" s="348"/>
      <c r="V21" s="348"/>
      <c r="W21" s="348"/>
      <c r="X21" s="350">
        <f t="shared" si="2"/>
        <v>0</v>
      </c>
      <c r="Y21" s="354">
        <f t="shared" si="3"/>
        <v>0</v>
      </c>
      <c r="Z21" s="453"/>
      <c r="AA21" s="238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60"/>
    </row>
    <row r="22" spans="1:42" ht="24.95" hidden="1" customHeight="1" x14ac:dyDescent="0.25">
      <c r="A22" s="70">
        <v>5</v>
      </c>
      <c r="B22" s="345" t="s">
        <v>211</v>
      </c>
      <c r="C22" s="26" t="s">
        <v>225</v>
      </c>
      <c r="D22" s="348"/>
      <c r="E22" s="348"/>
      <c r="F22" s="348"/>
      <c r="G22" s="348"/>
      <c r="H22" s="348"/>
      <c r="I22" s="348"/>
      <c r="J22" s="348"/>
      <c r="K22" s="412">
        <f>-331</f>
        <v>-331</v>
      </c>
      <c r="L22" s="412">
        <f>261+70</f>
        <v>331</v>
      </c>
      <c r="M22" s="348"/>
      <c r="N22" s="348"/>
      <c r="O22" s="348"/>
      <c r="P22" s="348"/>
      <c r="Q22" s="348"/>
      <c r="R22" s="348">
        <f t="shared" si="1"/>
        <v>0</v>
      </c>
      <c r="S22" s="348"/>
      <c r="T22" s="348"/>
      <c r="U22" s="348"/>
      <c r="V22" s="348"/>
      <c r="W22" s="348"/>
      <c r="X22" s="350">
        <f t="shared" ref="X22" si="6">SUM(T22:W22)</f>
        <v>0</v>
      </c>
      <c r="Y22" s="354">
        <f t="shared" ref="Y22" si="7">R22+X22</f>
        <v>0</v>
      </c>
      <c r="Z22" s="453"/>
      <c r="AA22" s="238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60"/>
    </row>
    <row r="23" spans="1:42" ht="24.95" hidden="1" customHeight="1" x14ac:dyDescent="0.25">
      <c r="A23" s="70">
        <v>6</v>
      </c>
      <c r="B23" s="117" t="s">
        <v>212</v>
      </c>
      <c r="C23" s="26" t="s">
        <v>220</v>
      </c>
      <c r="D23" s="348"/>
      <c r="E23" s="348"/>
      <c r="F23" s="348">
        <f>56+15</f>
        <v>71</v>
      </c>
      <c r="G23" s="348"/>
      <c r="H23" s="348"/>
      <c r="I23" s="348"/>
      <c r="J23" s="348"/>
      <c r="K23" s="412"/>
      <c r="L23" s="412"/>
      <c r="M23" s="348"/>
      <c r="N23" s="348"/>
      <c r="O23" s="348"/>
      <c r="P23" s="348"/>
      <c r="Q23" s="348"/>
      <c r="R23" s="348">
        <f t="shared" si="1"/>
        <v>71</v>
      </c>
      <c r="S23" s="348"/>
      <c r="T23" s="348"/>
      <c r="U23" s="348"/>
      <c r="V23" s="348"/>
      <c r="W23" s="348"/>
      <c r="X23" s="350">
        <f t="shared" si="2"/>
        <v>0</v>
      </c>
      <c r="Y23" s="354">
        <f t="shared" si="3"/>
        <v>71</v>
      </c>
      <c r="Z23" s="453"/>
      <c r="AA23" s="238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60"/>
    </row>
    <row r="24" spans="1:42" ht="24.95" hidden="1" customHeight="1" x14ac:dyDescent="0.25">
      <c r="A24" s="70">
        <v>7</v>
      </c>
      <c r="B24" s="117" t="s">
        <v>213</v>
      </c>
      <c r="C24" s="26" t="s">
        <v>221</v>
      </c>
      <c r="D24" s="348"/>
      <c r="E24" s="348"/>
      <c r="F24" s="348">
        <f>648</f>
        <v>648</v>
      </c>
      <c r="G24" s="348"/>
      <c r="H24" s="348"/>
      <c r="I24" s="348"/>
      <c r="J24" s="348"/>
      <c r="K24" s="412">
        <f>2400</f>
        <v>2400</v>
      </c>
      <c r="L24" s="412"/>
      <c r="M24" s="348"/>
      <c r="N24" s="348"/>
      <c r="O24" s="348"/>
      <c r="P24" s="348"/>
      <c r="Q24" s="348"/>
      <c r="R24" s="348">
        <f t="shared" si="1"/>
        <v>3048</v>
      </c>
      <c r="S24" s="348"/>
      <c r="T24" s="348"/>
      <c r="U24" s="348"/>
      <c r="V24" s="348"/>
      <c r="W24" s="348"/>
      <c r="X24" s="350">
        <f t="shared" si="2"/>
        <v>0</v>
      </c>
      <c r="Y24" s="354">
        <f t="shared" si="3"/>
        <v>3048</v>
      </c>
      <c r="Z24" s="453"/>
      <c r="AA24" s="23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60"/>
    </row>
    <row r="25" spans="1:42" ht="24.95" hidden="1" customHeight="1" x14ac:dyDescent="0.25">
      <c r="A25" s="70">
        <v>8</v>
      </c>
      <c r="B25" s="117" t="s">
        <v>214</v>
      </c>
      <c r="C25" s="26" t="s">
        <v>222</v>
      </c>
      <c r="D25" s="348"/>
      <c r="E25" s="348"/>
      <c r="F25" s="348">
        <f>41</f>
        <v>41</v>
      </c>
      <c r="G25" s="348"/>
      <c r="H25" s="348">
        <f>-41</f>
        <v>-41</v>
      </c>
      <c r="I25" s="348"/>
      <c r="J25" s="348"/>
      <c r="K25" s="412"/>
      <c r="L25" s="412"/>
      <c r="M25" s="348"/>
      <c r="N25" s="348"/>
      <c r="O25" s="348"/>
      <c r="P25" s="348"/>
      <c r="Q25" s="348"/>
      <c r="R25" s="348">
        <f t="shared" si="1"/>
        <v>0</v>
      </c>
      <c r="S25" s="348"/>
      <c r="T25" s="348"/>
      <c r="U25" s="348"/>
      <c r="V25" s="348"/>
      <c r="W25" s="348"/>
      <c r="X25" s="350">
        <f t="shared" si="2"/>
        <v>0</v>
      </c>
      <c r="Y25" s="354">
        <f t="shared" si="3"/>
        <v>0</v>
      </c>
      <c r="Z25" s="453"/>
      <c r="AA25" s="23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60"/>
    </row>
    <row r="26" spans="1:42" ht="24.95" hidden="1" customHeight="1" x14ac:dyDescent="0.25">
      <c r="A26" s="70">
        <v>9</v>
      </c>
      <c r="B26" s="345" t="s">
        <v>215</v>
      </c>
      <c r="C26" s="26" t="s">
        <v>226</v>
      </c>
      <c r="D26" s="348"/>
      <c r="E26" s="348"/>
      <c r="F26" s="348">
        <f>980+265</f>
        <v>1245</v>
      </c>
      <c r="G26" s="348"/>
      <c r="H26" s="348"/>
      <c r="I26" s="348"/>
      <c r="J26" s="348"/>
      <c r="K26" s="412"/>
      <c r="L26" s="412">
        <f>-1245</f>
        <v>-1245</v>
      </c>
      <c r="M26" s="348"/>
      <c r="N26" s="348"/>
      <c r="O26" s="348"/>
      <c r="P26" s="348"/>
      <c r="Q26" s="348"/>
      <c r="R26" s="348">
        <f t="shared" si="1"/>
        <v>0</v>
      </c>
      <c r="S26" s="348"/>
      <c r="T26" s="348"/>
      <c r="U26" s="348"/>
      <c r="V26" s="348"/>
      <c r="W26" s="348"/>
      <c r="X26" s="350">
        <f t="shared" ref="X26" si="8">SUM(T26:W26)</f>
        <v>0</v>
      </c>
      <c r="Y26" s="354">
        <f t="shared" ref="Y26" si="9">R26+X26</f>
        <v>0</v>
      </c>
      <c r="Z26" s="453"/>
      <c r="AA26" s="23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60"/>
    </row>
    <row r="27" spans="1:42" ht="24.95" hidden="1" customHeight="1" x14ac:dyDescent="0.25">
      <c r="A27" s="70">
        <v>10</v>
      </c>
      <c r="B27" s="345" t="s">
        <v>216</v>
      </c>
      <c r="C27" s="26" t="s">
        <v>223</v>
      </c>
      <c r="D27" s="348">
        <f>-608</f>
        <v>-608</v>
      </c>
      <c r="E27" s="348">
        <f>-118</f>
        <v>-118</v>
      </c>
      <c r="F27" s="348">
        <f>726</f>
        <v>726</v>
      </c>
      <c r="G27" s="348"/>
      <c r="H27" s="348"/>
      <c r="I27" s="348"/>
      <c r="J27" s="348"/>
      <c r="K27" s="412"/>
      <c r="L27" s="412"/>
      <c r="M27" s="348"/>
      <c r="N27" s="348"/>
      <c r="O27" s="348"/>
      <c r="P27" s="348"/>
      <c r="Q27" s="348"/>
      <c r="R27" s="348">
        <f t="shared" si="1"/>
        <v>0</v>
      </c>
      <c r="S27" s="348"/>
      <c r="T27" s="348"/>
      <c r="U27" s="348"/>
      <c r="V27" s="348"/>
      <c r="W27" s="348"/>
      <c r="X27" s="350">
        <f t="shared" si="2"/>
        <v>0</v>
      </c>
      <c r="Y27" s="354">
        <f t="shared" si="3"/>
        <v>0</v>
      </c>
      <c r="Z27" s="453"/>
      <c r="AA27" s="23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60"/>
    </row>
    <row r="28" spans="1:42" ht="24.95" hidden="1" customHeight="1" x14ac:dyDescent="0.25">
      <c r="A28" s="70">
        <v>11</v>
      </c>
      <c r="B28" s="345" t="s">
        <v>232</v>
      </c>
      <c r="C28" s="26" t="s">
        <v>243</v>
      </c>
      <c r="D28" s="348"/>
      <c r="E28" s="348"/>
      <c r="F28" s="348">
        <f>-743.525</f>
        <v>-743.52499999999998</v>
      </c>
      <c r="G28" s="348"/>
      <c r="H28" s="348"/>
      <c r="I28" s="348"/>
      <c r="J28" s="348"/>
      <c r="K28" s="412"/>
      <c r="L28" s="412"/>
      <c r="M28" s="348"/>
      <c r="N28" s="348"/>
      <c r="O28" s="348"/>
      <c r="P28" s="348"/>
      <c r="Q28" s="348"/>
      <c r="R28" s="348">
        <f t="shared" si="1"/>
        <v>-743.52499999999998</v>
      </c>
      <c r="S28" s="348"/>
      <c r="T28" s="348"/>
      <c r="U28" s="348"/>
      <c r="V28" s="348"/>
      <c r="W28" s="348"/>
      <c r="X28" s="350">
        <f t="shared" ref="X28:X29" si="10">SUM(T28:W28)</f>
        <v>0</v>
      </c>
      <c r="Y28" s="354">
        <f t="shared" ref="Y28:Y29" si="11">R28+X28</f>
        <v>-743.52499999999998</v>
      </c>
      <c r="Z28" s="453">
        <f>743.525</f>
        <v>743.52499999999998</v>
      </c>
      <c r="AA28" s="23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60"/>
    </row>
    <row r="29" spans="1:42" ht="24.95" hidden="1" customHeight="1" x14ac:dyDescent="0.25">
      <c r="A29" s="70">
        <v>12</v>
      </c>
      <c r="B29" s="345" t="s">
        <v>244</v>
      </c>
      <c r="C29" s="26" t="s">
        <v>245</v>
      </c>
      <c r="D29" s="348"/>
      <c r="E29" s="348"/>
      <c r="F29" s="348">
        <f>-1233.363</f>
        <v>-1233.3630000000001</v>
      </c>
      <c r="G29" s="348"/>
      <c r="H29" s="348"/>
      <c r="I29" s="348"/>
      <c r="J29" s="348"/>
      <c r="K29" s="412"/>
      <c r="L29" s="412"/>
      <c r="M29" s="348"/>
      <c r="N29" s="348"/>
      <c r="O29" s="348"/>
      <c r="P29" s="348"/>
      <c r="Q29" s="348"/>
      <c r="R29" s="348">
        <f t="shared" si="1"/>
        <v>-1233.3630000000001</v>
      </c>
      <c r="S29" s="348"/>
      <c r="T29" s="348"/>
      <c r="U29" s="348"/>
      <c r="V29" s="348"/>
      <c r="W29" s="348"/>
      <c r="X29" s="350">
        <f t="shared" si="10"/>
        <v>0</v>
      </c>
      <c r="Y29" s="354">
        <f t="shared" si="11"/>
        <v>-1233.3630000000001</v>
      </c>
      <c r="Z29" s="453">
        <f>1233.363</f>
        <v>1233.3630000000001</v>
      </c>
      <c r="AA29" s="23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60"/>
    </row>
    <row r="30" spans="1:42" ht="24.95" hidden="1" customHeight="1" x14ac:dyDescent="0.25">
      <c r="A30" s="70">
        <v>13</v>
      </c>
      <c r="B30" s="345" t="s">
        <v>232</v>
      </c>
      <c r="C30" s="26" t="s">
        <v>233</v>
      </c>
      <c r="D30" s="348"/>
      <c r="E30" s="348"/>
      <c r="F30" s="348">
        <f>-101.695</f>
        <v>-101.69499999999999</v>
      </c>
      <c r="G30" s="348"/>
      <c r="H30" s="348"/>
      <c r="I30" s="348"/>
      <c r="J30" s="348"/>
      <c r="K30" s="412"/>
      <c r="L30" s="412"/>
      <c r="M30" s="348"/>
      <c r="N30" s="348"/>
      <c r="O30" s="348"/>
      <c r="P30" s="348"/>
      <c r="Q30" s="348"/>
      <c r="R30" s="348">
        <f t="shared" si="1"/>
        <v>-101.69499999999999</v>
      </c>
      <c r="S30" s="348"/>
      <c r="T30" s="348"/>
      <c r="U30" s="348"/>
      <c r="V30" s="348"/>
      <c r="W30" s="348"/>
      <c r="X30" s="350">
        <f t="shared" ref="X30" si="12">SUM(T30:W30)</f>
        <v>0</v>
      </c>
      <c r="Y30" s="354">
        <f t="shared" ref="Y30" si="13">R30+X30</f>
        <v>-101.69499999999999</v>
      </c>
      <c r="Z30" s="453">
        <f>101.695</f>
        <v>101.69499999999999</v>
      </c>
      <c r="AA30" s="23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60"/>
    </row>
    <row r="31" spans="1:42" ht="32.25" hidden="1" customHeight="1" x14ac:dyDescent="0.25">
      <c r="A31" s="70">
        <v>14</v>
      </c>
      <c r="B31" s="345" t="s">
        <v>246</v>
      </c>
      <c r="C31" s="26" t="s">
        <v>247</v>
      </c>
      <c r="D31" s="348"/>
      <c r="E31" s="348"/>
      <c r="F31" s="348"/>
      <c r="G31" s="348"/>
      <c r="H31" s="348"/>
      <c r="I31" s="348"/>
      <c r="J31" s="348"/>
      <c r="K31" s="412">
        <f>-18550</f>
        <v>-18550</v>
      </c>
      <c r="L31" s="412"/>
      <c r="M31" s="348"/>
      <c r="N31" s="348"/>
      <c r="O31" s="348"/>
      <c r="P31" s="348"/>
      <c r="Q31" s="348"/>
      <c r="R31" s="348">
        <f t="shared" si="1"/>
        <v>-18550</v>
      </c>
      <c r="S31" s="348"/>
      <c r="T31" s="348"/>
      <c r="U31" s="348"/>
      <c r="V31" s="348"/>
      <c r="W31" s="348"/>
      <c r="X31" s="350">
        <f t="shared" ref="X31" si="14">SUM(T31:W31)</f>
        <v>0</v>
      </c>
      <c r="Y31" s="354">
        <f t="shared" ref="Y31" si="15">R31+X31</f>
        <v>-18550</v>
      </c>
      <c r="Z31" s="453">
        <f>18550</f>
        <v>18550</v>
      </c>
      <c r="AA31" s="23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60"/>
    </row>
    <row r="32" spans="1:42" ht="32.25" hidden="1" customHeight="1" x14ac:dyDescent="0.25">
      <c r="A32" s="70">
        <v>15</v>
      </c>
      <c r="B32" s="345" t="s">
        <v>270</v>
      </c>
      <c r="C32" s="26" t="s">
        <v>271</v>
      </c>
      <c r="D32" s="348"/>
      <c r="E32" s="348"/>
      <c r="F32" s="348">
        <f>-872-236</f>
        <v>-1108</v>
      </c>
      <c r="G32" s="348"/>
      <c r="H32" s="348"/>
      <c r="I32" s="348"/>
      <c r="J32" s="348"/>
      <c r="K32" s="412"/>
      <c r="L32" s="412">
        <f>872+236</f>
        <v>1108</v>
      </c>
      <c r="M32" s="348"/>
      <c r="N32" s="348"/>
      <c r="O32" s="348"/>
      <c r="P32" s="348"/>
      <c r="Q32" s="348"/>
      <c r="R32" s="348">
        <f t="shared" si="1"/>
        <v>0</v>
      </c>
      <c r="S32" s="348"/>
      <c r="T32" s="348"/>
      <c r="U32" s="348"/>
      <c r="V32" s="348"/>
      <c r="W32" s="348"/>
      <c r="X32" s="350">
        <f t="shared" ref="X32" si="16">SUM(T32:W32)</f>
        <v>0</v>
      </c>
      <c r="Y32" s="354">
        <f t="shared" ref="Y32" si="17">R32+X32</f>
        <v>0</v>
      </c>
      <c r="Z32" s="453"/>
      <c r="AA32" s="238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60"/>
    </row>
    <row r="33" spans="1:42" ht="24.95" hidden="1" customHeight="1" x14ac:dyDescent="0.25">
      <c r="A33" s="70">
        <v>16</v>
      </c>
      <c r="B33" s="345" t="s">
        <v>217</v>
      </c>
      <c r="C33" s="26" t="s">
        <v>227</v>
      </c>
      <c r="D33" s="348"/>
      <c r="E33" s="348"/>
      <c r="F33" s="348"/>
      <c r="G33" s="348"/>
      <c r="H33" s="348"/>
      <c r="I33" s="348"/>
      <c r="J33" s="348"/>
      <c r="K33" s="412">
        <f>-6057</f>
        <v>-6057</v>
      </c>
      <c r="L33" s="412">
        <f>4769+1288</f>
        <v>6057</v>
      </c>
      <c r="M33" s="348"/>
      <c r="N33" s="348"/>
      <c r="O33" s="348"/>
      <c r="P33" s="348"/>
      <c r="Q33" s="348"/>
      <c r="R33" s="348">
        <f t="shared" si="1"/>
        <v>0</v>
      </c>
      <c r="S33" s="348"/>
      <c r="T33" s="348"/>
      <c r="U33" s="348"/>
      <c r="V33" s="348"/>
      <c r="W33" s="348"/>
      <c r="X33" s="350">
        <f t="shared" si="2"/>
        <v>0</v>
      </c>
      <c r="Y33" s="354">
        <f t="shared" si="3"/>
        <v>0</v>
      </c>
      <c r="Z33" s="453"/>
      <c r="AA33" s="238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60"/>
    </row>
    <row r="34" spans="1:42" ht="24.95" hidden="1" customHeight="1" x14ac:dyDescent="0.25">
      <c r="A34" s="70">
        <v>17</v>
      </c>
      <c r="B34" s="117" t="s">
        <v>218</v>
      </c>
      <c r="C34" s="26" t="s">
        <v>228</v>
      </c>
      <c r="D34" s="348"/>
      <c r="E34" s="348"/>
      <c r="F34" s="348"/>
      <c r="G34" s="348"/>
      <c r="H34" s="348"/>
      <c r="I34" s="348"/>
      <c r="J34" s="348"/>
      <c r="K34" s="412">
        <f>-1563</f>
        <v>-1563</v>
      </c>
      <c r="L34" s="412"/>
      <c r="M34" s="348"/>
      <c r="N34" s="348"/>
      <c r="O34" s="348"/>
      <c r="P34" s="348"/>
      <c r="Q34" s="348"/>
      <c r="R34" s="348">
        <f t="shared" si="1"/>
        <v>-1563</v>
      </c>
      <c r="S34" s="348"/>
      <c r="T34" s="348"/>
      <c r="U34" s="348"/>
      <c r="V34" s="348"/>
      <c r="W34" s="348"/>
      <c r="X34" s="350">
        <f t="shared" ref="X34:X45" si="18">SUM(T34:W34)</f>
        <v>0</v>
      </c>
      <c r="Y34" s="354">
        <f t="shared" ref="Y34:Y45" si="19">R34+X34</f>
        <v>-1563</v>
      </c>
      <c r="Z34" s="453">
        <f>1563</f>
        <v>1563</v>
      </c>
      <c r="AA34" s="238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60"/>
    </row>
    <row r="35" spans="1:42" ht="24.95" hidden="1" customHeight="1" x14ac:dyDescent="0.25">
      <c r="A35" s="70">
        <v>18</v>
      </c>
      <c r="B35" s="117" t="s">
        <v>266</v>
      </c>
      <c r="C35" s="26" t="s">
        <v>267</v>
      </c>
      <c r="D35" s="348"/>
      <c r="E35" s="348"/>
      <c r="F35" s="348"/>
      <c r="G35" s="348"/>
      <c r="H35" s="348"/>
      <c r="I35" s="348"/>
      <c r="J35" s="348"/>
      <c r="K35" s="412">
        <f>232</f>
        <v>232</v>
      </c>
      <c r="L35" s="412"/>
      <c r="M35" s="348"/>
      <c r="N35" s="348"/>
      <c r="O35" s="348"/>
      <c r="P35" s="348"/>
      <c r="Q35" s="348"/>
      <c r="R35" s="348">
        <f>SUM(D35:Q35)</f>
        <v>232</v>
      </c>
      <c r="S35" s="348"/>
      <c r="T35" s="348"/>
      <c r="U35" s="348"/>
      <c r="V35" s="348"/>
      <c r="W35" s="348"/>
      <c r="X35" s="350">
        <f t="shared" ref="X35" si="20">SUM(T35:W35)</f>
        <v>0</v>
      </c>
      <c r="Y35" s="354">
        <f>R35+X35</f>
        <v>232</v>
      </c>
      <c r="Z35" s="453"/>
      <c r="AA35" s="238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60"/>
    </row>
    <row r="36" spans="1:42" ht="24.95" hidden="1" customHeight="1" x14ac:dyDescent="0.25">
      <c r="A36" s="70">
        <v>19</v>
      </c>
      <c r="B36" s="117" t="s">
        <v>272</v>
      </c>
      <c r="C36" s="26" t="s">
        <v>273</v>
      </c>
      <c r="D36" s="348"/>
      <c r="E36" s="348"/>
      <c r="F36" s="348">
        <f>4308+1163+686+185</f>
        <v>6342</v>
      </c>
      <c r="G36" s="348"/>
      <c r="H36" s="348"/>
      <c r="I36" s="348"/>
      <c r="J36" s="348"/>
      <c r="K36" s="412"/>
      <c r="L36" s="412"/>
      <c r="M36" s="348"/>
      <c r="N36" s="348"/>
      <c r="O36" s="348"/>
      <c r="P36" s="348"/>
      <c r="Q36" s="348"/>
      <c r="R36" s="348">
        <f>SUM(D36:Q36)</f>
        <v>6342</v>
      </c>
      <c r="S36" s="348"/>
      <c r="T36" s="348"/>
      <c r="U36" s="348"/>
      <c r="V36" s="348"/>
      <c r="W36" s="348"/>
      <c r="X36" s="350">
        <f t="shared" ref="X36" si="21">SUM(T36:W36)</f>
        <v>0</v>
      </c>
      <c r="Y36" s="354">
        <f>R36+X36</f>
        <v>6342</v>
      </c>
      <c r="Z36" s="453"/>
      <c r="AA36" s="238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60"/>
    </row>
    <row r="37" spans="1:42" ht="24.95" hidden="1" customHeight="1" x14ac:dyDescent="0.25">
      <c r="A37" s="70">
        <v>20</v>
      </c>
      <c r="B37" s="345" t="s">
        <v>236</v>
      </c>
      <c r="C37" s="26" t="s">
        <v>237</v>
      </c>
      <c r="D37" s="348">
        <f>105</f>
        <v>105</v>
      </c>
      <c r="E37" s="348">
        <f>19</f>
        <v>19</v>
      </c>
      <c r="F37" s="348"/>
      <c r="G37" s="348"/>
      <c r="H37" s="348"/>
      <c r="I37" s="348"/>
      <c r="J37" s="348"/>
      <c r="K37" s="412"/>
      <c r="L37" s="412"/>
      <c r="M37" s="348"/>
      <c r="N37" s="348"/>
      <c r="O37" s="348"/>
      <c r="P37" s="348"/>
      <c r="Q37" s="348"/>
      <c r="R37" s="348">
        <f t="shared" si="1"/>
        <v>124</v>
      </c>
      <c r="S37" s="348"/>
      <c r="T37" s="348"/>
      <c r="U37" s="348"/>
      <c r="V37" s="348"/>
      <c r="W37" s="348"/>
      <c r="X37" s="350">
        <f t="shared" si="18"/>
        <v>0</v>
      </c>
      <c r="Y37" s="354">
        <f t="shared" si="19"/>
        <v>124</v>
      </c>
      <c r="Z37" s="453">
        <f>-124</f>
        <v>-124</v>
      </c>
      <c r="AA37" s="238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60"/>
    </row>
    <row r="38" spans="1:42" ht="24.95" hidden="1" customHeight="1" x14ac:dyDescent="0.25">
      <c r="A38" s="70">
        <v>21</v>
      </c>
      <c r="B38" s="345" t="s">
        <v>264</v>
      </c>
      <c r="C38" s="26" t="s">
        <v>265</v>
      </c>
      <c r="D38" s="348"/>
      <c r="E38" s="348"/>
      <c r="F38" s="348"/>
      <c r="G38" s="348"/>
      <c r="H38" s="348"/>
      <c r="I38" s="348"/>
      <c r="J38" s="348"/>
      <c r="K38" s="412">
        <f>8200</f>
        <v>8200</v>
      </c>
      <c r="L38" s="412">
        <f>5900</f>
        <v>5900</v>
      </c>
      <c r="M38" s="348"/>
      <c r="N38" s="348"/>
      <c r="O38" s="348"/>
      <c r="P38" s="348"/>
      <c r="Q38" s="348"/>
      <c r="R38" s="348">
        <f t="shared" si="1"/>
        <v>14100</v>
      </c>
      <c r="S38" s="348"/>
      <c r="T38" s="348"/>
      <c r="U38" s="348"/>
      <c r="V38" s="348"/>
      <c r="W38" s="348"/>
      <c r="X38" s="350">
        <f t="shared" ref="X38" si="22">SUM(T38:W38)</f>
        <v>0</v>
      </c>
      <c r="Y38" s="354">
        <f t="shared" ref="Y38" si="23">R38+X38</f>
        <v>14100</v>
      </c>
      <c r="Z38" s="453"/>
      <c r="AA38" s="238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60"/>
    </row>
    <row r="39" spans="1:42" ht="24.95" hidden="1" customHeight="1" x14ac:dyDescent="0.25">
      <c r="A39" s="70">
        <v>22</v>
      </c>
      <c r="B39" s="345" t="s">
        <v>248</v>
      </c>
      <c r="C39" s="26" t="s">
        <v>249</v>
      </c>
      <c r="D39" s="348"/>
      <c r="E39" s="348"/>
      <c r="F39" s="348">
        <f>-8019.33</f>
        <v>-8019.33</v>
      </c>
      <c r="G39" s="348"/>
      <c r="H39" s="348"/>
      <c r="I39" s="348"/>
      <c r="J39" s="348"/>
      <c r="K39" s="412"/>
      <c r="L39" s="412"/>
      <c r="M39" s="348"/>
      <c r="N39" s="348"/>
      <c r="O39" s="348"/>
      <c r="P39" s="348"/>
      <c r="Q39" s="348"/>
      <c r="R39" s="348">
        <f t="shared" si="1"/>
        <v>-8019.33</v>
      </c>
      <c r="S39" s="348"/>
      <c r="T39" s="348"/>
      <c r="U39" s="348"/>
      <c r="V39" s="348"/>
      <c r="W39" s="348"/>
      <c r="X39" s="350">
        <f t="shared" ref="X39" si="24">SUM(T39:W39)</f>
        <v>0</v>
      </c>
      <c r="Y39" s="354">
        <f t="shared" ref="Y39" si="25">R39+X39</f>
        <v>-8019.33</v>
      </c>
      <c r="Z39" s="453">
        <f>8019.33</f>
        <v>8019.33</v>
      </c>
      <c r="AA39" s="238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60"/>
    </row>
    <row r="40" spans="1:42" ht="24.95" hidden="1" customHeight="1" x14ac:dyDescent="0.25">
      <c r="A40" s="70">
        <v>23</v>
      </c>
      <c r="B40" s="345" t="s">
        <v>239</v>
      </c>
      <c r="C40" s="26" t="s">
        <v>240</v>
      </c>
      <c r="D40" s="348"/>
      <c r="E40" s="348"/>
      <c r="F40" s="348">
        <f>300</f>
        <v>300</v>
      </c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>
        <f t="shared" si="1"/>
        <v>300</v>
      </c>
      <c r="S40" s="348"/>
      <c r="T40" s="348"/>
      <c r="U40" s="348"/>
      <c r="V40" s="348"/>
      <c r="W40" s="348"/>
      <c r="X40" s="350">
        <f t="shared" si="18"/>
        <v>0</v>
      </c>
      <c r="Y40" s="354">
        <f t="shared" si="19"/>
        <v>300</v>
      </c>
      <c r="Z40" s="453"/>
      <c r="AA40" s="238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60"/>
    </row>
    <row r="41" spans="1:42" ht="24.95" hidden="1" customHeight="1" x14ac:dyDescent="0.25">
      <c r="A41" s="70">
        <v>24</v>
      </c>
      <c r="B41" s="345" t="s">
        <v>262</v>
      </c>
      <c r="C41" s="26" t="s">
        <v>263</v>
      </c>
      <c r="D41" s="348">
        <f>2363</f>
        <v>2363</v>
      </c>
      <c r="E41" s="348">
        <f>415</f>
        <v>415</v>
      </c>
      <c r="F41" s="348">
        <f>36+70+4+60+17+40+120+33+447+120</f>
        <v>947</v>
      </c>
      <c r="G41" s="348"/>
      <c r="H41" s="348"/>
      <c r="I41" s="348"/>
      <c r="J41" s="348">
        <v>400</v>
      </c>
      <c r="K41" s="348">
        <f>-4125</f>
        <v>-4125</v>
      </c>
      <c r="L41" s="348"/>
      <c r="M41" s="348"/>
      <c r="N41" s="348"/>
      <c r="O41" s="348"/>
      <c r="P41" s="348"/>
      <c r="Q41" s="348"/>
      <c r="R41" s="348">
        <f t="shared" si="1"/>
        <v>0</v>
      </c>
      <c r="S41" s="348"/>
      <c r="T41" s="348"/>
      <c r="U41" s="348"/>
      <c r="V41" s="348"/>
      <c r="W41" s="348"/>
      <c r="X41" s="350">
        <f t="shared" ref="X41" si="26">SUM(T41:W41)</f>
        <v>0</v>
      </c>
      <c r="Y41" s="354">
        <f t="shared" ref="Y41" si="27">R41+X41</f>
        <v>0</v>
      </c>
      <c r="Z41" s="453"/>
      <c r="AA41" s="238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60"/>
    </row>
    <row r="42" spans="1:42" ht="24.95" hidden="1" customHeight="1" x14ac:dyDescent="0.25">
      <c r="A42" s="70">
        <v>25</v>
      </c>
      <c r="B42" s="345" t="s">
        <v>260</v>
      </c>
      <c r="C42" s="26" t="s">
        <v>261</v>
      </c>
      <c r="D42" s="348">
        <f>200</f>
        <v>200</v>
      </c>
      <c r="E42" s="348">
        <f>40+2</f>
        <v>42</v>
      </c>
      <c r="F42" s="348">
        <f>243+65</f>
        <v>308</v>
      </c>
      <c r="G42" s="348"/>
      <c r="H42" s="348"/>
      <c r="I42" s="348"/>
      <c r="J42" s="348">
        <f>100</f>
        <v>100</v>
      </c>
      <c r="K42" s="348">
        <f>-750</f>
        <v>-750</v>
      </c>
      <c r="L42" s="348">
        <f>79+21</f>
        <v>100</v>
      </c>
      <c r="M42" s="348"/>
      <c r="N42" s="348"/>
      <c r="O42" s="348"/>
      <c r="P42" s="348"/>
      <c r="Q42" s="348"/>
      <c r="R42" s="348">
        <f t="shared" si="1"/>
        <v>0</v>
      </c>
      <c r="S42" s="348"/>
      <c r="T42" s="348"/>
      <c r="U42" s="348"/>
      <c r="V42" s="348"/>
      <c r="W42" s="348"/>
      <c r="X42" s="350">
        <f t="shared" si="18"/>
        <v>0</v>
      </c>
      <c r="Y42" s="354">
        <f t="shared" si="19"/>
        <v>0</v>
      </c>
      <c r="Z42" s="453"/>
      <c r="AA42" s="238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60"/>
    </row>
    <row r="43" spans="1:42" ht="35.25" hidden="1" customHeight="1" x14ac:dyDescent="0.25">
      <c r="A43" s="70">
        <v>26</v>
      </c>
      <c r="B43" s="345" t="s">
        <v>268</v>
      </c>
      <c r="C43" s="26" t="s">
        <v>269</v>
      </c>
      <c r="D43" s="348"/>
      <c r="E43" s="348"/>
      <c r="F43" s="348">
        <f>2195+593</f>
        <v>2788</v>
      </c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>
        <f t="shared" si="1"/>
        <v>2788</v>
      </c>
      <c r="S43" s="348"/>
      <c r="T43" s="348"/>
      <c r="U43" s="348"/>
      <c r="V43" s="348"/>
      <c r="W43" s="348"/>
      <c r="X43" s="350">
        <f t="shared" ref="X43" si="28">SUM(T43:W43)</f>
        <v>0</v>
      </c>
      <c r="Y43" s="354">
        <f t="shared" ref="Y43" si="29">R43+X43</f>
        <v>2788</v>
      </c>
      <c r="Z43" s="453"/>
      <c r="AA43" s="238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60"/>
    </row>
    <row r="44" spans="1:42" ht="24.95" hidden="1" customHeight="1" x14ac:dyDescent="0.25">
      <c r="A44" s="70">
        <v>27</v>
      </c>
      <c r="B44" s="345" t="s">
        <v>255</v>
      </c>
      <c r="C44" s="26" t="s">
        <v>253</v>
      </c>
      <c r="D44" s="348"/>
      <c r="E44" s="348"/>
      <c r="F44" s="348"/>
      <c r="G44" s="348"/>
      <c r="H44" s="348"/>
      <c r="I44" s="348"/>
      <c r="J44" s="348">
        <f>150</f>
        <v>150</v>
      </c>
      <c r="K44" s="348">
        <f>-150</f>
        <v>-150</v>
      </c>
      <c r="L44" s="348"/>
      <c r="M44" s="348"/>
      <c r="N44" s="348"/>
      <c r="O44" s="348"/>
      <c r="P44" s="348"/>
      <c r="Q44" s="348"/>
      <c r="R44" s="348">
        <f t="shared" si="1"/>
        <v>0</v>
      </c>
      <c r="S44" s="348"/>
      <c r="T44" s="348"/>
      <c r="U44" s="348"/>
      <c r="V44" s="348"/>
      <c r="W44" s="348"/>
      <c r="X44" s="350">
        <f t="shared" si="18"/>
        <v>0</v>
      </c>
      <c r="Y44" s="354">
        <f t="shared" si="19"/>
        <v>0</v>
      </c>
      <c r="Z44" s="453"/>
      <c r="AA44" s="238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60"/>
    </row>
    <row r="45" spans="1:42" ht="24.95" hidden="1" customHeight="1" x14ac:dyDescent="0.25">
      <c r="A45" s="70">
        <v>28</v>
      </c>
      <c r="B45" s="345" t="s">
        <v>254</v>
      </c>
      <c r="C45" s="26" t="s">
        <v>253</v>
      </c>
      <c r="D45" s="348"/>
      <c r="E45" s="348"/>
      <c r="F45" s="348"/>
      <c r="G45" s="348"/>
      <c r="H45" s="348"/>
      <c r="I45" s="348"/>
      <c r="J45" s="348">
        <f>50</f>
        <v>50</v>
      </c>
      <c r="K45" s="348">
        <f>-50</f>
        <v>-50</v>
      </c>
      <c r="L45" s="348"/>
      <c r="M45" s="348"/>
      <c r="N45" s="348"/>
      <c r="O45" s="348"/>
      <c r="P45" s="348"/>
      <c r="Q45" s="348"/>
      <c r="R45" s="348">
        <f t="shared" si="1"/>
        <v>0</v>
      </c>
      <c r="S45" s="348"/>
      <c r="T45" s="348"/>
      <c r="U45" s="348"/>
      <c r="V45" s="348"/>
      <c r="W45" s="348"/>
      <c r="X45" s="350">
        <f t="shared" si="18"/>
        <v>0</v>
      </c>
      <c r="Y45" s="354">
        <f t="shared" si="19"/>
        <v>0</v>
      </c>
      <c r="Z45" s="453"/>
      <c r="AA45" s="238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60"/>
    </row>
    <row r="46" spans="1:42" ht="24.95" hidden="1" customHeight="1" x14ac:dyDescent="0.25">
      <c r="A46" s="70">
        <v>29</v>
      </c>
      <c r="B46" s="345" t="s">
        <v>256</v>
      </c>
      <c r="C46" s="26" t="s">
        <v>257</v>
      </c>
      <c r="D46" s="348"/>
      <c r="E46" s="348"/>
      <c r="F46" s="348">
        <f>-51-14</f>
        <v>-65</v>
      </c>
      <c r="G46" s="348"/>
      <c r="H46" s="348"/>
      <c r="I46" s="348"/>
      <c r="J46" s="348"/>
      <c r="K46" s="348"/>
      <c r="L46" s="348">
        <f>51+14</f>
        <v>65</v>
      </c>
      <c r="M46" s="348"/>
      <c r="N46" s="348"/>
      <c r="O46" s="348"/>
      <c r="P46" s="348"/>
      <c r="Q46" s="348"/>
      <c r="R46" s="348">
        <f t="shared" si="1"/>
        <v>0</v>
      </c>
      <c r="S46" s="348"/>
      <c r="T46" s="348"/>
      <c r="U46" s="348"/>
      <c r="V46" s="348"/>
      <c r="W46" s="348"/>
      <c r="X46" s="350">
        <f t="shared" ref="X46" si="30">SUM(T46:W46)</f>
        <v>0</v>
      </c>
      <c r="Y46" s="354">
        <f t="shared" ref="Y46" si="31">R46+X46</f>
        <v>0</v>
      </c>
      <c r="Z46" s="453"/>
      <c r="AA46" s="238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60"/>
    </row>
    <row r="47" spans="1:42" ht="24.95" hidden="1" customHeight="1" x14ac:dyDescent="0.25">
      <c r="A47" s="70">
        <v>30</v>
      </c>
      <c r="B47" s="345" t="s">
        <v>258</v>
      </c>
      <c r="C47" s="26" t="s">
        <v>259</v>
      </c>
      <c r="D47" s="348"/>
      <c r="E47" s="348"/>
      <c r="F47" s="348">
        <f>-228-62</f>
        <v>-290</v>
      </c>
      <c r="G47" s="348"/>
      <c r="H47" s="348"/>
      <c r="I47" s="348"/>
      <c r="J47" s="348"/>
      <c r="K47" s="348"/>
      <c r="L47" s="348">
        <f>228+62</f>
        <v>290</v>
      </c>
      <c r="M47" s="348"/>
      <c r="N47" s="348"/>
      <c r="O47" s="348"/>
      <c r="P47" s="348"/>
      <c r="Q47" s="348"/>
      <c r="R47" s="348">
        <f t="shared" si="1"/>
        <v>0</v>
      </c>
      <c r="S47" s="348"/>
      <c r="T47" s="348"/>
      <c r="U47" s="348"/>
      <c r="V47" s="348"/>
      <c r="W47" s="348"/>
      <c r="X47" s="350">
        <f t="shared" ref="X47" si="32">SUM(T47:W47)</f>
        <v>0</v>
      </c>
      <c r="Y47" s="354">
        <f t="shared" ref="Y47" si="33">R47+X47</f>
        <v>0</v>
      </c>
      <c r="Z47" s="453"/>
      <c r="AA47" s="238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60"/>
    </row>
    <row r="48" spans="1:42" ht="24.95" hidden="1" customHeight="1" x14ac:dyDescent="0.25">
      <c r="A48" s="70">
        <v>31</v>
      </c>
      <c r="B48" s="345" t="s">
        <v>307</v>
      </c>
      <c r="C48" s="26" t="s">
        <v>259</v>
      </c>
      <c r="D48" s="348"/>
      <c r="E48" s="348"/>
      <c r="F48" s="348">
        <f>-62-17</f>
        <v>-79</v>
      </c>
      <c r="G48" s="348"/>
      <c r="H48" s="348"/>
      <c r="I48" s="348"/>
      <c r="J48" s="348"/>
      <c r="K48" s="348"/>
      <c r="L48" s="348">
        <f>62+17</f>
        <v>79</v>
      </c>
      <c r="M48" s="348"/>
      <c r="N48" s="348"/>
      <c r="O48" s="348"/>
      <c r="P48" s="348"/>
      <c r="Q48" s="348"/>
      <c r="R48" s="348">
        <f t="shared" si="1"/>
        <v>0</v>
      </c>
      <c r="S48" s="348"/>
      <c r="T48" s="348"/>
      <c r="U48" s="348"/>
      <c r="V48" s="348"/>
      <c r="W48" s="348"/>
      <c r="X48" s="350">
        <f t="shared" ref="X48" si="34">SUM(T48:W48)</f>
        <v>0</v>
      </c>
      <c r="Y48" s="354">
        <f t="shared" ref="Y48" si="35">R48+X48</f>
        <v>0</v>
      </c>
      <c r="Z48" s="453"/>
      <c r="AA48" s="238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60"/>
    </row>
    <row r="49" spans="1:42" ht="24.95" hidden="1" customHeight="1" x14ac:dyDescent="0.25">
      <c r="A49" s="70">
        <v>32</v>
      </c>
      <c r="B49" s="345" t="s">
        <v>250</v>
      </c>
      <c r="C49" s="26" t="s">
        <v>251</v>
      </c>
      <c r="D49" s="348">
        <f>252</f>
        <v>252</v>
      </c>
      <c r="E49" s="348"/>
      <c r="F49" s="348">
        <f>-252-69+69</f>
        <v>-252</v>
      </c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>
        <f t="shared" si="1"/>
        <v>0</v>
      </c>
      <c r="S49" s="348"/>
      <c r="T49" s="348"/>
      <c r="U49" s="348"/>
      <c r="V49" s="348"/>
      <c r="W49" s="348"/>
      <c r="X49" s="350">
        <f t="shared" si="2"/>
        <v>0</v>
      </c>
      <c r="Y49" s="354">
        <f t="shared" si="3"/>
        <v>0</v>
      </c>
      <c r="Z49" s="453"/>
      <c r="AA49" s="238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60"/>
    </row>
    <row r="50" spans="1:42" ht="24.95" hidden="1" customHeight="1" x14ac:dyDescent="0.25">
      <c r="A50" s="70">
        <v>33</v>
      </c>
      <c r="B50" s="345" t="s">
        <v>252</v>
      </c>
      <c r="C50" s="26" t="s">
        <v>253</v>
      </c>
      <c r="D50" s="348"/>
      <c r="E50" s="348"/>
      <c r="F50" s="348"/>
      <c r="G50" s="348"/>
      <c r="H50" s="348"/>
      <c r="I50" s="348"/>
      <c r="J50" s="348">
        <f>210</f>
        <v>210</v>
      </c>
      <c r="K50" s="348">
        <f>-210</f>
        <v>-210</v>
      </c>
      <c r="L50" s="348"/>
      <c r="M50" s="348"/>
      <c r="N50" s="348"/>
      <c r="O50" s="348"/>
      <c r="P50" s="348"/>
      <c r="Q50" s="348"/>
      <c r="R50" s="348">
        <f t="shared" si="1"/>
        <v>0</v>
      </c>
      <c r="S50" s="348"/>
      <c r="T50" s="348"/>
      <c r="U50" s="348"/>
      <c r="V50" s="348"/>
      <c r="W50" s="348"/>
      <c r="X50" s="350">
        <f t="shared" si="2"/>
        <v>0</v>
      </c>
      <c r="Y50" s="354">
        <f t="shared" si="3"/>
        <v>0</v>
      </c>
      <c r="Z50" s="453"/>
      <c r="AA50" s="238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60"/>
    </row>
    <row r="51" spans="1:42" ht="24.95" hidden="1" customHeight="1" x14ac:dyDescent="0.25">
      <c r="A51" s="70">
        <v>34</v>
      </c>
      <c r="B51" s="345" t="s">
        <v>278</v>
      </c>
      <c r="C51" s="26" t="s">
        <v>279</v>
      </c>
      <c r="D51" s="348"/>
      <c r="E51" s="348"/>
      <c r="F51" s="348">
        <f>-766.142-206.858</f>
        <v>-973</v>
      </c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>
        <f t="shared" si="1"/>
        <v>-973</v>
      </c>
      <c r="S51" s="348"/>
      <c r="T51" s="348"/>
      <c r="U51" s="348"/>
      <c r="V51" s="348"/>
      <c r="W51" s="348"/>
      <c r="X51" s="350">
        <f t="shared" ref="X51" si="36">SUM(T51:W51)</f>
        <v>0</v>
      </c>
      <c r="Y51" s="354">
        <f t="shared" ref="Y51" si="37">R51+X51</f>
        <v>-973</v>
      </c>
      <c r="Z51" s="453">
        <f>973</f>
        <v>973</v>
      </c>
      <c r="AA51" s="238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60"/>
    </row>
    <row r="52" spans="1:42" ht="24.95" hidden="1" customHeight="1" x14ac:dyDescent="0.25">
      <c r="A52" s="70">
        <v>35</v>
      </c>
      <c r="B52" s="345" t="s">
        <v>274</v>
      </c>
      <c r="C52" s="26" t="s">
        <v>276</v>
      </c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>
        <f t="shared" si="1"/>
        <v>0</v>
      </c>
      <c r="S52" s="348"/>
      <c r="T52" s="348"/>
      <c r="U52" s="348"/>
      <c r="V52" s="348"/>
      <c r="W52" s="348"/>
      <c r="X52" s="350">
        <f t="shared" si="2"/>
        <v>0</v>
      </c>
      <c r="Y52" s="354">
        <f t="shared" si="3"/>
        <v>0</v>
      </c>
      <c r="Z52" s="453">
        <v>129.41800000000001</v>
      </c>
      <c r="AA52" s="238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60"/>
    </row>
    <row r="53" spans="1:42" ht="24.95" hidden="1" customHeight="1" x14ac:dyDescent="0.25">
      <c r="A53" s="70">
        <v>36</v>
      </c>
      <c r="B53" s="345" t="s">
        <v>274</v>
      </c>
      <c r="C53" s="26" t="s">
        <v>275</v>
      </c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>
        <f t="shared" si="1"/>
        <v>0</v>
      </c>
      <c r="S53" s="348"/>
      <c r="T53" s="348"/>
      <c r="U53" s="348"/>
      <c r="V53" s="348"/>
      <c r="W53" s="348"/>
      <c r="X53" s="350">
        <f t="shared" si="2"/>
        <v>0</v>
      </c>
      <c r="Y53" s="354">
        <f t="shared" si="3"/>
        <v>0</v>
      </c>
      <c r="Z53" s="453">
        <v>2358.4560000000001</v>
      </c>
      <c r="AA53" s="238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60"/>
    </row>
    <row r="54" spans="1:42" ht="24.95" hidden="1" customHeight="1" x14ac:dyDescent="0.25">
      <c r="A54" s="70">
        <v>37</v>
      </c>
      <c r="B54" s="345" t="s">
        <v>274</v>
      </c>
      <c r="C54" s="26" t="s">
        <v>277</v>
      </c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>
        <f t="shared" si="1"/>
        <v>0</v>
      </c>
      <c r="S54" s="348"/>
      <c r="T54" s="348"/>
      <c r="U54" s="348"/>
      <c r="V54" s="348"/>
      <c r="W54" s="348"/>
      <c r="X54" s="350">
        <f t="shared" si="2"/>
        <v>0</v>
      </c>
      <c r="Y54" s="354">
        <f t="shared" si="3"/>
        <v>0</v>
      </c>
      <c r="Z54" s="453">
        <v>1020.653</v>
      </c>
      <c r="AA54" s="238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60"/>
    </row>
    <row r="55" spans="1:42" ht="24.95" hidden="1" customHeight="1" x14ac:dyDescent="0.25">
      <c r="A55" s="70">
        <v>38</v>
      </c>
      <c r="B55" s="345" t="s">
        <v>280</v>
      </c>
      <c r="C55" s="26" t="s">
        <v>281</v>
      </c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>
        <f t="shared" si="1"/>
        <v>0</v>
      </c>
      <c r="S55" s="348"/>
      <c r="T55" s="348"/>
      <c r="U55" s="348"/>
      <c r="V55" s="348"/>
      <c r="W55" s="348"/>
      <c r="X55" s="350">
        <f t="shared" si="2"/>
        <v>0</v>
      </c>
      <c r="Y55" s="354">
        <f t="shared" si="3"/>
        <v>0</v>
      </c>
      <c r="Z55" s="453">
        <f>15924.323</f>
        <v>15924.323</v>
      </c>
      <c r="AA55" s="23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60"/>
    </row>
    <row r="56" spans="1:42" ht="24.95" hidden="1" customHeight="1" x14ac:dyDescent="0.25">
      <c r="A56" s="70">
        <v>39</v>
      </c>
      <c r="B56" s="345" t="s">
        <v>282</v>
      </c>
      <c r="C56" s="26" t="s">
        <v>283</v>
      </c>
      <c r="D56" s="348"/>
      <c r="E56" s="348"/>
      <c r="F56" s="348"/>
      <c r="G56" s="348"/>
      <c r="H56" s="348"/>
      <c r="I56" s="348"/>
      <c r="J56" s="348"/>
      <c r="K56" s="348">
        <f>-4700</f>
        <v>-4700</v>
      </c>
      <c r="L56" s="348"/>
      <c r="M56" s="348"/>
      <c r="N56" s="348"/>
      <c r="O56" s="348"/>
      <c r="P56" s="348"/>
      <c r="Q56" s="348"/>
      <c r="R56" s="348">
        <f t="shared" si="1"/>
        <v>-4700</v>
      </c>
      <c r="S56" s="348"/>
      <c r="T56" s="348"/>
      <c r="U56" s="348"/>
      <c r="V56" s="348"/>
      <c r="W56" s="348"/>
      <c r="X56" s="350">
        <f t="shared" si="2"/>
        <v>0</v>
      </c>
      <c r="Y56" s="354">
        <f t="shared" si="3"/>
        <v>-4700</v>
      </c>
      <c r="Z56" s="453">
        <f>4700</f>
        <v>4700</v>
      </c>
      <c r="AA56" s="238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60"/>
    </row>
    <row r="57" spans="1:42" ht="24.95" hidden="1" customHeight="1" x14ac:dyDescent="0.25">
      <c r="A57" s="70">
        <v>40</v>
      </c>
      <c r="B57" s="118" t="s">
        <v>289</v>
      </c>
      <c r="C57" s="26" t="s">
        <v>290</v>
      </c>
      <c r="D57" s="348"/>
      <c r="E57" s="348"/>
      <c r="F57" s="348"/>
      <c r="G57" s="348"/>
      <c r="H57" s="348"/>
      <c r="I57" s="348"/>
      <c r="J57" s="348"/>
      <c r="K57" s="348">
        <f>877</f>
        <v>877</v>
      </c>
      <c r="L57" s="348"/>
      <c r="M57" s="348"/>
      <c r="N57" s="348"/>
      <c r="O57" s="348"/>
      <c r="P57" s="348"/>
      <c r="Q57" s="348"/>
      <c r="R57" s="348">
        <f t="shared" si="1"/>
        <v>877</v>
      </c>
      <c r="S57" s="348"/>
      <c r="T57" s="348"/>
      <c r="U57" s="348"/>
      <c r="V57" s="348"/>
      <c r="W57" s="348"/>
      <c r="X57" s="350">
        <f t="shared" si="2"/>
        <v>0</v>
      </c>
      <c r="Y57" s="354">
        <f t="shared" si="3"/>
        <v>877</v>
      </c>
      <c r="Z57" s="453"/>
      <c r="AA57" s="23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60"/>
    </row>
    <row r="58" spans="1:42" ht="24.95" hidden="1" customHeight="1" x14ac:dyDescent="0.25">
      <c r="A58" s="70">
        <v>41</v>
      </c>
      <c r="B58" s="177" t="s">
        <v>291</v>
      </c>
      <c r="C58" s="26" t="s">
        <v>292</v>
      </c>
      <c r="D58" s="348"/>
      <c r="E58" s="348"/>
      <c r="F58" s="348">
        <f>-6600-1782</f>
        <v>-8382</v>
      </c>
      <c r="G58" s="348"/>
      <c r="H58" s="348"/>
      <c r="I58" s="348"/>
      <c r="J58" s="348"/>
      <c r="K58" s="348"/>
      <c r="L58" s="348">
        <f>6600+1782</f>
        <v>8382</v>
      </c>
      <c r="M58" s="348"/>
      <c r="N58" s="348"/>
      <c r="O58" s="348"/>
      <c r="P58" s="348"/>
      <c r="Q58" s="348"/>
      <c r="R58" s="348">
        <f t="shared" si="1"/>
        <v>0</v>
      </c>
      <c r="S58" s="348"/>
      <c r="T58" s="348"/>
      <c r="U58" s="348"/>
      <c r="V58" s="348"/>
      <c r="W58" s="348"/>
      <c r="X58" s="350">
        <f t="shared" si="2"/>
        <v>0</v>
      </c>
      <c r="Y58" s="354">
        <f t="shared" si="3"/>
        <v>0</v>
      </c>
      <c r="Z58" s="453"/>
      <c r="AA58" s="238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60"/>
    </row>
    <row r="59" spans="1:42" ht="24.95" hidden="1" customHeight="1" x14ac:dyDescent="0.25">
      <c r="A59" s="70">
        <v>42</v>
      </c>
      <c r="B59" s="118" t="s">
        <v>294</v>
      </c>
      <c r="C59" s="26" t="s">
        <v>293</v>
      </c>
      <c r="D59" s="348"/>
      <c r="E59" s="348"/>
      <c r="F59" s="348"/>
      <c r="G59" s="348"/>
      <c r="H59" s="348"/>
      <c r="I59" s="348"/>
      <c r="J59" s="348"/>
      <c r="K59" s="348">
        <v>1</v>
      </c>
      <c r="L59" s="348"/>
      <c r="M59" s="348"/>
      <c r="N59" s="348"/>
      <c r="O59" s="348"/>
      <c r="P59" s="348"/>
      <c r="Q59" s="348"/>
      <c r="R59" s="348">
        <f t="shared" si="1"/>
        <v>1</v>
      </c>
      <c r="S59" s="348"/>
      <c r="T59" s="348"/>
      <c r="U59" s="348"/>
      <c r="V59" s="348"/>
      <c r="W59" s="348"/>
      <c r="X59" s="350">
        <f t="shared" si="2"/>
        <v>0</v>
      </c>
      <c r="Y59" s="354">
        <f t="shared" si="3"/>
        <v>1</v>
      </c>
      <c r="Z59" s="453"/>
      <c r="AA59" s="238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60"/>
    </row>
    <row r="60" spans="1:42" ht="24.95" hidden="1" customHeight="1" x14ac:dyDescent="0.25">
      <c r="A60" s="70">
        <v>43</v>
      </c>
      <c r="B60" s="177" t="s">
        <v>295</v>
      </c>
      <c r="C60" s="26" t="s">
        <v>296</v>
      </c>
      <c r="D60" s="348"/>
      <c r="E60" s="348"/>
      <c r="F60" s="348"/>
      <c r="G60" s="348"/>
      <c r="H60" s="348"/>
      <c r="I60" s="348"/>
      <c r="J60" s="348"/>
      <c r="K60" s="348">
        <f>30</f>
        <v>30</v>
      </c>
      <c r="L60" s="348"/>
      <c r="M60" s="348"/>
      <c r="N60" s="348"/>
      <c r="O60" s="348"/>
      <c r="P60" s="348"/>
      <c r="Q60" s="348"/>
      <c r="R60" s="348">
        <f t="shared" si="1"/>
        <v>30</v>
      </c>
      <c r="S60" s="348"/>
      <c r="T60" s="348"/>
      <c r="U60" s="348"/>
      <c r="V60" s="348"/>
      <c r="W60" s="348"/>
      <c r="X60" s="350">
        <f t="shared" si="2"/>
        <v>0</v>
      </c>
      <c r="Y60" s="354">
        <f t="shared" si="3"/>
        <v>30</v>
      </c>
      <c r="Z60" s="453"/>
      <c r="AA60" s="238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60"/>
    </row>
    <row r="61" spans="1:42" ht="24.95" hidden="1" customHeight="1" x14ac:dyDescent="0.25">
      <c r="A61" s="70">
        <v>44</v>
      </c>
      <c r="B61" s="177" t="s">
        <v>308</v>
      </c>
      <c r="C61" s="26" t="s">
        <v>309</v>
      </c>
      <c r="D61" s="348"/>
      <c r="E61" s="348"/>
      <c r="F61" s="348">
        <f>416+112+214+58</f>
        <v>800</v>
      </c>
      <c r="G61" s="348"/>
      <c r="H61" s="348"/>
      <c r="I61" s="348">
        <f>-800</f>
        <v>-800</v>
      </c>
      <c r="J61" s="348"/>
      <c r="K61" s="348"/>
      <c r="L61" s="348"/>
      <c r="M61" s="348"/>
      <c r="N61" s="348"/>
      <c r="O61" s="348"/>
      <c r="P61" s="348"/>
      <c r="Q61" s="348"/>
      <c r="R61" s="348">
        <f t="shared" si="1"/>
        <v>0</v>
      </c>
      <c r="S61" s="348"/>
      <c r="T61" s="348"/>
      <c r="U61" s="348"/>
      <c r="V61" s="348"/>
      <c r="W61" s="348"/>
      <c r="X61" s="350">
        <f t="shared" si="2"/>
        <v>0</v>
      </c>
      <c r="Y61" s="354">
        <f t="shared" si="3"/>
        <v>0</v>
      </c>
      <c r="Z61" s="453"/>
      <c r="AA61" s="238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60"/>
    </row>
    <row r="62" spans="1:42" ht="24.95" hidden="1" customHeight="1" x14ac:dyDescent="0.25">
      <c r="A62" s="70">
        <v>45</v>
      </c>
      <c r="B62" s="177" t="s">
        <v>314</v>
      </c>
      <c r="C62" s="26" t="s">
        <v>315</v>
      </c>
      <c r="D62" s="348"/>
      <c r="E62" s="348"/>
      <c r="F62" s="348"/>
      <c r="G62" s="348"/>
      <c r="H62" s="348"/>
      <c r="I62" s="348"/>
      <c r="J62" s="348"/>
      <c r="K62" s="348">
        <f>-3556</f>
        <v>-3556</v>
      </c>
      <c r="L62" s="348"/>
      <c r="M62" s="348"/>
      <c r="N62" s="348"/>
      <c r="O62" s="348"/>
      <c r="P62" s="348"/>
      <c r="Q62" s="348"/>
      <c r="R62" s="348">
        <f t="shared" si="1"/>
        <v>-3556</v>
      </c>
      <c r="S62" s="348"/>
      <c r="T62" s="348"/>
      <c r="U62" s="348"/>
      <c r="V62" s="348"/>
      <c r="W62" s="348"/>
      <c r="X62" s="350">
        <f t="shared" ref="X62" si="38">SUM(T62:W62)</f>
        <v>0</v>
      </c>
      <c r="Y62" s="354">
        <f t="shared" ref="Y62" si="39">R62+X62</f>
        <v>-3556</v>
      </c>
      <c r="Z62" s="453">
        <f>3556</f>
        <v>3556</v>
      </c>
      <c r="AA62" s="238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60"/>
    </row>
    <row r="63" spans="1:42" ht="24.95" hidden="1" customHeight="1" x14ac:dyDescent="0.25">
      <c r="A63" s="70">
        <v>46</v>
      </c>
      <c r="B63" s="177" t="s">
        <v>311</v>
      </c>
      <c r="C63" s="26" t="s">
        <v>310</v>
      </c>
      <c r="D63" s="348"/>
      <c r="E63" s="348"/>
      <c r="F63" s="348"/>
      <c r="G63" s="348"/>
      <c r="H63" s="348"/>
      <c r="I63" s="348"/>
      <c r="J63" s="348"/>
      <c r="K63" s="348">
        <f>1850</f>
        <v>1850</v>
      </c>
      <c r="L63" s="348"/>
      <c r="M63" s="348"/>
      <c r="N63" s="348"/>
      <c r="O63" s="348"/>
      <c r="P63" s="348"/>
      <c r="Q63" s="348"/>
      <c r="R63" s="348">
        <f t="shared" si="1"/>
        <v>1850</v>
      </c>
      <c r="S63" s="348"/>
      <c r="T63" s="348"/>
      <c r="U63" s="348"/>
      <c r="V63" s="348"/>
      <c r="W63" s="348"/>
      <c r="X63" s="350">
        <f t="shared" si="2"/>
        <v>0</v>
      </c>
      <c r="Y63" s="354">
        <f t="shared" si="3"/>
        <v>1850</v>
      </c>
      <c r="Z63" s="453"/>
      <c r="AA63" s="238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60"/>
    </row>
    <row r="64" spans="1:42" ht="24.95" hidden="1" customHeight="1" x14ac:dyDescent="0.25">
      <c r="A64" s="70">
        <v>47</v>
      </c>
      <c r="B64" s="177" t="s">
        <v>312</v>
      </c>
      <c r="C64" s="26" t="s">
        <v>313</v>
      </c>
      <c r="D64" s="348"/>
      <c r="E64" s="348"/>
      <c r="F64" s="348"/>
      <c r="G64" s="348"/>
      <c r="H64" s="348"/>
      <c r="I64" s="348"/>
      <c r="J64" s="348"/>
      <c r="K64" s="348">
        <f>13619</f>
        <v>13619</v>
      </c>
      <c r="L64" s="348"/>
      <c r="M64" s="348"/>
      <c r="N64" s="348"/>
      <c r="O64" s="348"/>
      <c r="P64" s="348"/>
      <c r="Q64" s="348"/>
      <c r="R64" s="348">
        <f t="shared" si="1"/>
        <v>13619</v>
      </c>
      <c r="S64" s="348"/>
      <c r="T64" s="348"/>
      <c r="U64" s="348"/>
      <c r="V64" s="348"/>
      <c r="W64" s="348"/>
      <c r="X64" s="350">
        <f t="shared" si="2"/>
        <v>0</v>
      </c>
      <c r="Y64" s="354">
        <f t="shared" si="3"/>
        <v>13619</v>
      </c>
      <c r="Z64" s="453"/>
      <c r="AA64" s="238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60"/>
    </row>
    <row r="65" spans="1:42" ht="24.95" hidden="1" customHeight="1" x14ac:dyDescent="0.25">
      <c r="A65" s="70">
        <v>48</v>
      </c>
      <c r="B65" s="177" t="s">
        <v>319</v>
      </c>
      <c r="C65" s="26" t="s">
        <v>317</v>
      </c>
      <c r="D65" s="348"/>
      <c r="E65" s="348"/>
      <c r="F65" s="348"/>
      <c r="G65" s="348"/>
      <c r="H65" s="348"/>
      <c r="I65" s="348"/>
      <c r="J65" s="348"/>
      <c r="K65" s="348">
        <f>85</f>
        <v>85</v>
      </c>
      <c r="L65" s="348"/>
      <c r="M65" s="348"/>
      <c r="N65" s="348"/>
      <c r="O65" s="348"/>
      <c r="P65" s="348"/>
      <c r="Q65" s="348"/>
      <c r="R65" s="348">
        <f t="shared" si="1"/>
        <v>85</v>
      </c>
      <c r="S65" s="348"/>
      <c r="T65" s="348"/>
      <c r="U65" s="348"/>
      <c r="V65" s="348"/>
      <c r="W65" s="348"/>
      <c r="X65" s="350">
        <f t="shared" si="2"/>
        <v>0</v>
      </c>
      <c r="Y65" s="354">
        <f t="shared" si="3"/>
        <v>85</v>
      </c>
      <c r="Z65" s="453"/>
      <c r="AA65" s="238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60"/>
    </row>
    <row r="66" spans="1:42" ht="24.95" hidden="1" customHeight="1" x14ac:dyDescent="0.25">
      <c r="A66" s="70">
        <v>49</v>
      </c>
      <c r="B66" s="118" t="s">
        <v>320</v>
      </c>
      <c r="C66" s="26" t="s">
        <v>321</v>
      </c>
      <c r="D66" s="348"/>
      <c r="E66" s="348"/>
      <c r="F66" s="348">
        <f>1800</f>
        <v>1800</v>
      </c>
      <c r="G66" s="348">
        <f>-1800</f>
        <v>-1800</v>
      </c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>
        <f t="shared" si="1"/>
        <v>0</v>
      </c>
      <c r="S66" s="348"/>
      <c r="T66" s="348"/>
      <c r="U66" s="348"/>
      <c r="V66" s="348"/>
      <c r="W66" s="348"/>
      <c r="X66" s="350">
        <f>SUM(T66:W66)</f>
        <v>0</v>
      </c>
      <c r="Y66" s="354">
        <f>R66+X66</f>
        <v>0</v>
      </c>
      <c r="Z66" s="453"/>
      <c r="AA66" s="238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60"/>
    </row>
    <row r="67" spans="1:42" ht="24.95" hidden="1" customHeight="1" x14ac:dyDescent="0.25">
      <c r="A67" s="70">
        <v>50</v>
      </c>
      <c r="B67" s="118" t="s">
        <v>322</v>
      </c>
      <c r="C67" s="408" t="s">
        <v>325</v>
      </c>
      <c r="D67" s="348"/>
      <c r="E67" s="348"/>
      <c r="F67" s="348"/>
      <c r="G67" s="348"/>
      <c r="H67" s="348"/>
      <c r="I67" s="348"/>
      <c r="J67" s="348"/>
      <c r="K67" s="348">
        <f>240</f>
        <v>240</v>
      </c>
      <c r="L67" s="348"/>
      <c r="M67" s="348"/>
      <c r="N67" s="348"/>
      <c r="O67" s="348"/>
      <c r="P67" s="348"/>
      <c r="Q67" s="348"/>
      <c r="R67" s="348">
        <f t="shared" si="1"/>
        <v>240</v>
      </c>
      <c r="S67" s="348"/>
      <c r="T67" s="348"/>
      <c r="U67" s="348"/>
      <c r="V67" s="348"/>
      <c r="W67" s="348"/>
      <c r="X67" s="350">
        <f t="shared" si="2"/>
        <v>0</v>
      </c>
      <c r="Y67" s="354">
        <f t="shared" si="3"/>
        <v>240</v>
      </c>
      <c r="Z67" s="453"/>
      <c r="AA67" s="238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60"/>
    </row>
    <row r="68" spans="1:42" ht="24.95" hidden="1" customHeight="1" x14ac:dyDescent="0.25">
      <c r="A68" s="70">
        <v>51</v>
      </c>
      <c r="B68" s="118" t="s">
        <v>323</v>
      </c>
      <c r="C68" s="26" t="s">
        <v>324</v>
      </c>
      <c r="D68" s="348"/>
      <c r="E68" s="348"/>
      <c r="F68" s="348"/>
      <c r="G68" s="348"/>
      <c r="H68" s="348"/>
      <c r="I68" s="348"/>
      <c r="J68" s="348"/>
      <c r="K68" s="348">
        <f>25+7</f>
        <v>32</v>
      </c>
      <c r="L68" s="348"/>
      <c r="M68" s="348"/>
      <c r="N68" s="348"/>
      <c r="O68" s="348"/>
      <c r="P68" s="348"/>
      <c r="Q68" s="348"/>
      <c r="R68" s="348">
        <f t="shared" si="1"/>
        <v>32</v>
      </c>
      <c r="S68" s="348"/>
      <c r="T68" s="348"/>
      <c r="U68" s="348"/>
      <c r="V68" s="349"/>
      <c r="W68" s="348"/>
      <c r="X68" s="350">
        <f t="shared" si="2"/>
        <v>0</v>
      </c>
      <c r="Y68" s="354">
        <f t="shared" si="3"/>
        <v>32</v>
      </c>
      <c r="Z68" s="453"/>
      <c r="AA68" s="238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60"/>
    </row>
    <row r="69" spans="1:42" ht="24.95" hidden="1" customHeight="1" x14ac:dyDescent="0.25">
      <c r="A69" s="70">
        <v>52</v>
      </c>
      <c r="B69" s="118" t="s">
        <v>327</v>
      </c>
      <c r="C69" s="26" t="s">
        <v>326</v>
      </c>
      <c r="D69" s="348"/>
      <c r="E69" s="348"/>
      <c r="F69" s="348"/>
      <c r="G69" s="348"/>
      <c r="H69" s="348"/>
      <c r="I69" s="348"/>
      <c r="J69" s="348"/>
      <c r="K69" s="348">
        <f>320</f>
        <v>320</v>
      </c>
      <c r="L69" s="348"/>
      <c r="M69" s="348"/>
      <c r="N69" s="348"/>
      <c r="O69" s="348"/>
      <c r="P69" s="348"/>
      <c r="Q69" s="348"/>
      <c r="R69" s="348">
        <f t="shared" si="1"/>
        <v>320</v>
      </c>
      <c r="S69" s="348"/>
      <c r="T69" s="348"/>
      <c r="U69" s="348"/>
      <c r="V69" s="348"/>
      <c r="W69" s="348"/>
      <c r="X69" s="350">
        <f t="shared" si="2"/>
        <v>0</v>
      </c>
      <c r="Y69" s="354">
        <f t="shared" si="3"/>
        <v>320</v>
      </c>
      <c r="Z69" s="453"/>
      <c r="AA69" s="238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60"/>
    </row>
    <row r="70" spans="1:42" ht="24.95" hidden="1" customHeight="1" x14ac:dyDescent="0.25">
      <c r="A70" s="70">
        <v>53</v>
      </c>
      <c r="B70" s="177" t="s">
        <v>329</v>
      </c>
      <c r="C70" s="26" t="s">
        <v>328</v>
      </c>
      <c r="D70" s="348"/>
      <c r="E70" s="348"/>
      <c r="F70" s="348"/>
      <c r="G70" s="348"/>
      <c r="H70" s="348"/>
      <c r="I70" s="348"/>
      <c r="J70" s="348"/>
      <c r="K70" s="348">
        <f>596</f>
        <v>596</v>
      </c>
      <c r="L70" s="348"/>
      <c r="M70" s="348"/>
      <c r="N70" s="348"/>
      <c r="O70" s="348"/>
      <c r="P70" s="348"/>
      <c r="Q70" s="348"/>
      <c r="R70" s="348">
        <f t="shared" si="1"/>
        <v>596</v>
      </c>
      <c r="S70" s="348"/>
      <c r="T70" s="348"/>
      <c r="U70" s="348"/>
      <c r="V70" s="348"/>
      <c r="W70" s="348"/>
      <c r="X70" s="350">
        <f t="shared" si="2"/>
        <v>0</v>
      </c>
      <c r="Y70" s="354">
        <f t="shared" si="3"/>
        <v>596</v>
      </c>
      <c r="Z70" s="453"/>
      <c r="AA70" s="238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60"/>
    </row>
    <row r="71" spans="1:42" ht="24.95" hidden="1" customHeight="1" x14ac:dyDescent="0.25">
      <c r="A71" s="70">
        <v>54</v>
      </c>
      <c r="B71" s="118" t="s">
        <v>330</v>
      </c>
      <c r="C71" s="26" t="s">
        <v>331</v>
      </c>
      <c r="D71" s="348"/>
      <c r="E71" s="348"/>
      <c r="F71" s="348"/>
      <c r="G71" s="348"/>
      <c r="H71" s="348"/>
      <c r="I71" s="348"/>
      <c r="J71" s="348"/>
      <c r="K71" s="348">
        <f>51</f>
        <v>51</v>
      </c>
      <c r="L71" s="348"/>
      <c r="M71" s="348"/>
      <c r="N71" s="348"/>
      <c r="O71" s="348"/>
      <c r="P71" s="348"/>
      <c r="Q71" s="348"/>
      <c r="R71" s="348">
        <f t="shared" si="1"/>
        <v>51</v>
      </c>
      <c r="S71" s="348"/>
      <c r="T71" s="348"/>
      <c r="U71" s="348"/>
      <c r="V71" s="348"/>
      <c r="W71" s="348"/>
      <c r="X71" s="350">
        <f t="shared" si="2"/>
        <v>0</v>
      </c>
      <c r="Y71" s="354">
        <f t="shared" si="3"/>
        <v>51</v>
      </c>
      <c r="Z71" s="453"/>
      <c r="AA71" s="238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60"/>
    </row>
    <row r="72" spans="1:42" ht="24.95" hidden="1" customHeight="1" x14ac:dyDescent="0.25">
      <c r="A72" s="70">
        <v>55</v>
      </c>
      <c r="B72" s="118" t="s">
        <v>332</v>
      </c>
      <c r="C72" s="26" t="s">
        <v>223</v>
      </c>
      <c r="D72" s="348">
        <f>-110</f>
        <v>-110</v>
      </c>
      <c r="E72" s="348">
        <f>-22</f>
        <v>-22</v>
      </c>
      <c r="F72" s="348">
        <f>132</f>
        <v>132</v>
      </c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>
        <f t="shared" si="1"/>
        <v>0</v>
      </c>
      <c r="S72" s="348"/>
      <c r="T72" s="348"/>
      <c r="U72" s="348"/>
      <c r="V72" s="348"/>
      <c r="W72" s="348"/>
      <c r="X72" s="350">
        <f t="shared" si="2"/>
        <v>0</v>
      </c>
      <c r="Y72" s="354">
        <f t="shared" si="3"/>
        <v>0</v>
      </c>
      <c r="Z72" s="453"/>
      <c r="AA72" s="238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60"/>
    </row>
    <row r="73" spans="1:42" ht="24.95" hidden="1" customHeight="1" x14ac:dyDescent="0.25">
      <c r="A73" s="70">
        <v>56</v>
      </c>
      <c r="B73" s="118" t="s">
        <v>333</v>
      </c>
      <c r="C73" s="36" t="s">
        <v>223</v>
      </c>
      <c r="D73" s="348">
        <f>-317</f>
        <v>-317</v>
      </c>
      <c r="E73" s="348">
        <f>-61</f>
        <v>-61</v>
      </c>
      <c r="F73" s="348">
        <f>378</f>
        <v>378</v>
      </c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>
        <f t="shared" si="1"/>
        <v>0</v>
      </c>
      <c r="S73" s="348"/>
      <c r="T73" s="348"/>
      <c r="U73" s="348"/>
      <c r="V73" s="348"/>
      <c r="W73" s="348"/>
      <c r="X73" s="350">
        <f t="shared" si="2"/>
        <v>0</v>
      </c>
      <c r="Y73" s="354">
        <f t="shared" si="3"/>
        <v>0</v>
      </c>
      <c r="Z73" s="453"/>
      <c r="AA73" s="238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60"/>
    </row>
    <row r="74" spans="1:42" ht="36" hidden="1" customHeight="1" x14ac:dyDescent="0.25">
      <c r="A74" s="70">
        <v>57</v>
      </c>
      <c r="B74" s="177" t="s">
        <v>335</v>
      </c>
      <c r="C74" s="26" t="s">
        <v>334</v>
      </c>
      <c r="D74" s="348"/>
      <c r="E74" s="348"/>
      <c r="F74" s="348"/>
      <c r="G74" s="348"/>
      <c r="H74" s="348"/>
      <c r="I74" s="348"/>
      <c r="J74" s="348"/>
      <c r="K74" s="348">
        <f>14</f>
        <v>14</v>
      </c>
      <c r="L74" s="348"/>
      <c r="M74" s="348"/>
      <c r="N74" s="348"/>
      <c r="O74" s="348"/>
      <c r="P74" s="348"/>
      <c r="Q74" s="348"/>
      <c r="R74" s="348">
        <f t="shared" si="1"/>
        <v>14</v>
      </c>
      <c r="S74" s="348"/>
      <c r="T74" s="348"/>
      <c r="U74" s="348"/>
      <c r="V74" s="348"/>
      <c r="W74" s="348"/>
      <c r="X74" s="350">
        <f>SUM(T74:W74)</f>
        <v>0</v>
      </c>
      <c r="Y74" s="354">
        <f>R74+X74</f>
        <v>14</v>
      </c>
      <c r="Z74" s="453"/>
      <c r="AA74" s="238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60"/>
    </row>
    <row r="75" spans="1:42" ht="24.95" hidden="1" customHeight="1" x14ac:dyDescent="0.25">
      <c r="A75" s="70">
        <v>58</v>
      </c>
      <c r="B75" s="177" t="s">
        <v>336</v>
      </c>
      <c r="C75" s="26" t="s">
        <v>337</v>
      </c>
      <c r="D75" s="348"/>
      <c r="E75" s="348"/>
      <c r="F75" s="348"/>
      <c r="G75" s="348"/>
      <c r="H75" s="348"/>
      <c r="I75" s="348"/>
      <c r="J75" s="348"/>
      <c r="K75" s="348">
        <f>293</f>
        <v>293</v>
      </c>
      <c r="L75" s="348"/>
      <c r="M75" s="348"/>
      <c r="N75" s="348"/>
      <c r="O75" s="348"/>
      <c r="P75" s="348"/>
      <c r="Q75" s="348"/>
      <c r="R75" s="348">
        <f t="shared" si="1"/>
        <v>293</v>
      </c>
      <c r="S75" s="348"/>
      <c r="T75" s="348"/>
      <c r="U75" s="348"/>
      <c r="V75" s="348"/>
      <c r="W75" s="348"/>
      <c r="X75" s="350">
        <f>SUM(T75:W75)</f>
        <v>0</v>
      </c>
      <c r="Y75" s="354">
        <f>R75+X75</f>
        <v>293</v>
      </c>
      <c r="Z75" s="453"/>
      <c r="AA75" s="238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60"/>
    </row>
    <row r="76" spans="1:42" ht="24.95" hidden="1" customHeight="1" x14ac:dyDescent="0.25">
      <c r="A76" s="70">
        <v>59</v>
      </c>
      <c r="B76" s="177" t="s">
        <v>338</v>
      </c>
      <c r="C76" s="26" t="s">
        <v>326</v>
      </c>
      <c r="D76" s="348"/>
      <c r="E76" s="348"/>
      <c r="F76" s="348"/>
      <c r="G76" s="348"/>
      <c r="H76" s="348"/>
      <c r="I76" s="348"/>
      <c r="J76" s="348"/>
      <c r="K76" s="348">
        <f>254</f>
        <v>254</v>
      </c>
      <c r="L76" s="348"/>
      <c r="M76" s="348"/>
      <c r="N76" s="348"/>
      <c r="O76" s="348"/>
      <c r="P76" s="348"/>
      <c r="Q76" s="348"/>
      <c r="R76" s="348">
        <f t="shared" si="1"/>
        <v>254</v>
      </c>
      <c r="S76" s="348"/>
      <c r="T76" s="348"/>
      <c r="U76" s="348"/>
      <c r="V76" s="348"/>
      <c r="W76" s="348"/>
      <c r="X76" s="350">
        <f t="shared" ref="X76:X101" si="40">SUM(T76:W76)</f>
        <v>0</v>
      </c>
      <c r="Y76" s="354">
        <f t="shared" ref="Y76:Y105" si="41">R76+X76</f>
        <v>254</v>
      </c>
      <c r="Z76" s="453"/>
      <c r="AA76" s="238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60"/>
    </row>
    <row r="77" spans="1:42" ht="24.95" hidden="1" customHeight="1" x14ac:dyDescent="0.25">
      <c r="A77" s="70">
        <v>60</v>
      </c>
      <c r="B77" s="177" t="s">
        <v>339</v>
      </c>
      <c r="C77" s="26" t="s">
        <v>340</v>
      </c>
      <c r="D77" s="348">
        <f>-200</f>
        <v>-200</v>
      </c>
      <c r="E77" s="348">
        <f>-40-2</f>
        <v>-42</v>
      </c>
      <c r="F77" s="348">
        <f>-200-54-54</f>
        <v>-308</v>
      </c>
      <c r="G77" s="348"/>
      <c r="H77" s="348"/>
      <c r="I77" s="348"/>
      <c r="J77" s="348">
        <f>-100</f>
        <v>-100</v>
      </c>
      <c r="K77" s="348">
        <f>750</f>
        <v>750</v>
      </c>
      <c r="L77" s="348">
        <f>-79-21</f>
        <v>-100</v>
      </c>
      <c r="M77" s="348"/>
      <c r="N77" s="348"/>
      <c r="O77" s="348"/>
      <c r="P77" s="348"/>
      <c r="Q77" s="348"/>
      <c r="R77" s="348">
        <f t="shared" si="1"/>
        <v>0</v>
      </c>
      <c r="S77" s="348"/>
      <c r="T77" s="348"/>
      <c r="U77" s="348"/>
      <c r="V77" s="348"/>
      <c r="W77" s="348"/>
      <c r="X77" s="350">
        <f t="shared" si="40"/>
        <v>0</v>
      </c>
      <c r="Y77" s="354">
        <f t="shared" si="41"/>
        <v>0</v>
      </c>
      <c r="Z77" s="453"/>
      <c r="AA77" s="238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60"/>
    </row>
    <row r="78" spans="1:42" ht="24.95" hidden="1" customHeight="1" x14ac:dyDescent="0.25">
      <c r="A78" s="70">
        <v>61</v>
      </c>
      <c r="B78" s="177" t="s">
        <v>341</v>
      </c>
      <c r="C78" s="26" t="s">
        <v>342</v>
      </c>
      <c r="D78" s="348"/>
      <c r="E78" s="348"/>
      <c r="F78" s="348">
        <f>295+80</f>
        <v>375</v>
      </c>
      <c r="G78" s="348"/>
      <c r="H78" s="348"/>
      <c r="I78" s="348"/>
      <c r="J78" s="348"/>
      <c r="K78" s="348">
        <f>-375</f>
        <v>-375</v>
      </c>
      <c r="L78" s="348"/>
      <c r="M78" s="348"/>
      <c r="N78" s="348"/>
      <c r="O78" s="348"/>
      <c r="P78" s="348"/>
      <c r="Q78" s="348"/>
      <c r="R78" s="348">
        <f t="shared" si="1"/>
        <v>0</v>
      </c>
      <c r="S78" s="348"/>
      <c r="T78" s="348"/>
      <c r="U78" s="348"/>
      <c r="V78" s="348"/>
      <c r="W78" s="348"/>
      <c r="X78" s="350">
        <f t="shared" si="40"/>
        <v>0</v>
      </c>
      <c r="Y78" s="354">
        <f t="shared" si="41"/>
        <v>0</v>
      </c>
      <c r="Z78" s="453"/>
      <c r="AA78" s="238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60"/>
    </row>
    <row r="79" spans="1:42" ht="24.95" hidden="1" customHeight="1" x14ac:dyDescent="0.25">
      <c r="A79" s="70">
        <v>62</v>
      </c>
      <c r="B79" s="177" t="s">
        <v>345</v>
      </c>
      <c r="C79" s="26" t="s">
        <v>346</v>
      </c>
      <c r="D79" s="348"/>
      <c r="E79" s="348"/>
      <c r="F79" s="348">
        <f>36+759+205</f>
        <v>1000</v>
      </c>
      <c r="G79" s="348"/>
      <c r="H79" s="348"/>
      <c r="I79" s="348"/>
      <c r="J79" s="348"/>
      <c r="K79" s="348">
        <f>-1500</f>
        <v>-1500</v>
      </c>
      <c r="L79" s="348">
        <f>394+106</f>
        <v>500</v>
      </c>
      <c r="M79" s="348"/>
      <c r="N79" s="348"/>
      <c r="O79" s="348"/>
      <c r="P79" s="348"/>
      <c r="Q79" s="348"/>
      <c r="R79" s="348">
        <f t="shared" si="1"/>
        <v>0</v>
      </c>
      <c r="S79" s="348"/>
      <c r="T79" s="348"/>
      <c r="U79" s="348"/>
      <c r="V79" s="348"/>
      <c r="W79" s="348"/>
      <c r="X79" s="350">
        <f t="shared" ref="X79" si="42">SUM(T79:W79)</f>
        <v>0</v>
      </c>
      <c r="Y79" s="354">
        <f t="shared" ref="Y79" si="43">R79+X79</f>
        <v>0</v>
      </c>
      <c r="Z79" s="453"/>
      <c r="AA79" s="238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60"/>
    </row>
    <row r="80" spans="1:42" ht="24.95" hidden="1" customHeight="1" x14ac:dyDescent="0.25">
      <c r="A80" s="70">
        <v>63</v>
      </c>
      <c r="B80" s="177" t="s">
        <v>343</v>
      </c>
      <c r="C80" s="36" t="s">
        <v>344</v>
      </c>
      <c r="D80" s="348"/>
      <c r="E80" s="348"/>
      <c r="F80" s="348"/>
      <c r="G80" s="348"/>
      <c r="H80" s="348"/>
      <c r="I80" s="348"/>
      <c r="J80" s="348"/>
      <c r="K80" s="348">
        <f>1220</f>
        <v>1220</v>
      </c>
      <c r="L80" s="348"/>
      <c r="M80" s="348"/>
      <c r="N80" s="348"/>
      <c r="O80" s="348"/>
      <c r="P80" s="348"/>
      <c r="Q80" s="348"/>
      <c r="R80" s="348">
        <f t="shared" si="1"/>
        <v>1220</v>
      </c>
      <c r="S80" s="348"/>
      <c r="T80" s="348"/>
      <c r="U80" s="348"/>
      <c r="V80" s="348"/>
      <c r="W80" s="348"/>
      <c r="X80" s="350">
        <f t="shared" si="40"/>
        <v>0</v>
      </c>
      <c r="Y80" s="354">
        <f t="shared" si="41"/>
        <v>1220</v>
      </c>
      <c r="Z80" s="453"/>
      <c r="AA80" s="238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60"/>
    </row>
    <row r="81" spans="1:42" ht="24.95" hidden="1" customHeight="1" x14ac:dyDescent="0.25">
      <c r="A81" s="70">
        <v>64</v>
      </c>
      <c r="B81" s="177" t="s">
        <v>348</v>
      </c>
      <c r="C81" s="36" t="s">
        <v>347</v>
      </c>
      <c r="D81" s="348"/>
      <c r="E81" s="348"/>
      <c r="F81" s="348">
        <f>-30</f>
        <v>-30</v>
      </c>
      <c r="G81" s="348"/>
      <c r="H81" s="348"/>
      <c r="I81" s="348"/>
      <c r="J81" s="348"/>
      <c r="K81" s="348"/>
      <c r="L81" s="348">
        <f>30</f>
        <v>30</v>
      </c>
      <c r="M81" s="348"/>
      <c r="N81" s="348"/>
      <c r="O81" s="348"/>
      <c r="P81" s="348"/>
      <c r="Q81" s="348"/>
      <c r="R81" s="348">
        <f t="shared" si="1"/>
        <v>0</v>
      </c>
      <c r="S81" s="348"/>
      <c r="T81" s="348"/>
      <c r="U81" s="348"/>
      <c r="V81" s="348"/>
      <c r="W81" s="348"/>
      <c r="X81" s="350">
        <f t="shared" si="40"/>
        <v>0</v>
      </c>
      <c r="Y81" s="354">
        <f t="shared" si="41"/>
        <v>0</v>
      </c>
      <c r="Z81" s="453"/>
      <c r="AA81" s="238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60"/>
    </row>
    <row r="82" spans="1:42" ht="24.95" hidden="1" customHeight="1" x14ac:dyDescent="0.25">
      <c r="A82" s="70">
        <v>65</v>
      </c>
      <c r="B82" s="177" t="s">
        <v>349</v>
      </c>
      <c r="C82" s="36" t="s">
        <v>350</v>
      </c>
      <c r="D82" s="348">
        <f>1200</f>
        <v>1200</v>
      </c>
      <c r="E82" s="348"/>
      <c r="F82" s="348"/>
      <c r="G82" s="348"/>
      <c r="H82" s="348"/>
      <c r="I82" s="348"/>
      <c r="J82" s="348"/>
      <c r="K82" s="348">
        <f>-1200</f>
        <v>-1200</v>
      </c>
      <c r="L82" s="348"/>
      <c r="M82" s="348"/>
      <c r="N82" s="348"/>
      <c r="O82" s="348"/>
      <c r="P82" s="348"/>
      <c r="Q82" s="348"/>
      <c r="R82" s="348">
        <f t="shared" si="1"/>
        <v>0</v>
      </c>
      <c r="S82" s="348"/>
      <c r="T82" s="348"/>
      <c r="U82" s="348"/>
      <c r="V82" s="348"/>
      <c r="W82" s="348"/>
      <c r="X82" s="350">
        <f t="shared" si="40"/>
        <v>0</v>
      </c>
      <c r="Y82" s="354">
        <f t="shared" si="41"/>
        <v>0</v>
      </c>
      <c r="Z82" s="453"/>
      <c r="AA82" s="238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60"/>
    </row>
    <row r="83" spans="1:42" ht="24.95" hidden="1" customHeight="1" x14ac:dyDescent="0.25">
      <c r="A83" s="70">
        <v>66</v>
      </c>
      <c r="B83" s="177" t="s">
        <v>351</v>
      </c>
      <c r="C83" s="36" t="s">
        <v>350</v>
      </c>
      <c r="D83" s="348"/>
      <c r="E83" s="348">
        <f>234</f>
        <v>234</v>
      </c>
      <c r="F83" s="348">
        <f>-184-50</f>
        <v>-234</v>
      </c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>
        <f t="shared" si="1"/>
        <v>0</v>
      </c>
      <c r="S83" s="348"/>
      <c r="T83" s="348"/>
      <c r="U83" s="348"/>
      <c r="V83" s="348"/>
      <c r="W83" s="348"/>
      <c r="X83" s="350">
        <f t="shared" si="40"/>
        <v>0</v>
      </c>
      <c r="Y83" s="354">
        <f t="shared" si="41"/>
        <v>0</v>
      </c>
      <c r="Z83" s="453"/>
      <c r="AA83" s="238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60"/>
    </row>
    <row r="84" spans="1:42" ht="24.95" hidden="1" customHeight="1" x14ac:dyDescent="0.25">
      <c r="A84" s="70">
        <v>67</v>
      </c>
      <c r="B84" s="177" t="s">
        <v>352</v>
      </c>
      <c r="C84" s="36" t="s">
        <v>353</v>
      </c>
      <c r="D84" s="348"/>
      <c r="E84" s="348"/>
      <c r="F84" s="348"/>
      <c r="G84" s="348"/>
      <c r="H84" s="348"/>
      <c r="I84" s="348"/>
      <c r="J84" s="348"/>
      <c r="K84" s="348">
        <f>-6200</f>
        <v>-6200</v>
      </c>
      <c r="L84" s="348"/>
      <c r="M84" s="348"/>
      <c r="N84" s="348"/>
      <c r="O84" s="348"/>
      <c r="P84" s="348"/>
      <c r="Q84" s="348"/>
      <c r="R84" s="348">
        <f t="shared" si="1"/>
        <v>-6200</v>
      </c>
      <c r="S84" s="348"/>
      <c r="T84" s="348"/>
      <c r="U84" s="348"/>
      <c r="V84" s="348"/>
      <c r="W84" s="348"/>
      <c r="X84" s="350">
        <f t="shared" si="40"/>
        <v>0</v>
      </c>
      <c r="Y84" s="354">
        <f t="shared" si="41"/>
        <v>-6200</v>
      </c>
      <c r="Z84" s="453">
        <f>6200</f>
        <v>6200</v>
      </c>
      <c r="AA84" s="238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60"/>
    </row>
    <row r="85" spans="1:42" ht="24.95" hidden="1" customHeight="1" x14ac:dyDescent="0.25">
      <c r="A85" s="70">
        <v>68</v>
      </c>
      <c r="B85" s="177" t="s">
        <v>355</v>
      </c>
      <c r="C85" s="36" t="s">
        <v>356</v>
      </c>
      <c r="D85" s="348"/>
      <c r="E85" s="348"/>
      <c r="F85" s="348">
        <f>-40-11</f>
        <v>-51</v>
      </c>
      <c r="G85" s="348"/>
      <c r="H85" s="348"/>
      <c r="I85" s="348"/>
      <c r="J85" s="348"/>
      <c r="K85" s="348"/>
      <c r="L85" s="348">
        <f>40+11</f>
        <v>51</v>
      </c>
      <c r="M85" s="348"/>
      <c r="N85" s="348"/>
      <c r="O85" s="348"/>
      <c r="P85" s="348"/>
      <c r="Q85" s="348"/>
      <c r="R85" s="348">
        <f t="shared" si="1"/>
        <v>0</v>
      </c>
      <c r="S85" s="348"/>
      <c r="T85" s="348"/>
      <c r="U85" s="348"/>
      <c r="V85" s="348"/>
      <c r="W85" s="348"/>
      <c r="X85" s="350">
        <f t="shared" si="40"/>
        <v>0</v>
      </c>
      <c r="Y85" s="354">
        <f t="shared" si="41"/>
        <v>0</v>
      </c>
      <c r="Z85" s="453"/>
      <c r="AA85" s="238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60"/>
    </row>
    <row r="86" spans="1:42" ht="24.95" hidden="1" customHeight="1" x14ac:dyDescent="0.25">
      <c r="A86" s="70">
        <v>69</v>
      </c>
      <c r="B86" s="177" t="s">
        <v>358</v>
      </c>
      <c r="C86" s="36" t="s">
        <v>357</v>
      </c>
      <c r="D86" s="348"/>
      <c r="E86" s="348"/>
      <c r="F86" s="348">
        <f>1100+297</f>
        <v>1397</v>
      </c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>
        <f t="shared" si="1"/>
        <v>1397</v>
      </c>
      <c r="S86" s="348"/>
      <c r="T86" s="348"/>
      <c r="U86" s="348"/>
      <c r="V86" s="348"/>
      <c r="W86" s="348"/>
      <c r="X86" s="350">
        <f t="shared" si="40"/>
        <v>0</v>
      </c>
      <c r="Y86" s="354">
        <f t="shared" si="41"/>
        <v>1397</v>
      </c>
      <c r="Z86" s="453">
        <f>-1397</f>
        <v>-1397</v>
      </c>
      <c r="AA86" s="238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60"/>
    </row>
    <row r="87" spans="1:42" ht="24.95" hidden="1" customHeight="1" x14ac:dyDescent="0.25">
      <c r="A87" s="70">
        <v>70</v>
      </c>
      <c r="B87" s="177" t="s">
        <v>361</v>
      </c>
      <c r="C87" s="36" t="s">
        <v>360</v>
      </c>
      <c r="D87" s="348"/>
      <c r="E87" s="348"/>
      <c r="F87" s="348">
        <f>590+160</f>
        <v>750</v>
      </c>
      <c r="G87" s="348"/>
      <c r="H87" s="348"/>
      <c r="I87" s="348"/>
      <c r="J87" s="348"/>
      <c r="K87" s="348">
        <f>-750</f>
        <v>-750</v>
      </c>
      <c r="L87" s="348"/>
      <c r="M87" s="348"/>
      <c r="N87" s="348"/>
      <c r="O87" s="348"/>
      <c r="P87" s="348"/>
      <c r="Q87" s="348"/>
      <c r="R87" s="348">
        <f t="shared" si="1"/>
        <v>0</v>
      </c>
      <c r="S87" s="348"/>
      <c r="T87" s="348"/>
      <c r="U87" s="348"/>
      <c r="V87" s="348"/>
      <c r="W87" s="348"/>
      <c r="X87" s="350">
        <f t="shared" si="40"/>
        <v>0</v>
      </c>
      <c r="Y87" s="354">
        <f t="shared" si="41"/>
        <v>0</v>
      </c>
      <c r="Z87" s="453"/>
      <c r="AA87" s="238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60"/>
    </row>
    <row r="88" spans="1:42" ht="24.95" hidden="1" customHeight="1" x14ac:dyDescent="0.25">
      <c r="A88" s="70">
        <v>71</v>
      </c>
      <c r="B88" s="177" t="s">
        <v>362</v>
      </c>
      <c r="C88" s="36" t="s">
        <v>363</v>
      </c>
      <c r="D88" s="348"/>
      <c r="E88" s="348"/>
      <c r="F88" s="348">
        <f>46567+12574+1459+395</f>
        <v>60995</v>
      </c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>
        <f t="shared" si="1"/>
        <v>60995</v>
      </c>
      <c r="S88" s="348"/>
      <c r="T88" s="348"/>
      <c r="U88" s="348"/>
      <c r="V88" s="348"/>
      <c r="W88" s="348"/>
      <c r="X88" s="350">
        <f t="shared" ref="X88:X100" si="44">SUM(T88:W88)</f>
        <v>0</v>
      </c>
      <c r="Y88" s="354">
        <f t="shared" ref="Y88:Y100" si="45">R88+X88</f>
        <v>60995</v>
      </c>
      <c r="Z88" s="453"/>
      <c r="AA88" s="238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60"/>
    </row>
    <row r="89" spans="1:42" ht="24.95" hidden="1" customHeight="1" x14ac:dyDescent="0.25">
      <c r="A89" s="70">
        <v>72</v>
      </c>
      <c r="B89" s="177" t="s">
        <v>364</v>
      </c>
      <c r="C89" s="36" t="s">
        <v>401</v>
      </c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>
        <f t="shared" si="1"/>
        <v>0</v>
      </c>
      <c r="S89" s="348"/>
      <c r="T89" s="348"/>
      <c r="U89" s="348"/>
      <c r="V89" s="348"/>
      <c r="W89" s="348"/>
      <c r="X89" s="350">
        <f t="shared" si="44"/>
        <v>0</v>
      </c>
      <c r="Y89" s="354">
        <f t="shared" si="45"/>
        <v>0</v>
      </c>
      <c r="Z89" s="453">
        <f>45.53</f>
        <v>45.53</v>
      </c>
      <c r="AA89" s="238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60"/>
    </row>
    <row r="90" spans="1:42" ht="24.95" hidden="1" customHeight="1" x14ac:dyDescent="0.25">
      <c r="A90" s="70">
        <v>73</v>
      </c>
      <c r="B90" s="177" t="s">
        <v>364</v>
      </c>
      <c r="C90" s="36" t="s">
        <v>403</v>
      </c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>
        <f t="shared" si="1"/>
        <v>0</v>
      </c>
      <c r="S90" s="348"/>
      <c r="T90" s="348"/>
      <c r="U90" s="348"/>
      <c r="V90" s="348"/>
      <c r="W90" s="348"/>
      <c r="X90" s="350">
        <f t="shared" si="44"/>
        <v>0</v>
      </c>
      <c r="Y90" s="354">
        <f t="shared" si="45"/>
        <v>0</v>
      </c>
      <c r="Z90" s="453">
        <v>505.72699999999998</v>
      </c>
      <c r="AA90" s="238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60"/>
    </row>
    <row r="91" spans="1:42" ht="24.95" hidden="1" customHeight="1" x14ac:dyDescent="0.25">
      <c r="A91" s="70">
        <v>74</v>
      </c>
      <c r="B91" s="177" t="s">
        <v>364</v>
      </c>
      <c r="C91" s="36" t="s">
        <v>404</v>
      </c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>
        <f t="shared" si="1"/>
        <v>0</v>
      </c>
      <c r="S91" s="348"/>
      <c r="T91" s="348"/>
      <c r="U91" s="348"/>
      <c r="V91" s="348"/>
      <c r="W91" s="348"/>
      <c r="X91" s="350">
        <f t="shared" si="44"/>
        <v>0</v>
      </c>
      <c r="Y91" s="354">
        <f t="shared" si="45"/>
        <v>0</v>
      </c>
      <c r="Z91" s="453">
        <v>1160.5909999999999</v>
      </c>
      <c r="AA91" s="238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60"/>
    </row>
    <row r="92" spans="1:42" ht="24.95" hidden="1" customHeight="1" x14ac:dyDescent="0.25">
      <c r="A92" s="70">
        <v>75</v>
      </c>
      <c r="B92" s="177" t="s">
        <v>402</v>
      </c>
      <c r="C92" s="36" t="s">
        <v>405</v>
      </c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>
        <f t="shared" si="1"/>
        <v>0</v>
      </c>
      <c r="S92" s="348"/>
      <c r="T92" s="348"/>
      <c r="U92" s="348"/>
      <c r="V92" s="348"/>
      <c r="W92" s="348"/>
      <c r="X92" s="350">
        <f t="shared" si="44"/>
        <v>0</v>
      </c>
      <c r="Y92" s="354">
        <f t="shared" si="45"/>
        <v>0</v>
      </c>
      <c r="Z92" s="453">
        <v>8223.3870000000006</v>
      </c>
      <c r="AA92" s="238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60"/>
    </row>
    <row r="93" spans="1:42" ht="24.95" hidden="1" customHeight="1" x14ac:dyDescent="0.25">
      <c r="A93" s="70">
        <v>76</v>
      </c>
      <c r="B93" s="177" t="s">
        <v>406</v>
      </c>
      <c r="C93" s="36" t="s">
        <v>407</v>
      </c>
      <c r="D93" s="348"/>
      <c r="E93" s="348"/>
      <c r="F93" s="348"/>
      <c r="G93" s="348"/>
      <c r="H93" s="348"/>
      <c r="I93" s="348"/>
      <c r="J93" s="348"/>
      <c r="K93" s="348">
        <f>-15950</f>
        <v>-15950</v>
      </c>
      <c r="L93" s="348"/>
      <c r="M93" s="348"/>
      <c r="N93" s="348"/>
      <c r="O93" s="348"/>
      <c r="P93" s="348"/>
      <c r="Q93" s="348"/>
      <c r="R93" s="348">
        <f t="shared" si="1"/>
        <v>-15950</v>
      </c>
      <c r="S93" s="348"/>
      <c r="T93" s="348"/>
      <c r="U93" s="348"/>
      <c r="V93" s="348"/>
      <c r="W93" s="348"/>
      <c r="X93" s="350">
        <f t="shared" ref="X93" si="46">SUM(T93:W93)</f>
        <v>0</v>
      </c>
      <c r="Y93" s="354">
        <f t="shared" ref="Y93" si="47">R93+X93</f>
        <v>-15950</v>
      </c>
      <c r="Z93" s="453">
        <f>15950</f>
        <v>15950</v>
      </c>
      <c r="AA93" s="238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60"/>
    </row>
    <row r="94" spans="1:42" ht="24.95" hidden="1" customHeight="1" x14ac:dyDescent="0.25">
      <c r="A94" s="70">
        <v>77</v>
      </c>
      <c r="B94" s="177" t="s">
        <v>367</v>
      </c>
      <c r="C94" s="36" t="s">
        <v>368</v>
      </c>
      <c r="D94" s="348"/>
      <c r="E94" s="348"/>
      <c r="F94" s="348"/>
      <c r="G94" s="348"/>
      <c r="H94" s="348"/>
      <c r="I94" s="348"/>
      <c r="J94" s="348"/>
      <c r="K94" s="348">
        <f>500</f>
        <v>500</v>
      </c>
      <c r="L94" s="348"/>
      <c r="M94" s="348"/>
      <c r="N94" s="348"/>
      <c r="O94" s="348"/>
      <c r="P94" s="348"/>
      <c r="Q94" s="348"/>
      <c r="R94" s="348">
        <f t="shared" si="1"/>
        <v>500</v>
      </c>
      <c r="S94" s="348"/>
      <c r="T94" s="348"/>
      <c r="U94" s="348"/>
      <c r="V94" s="348"/>
      <c r="W94" s="348"/>
      <c r="X94" s="350">
        <f t="shared" si="44"/>
        <v>0</v>
      </c>
      <c r="Y94" s="354">
        <f t="shared" si="45"/>
        <v>500</v>
      </c>
      <c r="Z94" s="453"/>
      <c r="AA94" s="238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60"/>
    </row>
    <row r="95" spans="1:42" ht="24.95" hidden="1" customHeight="1" x14ac:dyDescent="0.25">
      <c r="A95" s="70">
        <v>78</v>
      </c>
      <c r="B95" s="177" t="s">
        <v>369</v>
      </c>
      <c r="C95" s="36" t="s">
        <v>370</v>
      </c>
      <c r="D95" s="348"/>
      <c r="E95" s="348"/>
      <c r="F95" s="348"/>
      <c r="G95" s="348"/>
      <c r="H95" s="348"/>
      <c r="I95" s="348"/>
      <c r="J95" s="348"/>
      <c r="K95" s="348">
        <f>200</f>
        <v>200</v>
      </c>
      <c r="L95" s="348"/>
      <c r="M95" s="348"/>
      <c r="N95" s="348"/>
      <c r="O95" s="348"/>
      <c r="P95" s="348"/>
      <c r="Q95" s="348"/>
      <c r="R95" s="348">
        <f t="shared" si="1"/>
        <v>200</v>
      </c>
      <c r="S95" s="348"/>
      <c r="T95" s="348"/>
      <c r="U95" s="348"/>
      <c r="V95" s="348"/>
      <c r="W95" s="348"/>
      <c r="X95" s="350">
        <f t="shared" si="44"/>
        <v>0</v>
      </c>
      <c r="Y95" s="354">
        <f t="shared" si="45"/>
        <v>200</v>
      </c>
      <c r="Z95" s="453"/>
      <c r="AA95" s="238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60"/>
    </row>
    <row r="96" spans="1:42" ht="38.25" hidden="1" customHeight="1" x14ac:dyDescent="0.25">
      <c r="A96" s="70">
        <v>79</v>
      </c>
      <c r="B96" s="177" t="s">
        <v>380</v>
      </c>
      <c r="C96" s="36" t="s">
        <v>382</v>
      </c>
      <c r="D96" s="348"/>
      <c r="E96" s="348"/>
      <c r="F96" s="348">
        <f>680+183</f>
        <v>863</v>
      </c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8">
        <f t="shared" si="1"/>
        <v>863</v>
      </c>
      <c r="S96" s="348"/>
      <c r="T96" s="348"/>
      <c r="U96" s="348"/>
      <c r="V96" s="348"/>
      <c r="W96" s="348"/>
      <c r="X96" s="350">
        <f t="shared" si="44"/>
        <v>0</v>
      </c>
      <c r="Y96" s="354">
        <f t="shared" si="45"/>
        <v>863</v>
      </c>
      <c r="Z96" s="453"/>
      <c r="AA96" s="238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60"/>
    </row>
    <row r="97" spans="1:42" ht="24.95" hidden="1" customHeight="1" x14ac:dyDescent="0.25">
      <c r="A97" s="70">
        <v>80</v>
      </c>
      <c r="B97" s="177" t="s">
        <v>381</v>
      </c>
      <c r="C97" s="36" t="s">
        <v>383</v>
      </c>
      <c r="D97" s="348"/>
      <c r="E97" s="348"/>
      <c r="F97" s="348"/>
      <c r="G97" s="348"/>
      <c r="H97" s="348"/>
      <c r="I97" s="348"/>
      <c r="J97" s="348">
        <f>1800</f>
        <v>1800</v>
      </c>
      <c r="K97" s="348"/>
      <c r="L97" s="348"/>
      <c r="M97" s="348"/>
      <c r="N97" s="348"/>
      <c r="O97" s="348"/>
      <c r="P97" s="348"/>
      <c r="Q97" s="348"/>
      <c r="R97" s="348">
        <f t="shared" si="1"/>
        <v>1800</v>
      </c>
      <c r="S97" s="348"/>
      <c r="T97" s="348"/>
      <c r="U97" s="348"/>
      <c r="V97" s="348"/>
      <c r="W97" s="348"/>
      <c r="X97" s="350">
        <f t="shared" si="44"/>
        <v>0</v>
      </c>
      <c r="Y97" s="354">
        <f t="shared" si="45"/>
        <v>1800</v>
      </c>
      <c r="Z97" s="453"/>
      <c r="AA97" s="238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60"/>
    </row>
    <row r="98" spans="1:42" ht="38.25" hidden="1" customHeight="1" x14ac:dyDescent="0.25">
      <c r="A98" s="70">
        <v>81</v>
      </c>
      <c r="B98" s="177" t="s">
        <v>385</v>
      </c>
      <c r="C98" s="36" t="s">
        <v>384</v>
      </c>
      <c r="D98" s="348"/>
      <c r="E98" s="348"/>
      <c r="F98" s="348">
        <f>320+86</f>
        <v>406</v>
      </c>
      <c r="G98" s="348"/>
      <c r="H98" s="348"/>
      <c r="I98" s="348"/>
      <c r="J98" s="348"/>
      <c r="K98" s="348"/>
      <c r="L98" s="348"/>
      <c r="M98" s="348"/>
      <c r="N98" s="348"/>
      <c r="O98" s="348"/>
      <c r="P98" s="348"/>
      <c r="Q98" s="348"/>
      <c r="R98" s="348">
        <f t="shared" si="1"/>
        <v>406</v>
      </c>
      <c r="S98" s="348"/>
      <c r="T98" s="348"/>
      <c r="U98" s="348"/>
      <c r="V98" s="348"/>
      <c r="W98" s="348"/>
      <c r="X98" s="350">
        <f t="shared" si="44"/>
        <v>0</v>
      </c>
      <c r="Y98" s="354">
        <f t="shared" si="45"/>
        <v>406</v>
      </c>
      <c r="Z98" s="453"/>
      <c r="AA98" s="238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60"/>
    </row>
    <row r="99" spans="1:42" ht="24.95" hidden="1" customHeight="1" x14ac:dyDescent="0.25">
      <c r="A99" s="70">
        <v>82</v>
      </c>
      <c r="B99" s="177" t="s">
        <v>386</v>
      </c>
      <c r="C99" s="36" t="s">
        <v>387</v>
      </c>
      <c r="D99" s="348"/>
      <c r="E99" s="348"/>
      <c r="F99" s="348">
        <f>172+46+1104+298</f>
        <v>1620</v>
      </c>
      <c r="G99" s="348"/>
      <c r="H99" s="348"/>
      <c r="I99" s="348"/>
      <c r="J99" s="348"/>
      <c r="K99" s="348"/>
      <c r="L99" s="348">
        <f>-1276-344</f>
        <v>-1620</v>
      </c>
      <c r="M99" s="348"/>
      <c r="N99" s="348"/>
      <c r="O99" s="348"/>
      <c r="P99" s="348"/>
      <c r="Q99" s="348"/>
      <c r="R99" s="348">
        <f t="shared" si="1"/>
        <v>0</v>
      </c>
      <c r="S99" s="348"/>
      <c r="T99" s="348"/>
      <c r="U99" s="348"/>
      <c r="V99" s="348"/>
      <c r="W99" s="348"/>
      <c r="X99" s="350">
        <f t="shared" si="44"/>
        <v>0</v>
      </c>
      <c r="Y99" s="354">
        <f t="shared" si="45"/>
        <v>0</v>
      </c>
      <c r="Z99" s="453"/>
      <c r="AA99" s="238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60"/>
    </row>
    <row r="100" spans="1:42" ht="24.95" hidden="1" customHeight="1" x14ac:dyDescent="0.25">
      <c r="A100" s="70">
        <v>83</v>
      </c>
      <c r="B100" s="177" t="s">
        <v>388</v>
      </c>
      <c r="C100" s="36" t="s">
        <v>394</v>
      </c>
      <c r="D100" s="348"/>
      <c r="E100" s="348"/>
      <c r="F100" s="348"/>
      <c r="G100" s="348"/>
      <c r="H100" s="348"/>
      <c r="I100" s="348"/>
      <c r="J100" s="348"/>
      <c r="K100" s="348">
        <f>-4977</f>
        <v>-4977</v>
      </c>
      <c r="L100" s="348">
        <f>3919+1058</f>
        <v>4977</v>
      </c>
      <c r="M100" s="348"/>
      <c r="N100" s="348"/>
      <c r="O100" s="348"/>
      <c r="P100" s="348"/>
      <c r="Q100" s="348"/>
      <c r="R100" s="348">
        <f t="shared" si="1"/>
        <v>0</v>
      </c>
      <c r="S100" s="348"/>
      <c r="T100" s="348"/>
      <c r="U100" s="348"/>
      <c r="V100" s="348"/>
      <c r="W100" s="348"/>
      <c r="X100" s="350">
        <f t="shared" si="44"/>
        <v>0</v>
      </c>
      <c r="Y100" s="354">
        <f t="shared" si="45"/>
        <v>0</v>
      </c>
      <c r="Z100" s="453"/>
      <c r="AA100" s="238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60"/>
    </row>
    <row r="101" spans="1:42" ht="24.95" hidden="1" customHeight="1" x14ac:dyDescent="0.25">
      <c r="A101" s="70">
        <v>84</v>
      </c>
      <c r="B101" s="177" t="s">
        <v>389</v>
      </c>
      <c r="C101" s="36" t="s">
        <v>395</v>
      </c>
      <c r="D101" s="348"/>
      <c r="E101" s="348"/>
      <c r="F101" s="348">
        <f>2893+781</f>
        <v>3674</v>
      </c>
      <c r="G101" s="348"/>
      <c r="H101" s="348"/>
      <c r="I101" s="348"/>
      <c r="J101" s="348"/>
      <c r="K101" s="348"/>
      <c r="L101" s="348"/>
      <c r="M101" s="348"/>
      <c r="N101" s="348"/>
      <c r="O101" s="348"/>
      <c r="P101" s="348"/>
      <c r="Q101" s="348"/>
      <c r="R101" s="348">
        <f t="shared" si="1"/>
        <v>3674</v>
      </c>
      <c r="S101" s="348"/>
      <c r="T101" s="348"/>
      <c r="U101" s="348"/>
      <c r="V101" s="348"/>
      <c r="W101" s="348"/>
      <c r="X101" s="350">
        <f t="shared" si="40"/>
        <v>0</v>
      </c>
      <c r="Y101" s="354">
        <f t="shared" si="41"/>
        <v>3674</v>
      </c>
      <c r="Z101" s="453">
        <f>-3674</f>
        <v>-3674</v>
      </c>
      <c r="AA101" s="238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60"/>
    </row>
    <row r="102" spans="1:42" ht="24.95" hidden="1" customHeight="1" x14ac:dyDescent="0.25">
      <c r="A102" s="70">
        <v>85</v>
      </c>
      <c r="B102" s="177" t="s">
        <v>408</v>
      </c>
      <c r="C102" s="36" t="s">
        <v>409</v>
      </c>
      <c r="D102" s="348"/>
      <c r="E102" s="348"/>
      <c r="F102" s="348">
        <f>261+70</f>
        <v>331</v>
      </c>
      <c r="G102" s="348"/>
      <c r="H102" s="348"/>
      <c r="I102" s="348"/>
      <c r="J102" s="348"/>
      <c r="K102" s="348"/>
      <c r="L102" s="348">
        <f>-261-70</f>
        <v>-331</v>
      </c>
      <c r="M102" s="348"/>
      <c r="N102" s="348"/>
      <c r="O102" s="348"/>
      <c r="P102" s="348"/>
      <c r="Q102" s="348"/>
      <c r="R102" s="348">
        <f t="shared" si="1"/>
        <v>0</v>
      </c>
      <c r="S102" s="348"/>
      <c r="T102" s="348"/>
      <c r="U102" s="348"/>
      <c r="V102" s="348"/>
      <c r="W102" s="348"/>
      <c r="X102" s="350">
        <f t="shared" ref="X102" si="48">SUM(T102:W102)</f>
        <v>0</v>
      </c>
      <c r="Y102" s="354">
        <f t="shared" ref="Y102" si="49">R102+X102</f>
        <v>0</v>
      </c>
      <c r="Z102" s="453"/>
      <c r="AA102" s="238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/>
    </row>
    <row r="103" spans="1:42" ht="24.95" hidden="1" customHeight="1" x14ac:dyDescent="0.25">
      <c r="A103" s="70">
        <v>86</v>
      </c>
      <c r="B103" s="177" t="s">
        <v>390</v>
      </c>
      <c r="C103" s="36" t="s">
        <v>397</v>
      </c>
      <c r="D103" s="348"/>
      <c r="E103" s="348"/>
      <c r="F103" s="348">
        <f>13149</f>
        <v>13149</v>
      </c>
      <c r="G103" s="348"/>
      <c r="H103" s="348"/>
      <c r="I103" s="348"/>
      <c r="J103" s="348"/>
      <c r="K103" s="348"/>
      <c r="L103" s="348">
        <f>-13149</f>
        <v>-13149</v>
      </c>
      <c r="M103" s="348"/>
      <c r="N103" s="348"/>
      <c r="O103" s="348"/>
      <c r="P103" s="348"/>
      <c r="Q103" s="348"/>
      <c r="R103" s="348">
        <f t="shared" si="1"/>
        <v>0</v>
      </c>
      <c r="S103" s="348"/>
      <c r="T103" s="348"/>
      <c r="U103" s="348"/>
      <c r="V103" s="348"/>
      <c r="W103" s="348"/>
      <c r="X103" s="350">
        <f t="shared" ref="X103:X116" si="50">SUM(T103:W103)</f>
        <v>0</v>
      </c>
      <c r="Y103" s="354">
        <f t="shared" si="41"/>
        <v>0</v>
      </c>
      <c r="Z103" s="453"/>
      <c r="AA103" s="238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60"/>
    </row>
    <row r="104" spans="1:42" ht="24.95" hidden="1" customHeight="1" x14ac:dyDescent="0.25">
      <c r="A104" s="70">
        <v>87</v>
      </c>
      <c r="B104" s="177" t="s">
        <v>391</v>
      </c>
      <c r="C104" s="36" t="s">
        <v>398</v>
      </c>
      <c r="D104" s="348"/>
      <c r="E104" s="348"/>
      <c r="F104" s="348">
        <f>-3526-953</f>
        <v>-4479</v>
      </c>
      <c r="G104" s="348"/>
      <c r="H104" s="348"/>
      <c r="I104" s="348"/>
      <c r="J104" s="348"/>
      <c r="K104" s="348"/>
      <c r="L104" s="348"/>
      <c r="M104" s="348">
        <f>3526+953</f>
        <v>4479</v>
      </c>
      <c r="N104" s="348"/>
      <c r="O104" s="348"/>
      <c r="P104" s="348"/>
      <c r="Q104" s="348"/>
      <c r="R104" s="348">
        <f t="shared" si="1"/>
        <v>0</v>
      </c>
      <c r="S104" s="348"/>
      <c r="T104" s="348"/>
      <c r="U104" s="348"/>
      <c r="V104" s="348"/>
      <c r="W104" s="348"/>
      <c r="X104" s="350">
        <f>SUM(T104:W104)</f>
        <v>0</v>
      </c>
      <c r="Y104" s="354">
        <f>R104+X104</f>
        <v>0</v>
      </c>
      <c r="Z104" s="453"/>
      <c r="AA104" s="238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60"/>
    </row>
    <row r="105" spans="1:42" ht="24.95" hidden="1" customHeight="1" x14ac:dyDescent="0.25">
      <c r="A105" s="70">
        <v>88</v>
      </c>
      <c r="B105" s="177" t="s">
        <v>392</v>
      </c>
      <c r="C105" s="36" t="s">
        <v>399</v>
      </c>
      <c r="D105" s="348"/>
      <c r="E105" s="348"/>
      <c r="F105" s="348"/>
      <c r="G105" s="348"/>
      <c r="H105" s="348"/>
      <c r="I105" s="348"/>
      <c r="J105" s="348">
        <f>1000</f>
        <v>1000</v>
      </c>
      <c r="K105" s="348">
        <f>-1000</f>
        <v>-1000</v>
      </c>
      <c r="L105" s="348"/>
      <c r="M105" s="348"/>
      <c r="N105" s="348"/>
      <c r="O105" s="348"/>
      <c r="P105" s="348"/>
      <c r="Q105" s="348"/>
      <c r="R105" s="348">
        <f t="shared" si="1"/>
        <v>0</v>
      </c>
      <c r="S105" s="348"/>
      <c r="T105" s="348"/>
      <c r="U105" s="348"/>
      <c r="V105" s="348"/>
      <c r="W105" s="348"/>
      <c r="X105" s="350">
        <f t="shared" si="50"/>
        <v>0</v>
      </c>
      <c r="Y105" s="354">
        <f t="shared" si="41"/>
        <v>0</v>
      </c>
      <c r="Z105" s="453"/>
      <c r="AA105" s="238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60"/>
    </row>
    <row r="106" spans="1:42" ht="24.95" hidden="1" customHeight="1" x14ac:dyDescent="0.25">
      <c r="A106" s="70">
        <v>89</v>
      </c>
      <c r="B106" s="177" t="s">
        <v>393</v>
      </c>
      <c r="C106" s="36" t="s">
        <v>400</v>
      </c>
      <c r="D106" s="348"/>
      <c r="E106" s="348"/>
      <c r="F106" s="348"/>
      <c r="G106" s="348"/>
      <c r="H106" s="348"/>
      <c r="I106" s="348"/>
      <c r="J106" s="348"/>
      <c r="K106" s="348">
        <f>110</f>
        <v>110</v>
      </c>
      <c r="L106" s="348"/>
      <c r="M106" s="348"/>
      <c r="N106" s="348"/>
      <c r="O106" s="348"/>
      <c r="P106" s="348"/>
      <c r="Q106" s="348"/>
      <c r="R106" s="348">
        <f t="shared" si="1"/>
        <v>110</v>
      </c>
      <c r="S106" s="348"/>
      <c r="T106" s="348"/>
      <c r="U106" s="348"/>
      <c r="V106" s="348"/>
      <c r="W106" s="348"/>
      <c r="X106" s="350">
        <f t="shared" si="50"/>
        <v>0</v>
      </c>
      <c r="Y106" s="354">
        <f t="shared" ref="Y106:Y116" si="51">R106+X106</f>
        <v>110</v>
      </c>
      <c r="Z106" s="453"/>
      <c r="AA106" s="238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60"/>
    </row>
    <row r="107" spans="1:42" ht="24.95" hidden="1" customHeight="1" x14ac:dyDescent="0.25">
      <c r="A107" s="70">
        <v>90</v>
      </c>
      <c r="B107" s="177" t="s">
        <v>415</v>
      </c>
      <c r="C107" s="36" t="s">
        <v>416</v>
      </c>
      <c r="D107" s="348"/>
      <c r="E107" s="348"/>
      <c r="F107" s="348"/>
      <c r="G107" s="348"/>
      <c r="H107" s="348"/>
      <c r="I107" s="348"/>
      <c r="J107" s="348"/>
      <c r="K107" s="348">
        <f>-21228</f>
        <v>-21228</v>
      </c>
      <c r="L107" s="348"/>
      <c r="M107" s="348"/>
      <c r="N107" s="348"/>
      <c r="O107" s="348"/>
      <c r="P107" s="348"/>
      <c r="Q107" s="348"/>
      <c r="R107" s="348">
        <f t="shared" si="1"/>
        <v>-21228</v>
      </c>
      <c r="S107" s="348"/>
      <c r="T107" s="348"/>
      <c r="U107" s="348"/>
      <c r="V107" s="348"/>
      <c r="W107" s="348"/>
      <c r="X107" s="350">
        <f t="shared" ref="X107" si="52">SUM(T107:W107)</f>
        <v>0</v>
      </c>
      <c r="Y107" s="354">
        <f t="shared" ref="Y107" si="53">R107+X107</f>
        <v>-21228</v>
      </c>
      <c r="Z107" s="453">
        <f>21228</f>
        <v>21228</v>
      </c>
      <c r="AA107" s="238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60"/>
    </row>
    <row r="108" spans="1:42" ht="24.95" hidden="1" customHeight="1" x14ac:dyDescent="0.25">
      <c r="A108" s="70">
        <v>91</v>
      </c>
      <c r="B108" s="413" t="s">
        <v>410</v>
      </c>
      <c r="C108" s="36" t="s">
        <v>411</v>
      </c>
      <c r="D108" s="348"/>
      <c r="E108" s="348"/>
      <c r="F108" s="348"/>
      <c r="G108" s="348"/>
      <c r="H108" s="348"/>
      <c r="I108" s="348"/>
      <c r="J108" s="348"/>
      <c r="K108" s="348">
        <f>-20000</f>
        <v>-20000</v>
      </c>
      <c r="L108" s="348"/>
      <c r="M108" s="348"/>
      <c r="N108" s="348"/>
      <c r="O108" s="348"/>
      <c r="P108" s="348"/>
      <c r="Q108" s="348"/>
      <c r="R108" s="348">
        <f t="shared" si="1"/>
        <v>-20000</v>
      </c>
      <c r="S108" s="348"/>
      <c r="T108" s="348"/>
      <c r="U108" s="348"/>
      <c r="V108" s="348"/>
      <c r="W108" s="348"/>
      <c r="X108" s="350">
        <f t="shared" si="50"/>
        <v>0</v>
      </c>
      <c r="Y108" s="354">
        <f t="shared" si="51"/>
        <v>-20000</v>
      </c>
      <c r="Z108" s="453"/>
      <c r="AA108" s="238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60"/>
    </row>
    <row r="109" spans="1:42" ht="24.95" hidden="1" customHeight="1" x14ac:dyDescent="0.25">
      <c r="A109" s="176"/>
      <c r="B109" s="177"/>
      <c r="C109" s="36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O109" s="348"/>
      <c r="P109" s="348"/>
      <c r="Q109" s="348"/>
      <c r="R109" s="348">
        <f t="shared" si="1"/>
        <v>0</v>
      </c>
      <c r="S109" s="348"/>
      <c r="T109" s="348"/>
      <c r="U109" s="348"/>
      <c r="V109" s="348"/>
      <c r="W109" s="348"/>
      <c r="X109" s="350">
        <f t="shared" si="50"/>
        <v>0</v>
      </c>
      <c r="Y109" s="354">
        <f t="shared" si="51"/>
        <v>0</v>
      </c>
      <c r="Z109" s="453"/>
      <c r="AA109" s="238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60"/>
    </row>
    <row r="110" spans="1:42" ht="24.95" hidden="1" customHeight="1" x14ac:dyDescent="0.25">
      <c r="A110" s="70"/>
      <c r="C110" s="36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>
        <f t="shared" si="1"/>
        <v>0</v>
      </c>
      <c r="S110" s="348"/>
      <c r="T110" s="348"/>
      <c r="U110" s="348"/>
      <c r="V110" s="348"/>
      <c r="W110" s="348"/>
      <c r="X110" s="350">
        <f t="shared" si="50"/>
        <v>0</v>
      </c>
      <c r="Y110" s="354">
        <f t="shared" si="51"/>
        <v>0</v>
      </c>
      <c r="Z110" s="453"/>
      <c r="AA110" s="238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60"/>
    </row>
    <row r="111" spans="1:42" ht="24.95" hidden="1" customHeight="1" x14ac:dyDescent="0.25">
      <c r="A111" s="70"/>
      <c r="C111" s="118"/>
      <c r="D111" s="348"/>
      <c r="E111" s="348"/>
      <c r="F111" s="348"/>
      <c r="G111" s="348"/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>
        <f t="shared" si="1"/>
        <v>0</v>
      </c>
      <c r="S111" s="348"/>
      <c r="T111" s="348"/>
      <c r="U111" s="348"/>
      <c r="V111" s="348"/>
      <c r="W111" s="348"/>
      <c r="X111" s="350">
        <f t="shared" si="50"/>
        <v>0</v>
      </c>
      <c r="Y111" s="354">
        <f t="shared" si="51"/>
        <v>0</v>
      </c>
      <c r="Z111" s="453"/>
      <c r="AA111" s="238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60"/>
    </row>
    <row r="112" spans="1:42" ht="24.95" hidden="1" customHeight="1" x14ac:dyDescent="0.25">
      <c r="A112" s="70"/>
      <c r="B112" s="118"/>
      <c r="C112" s="36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>
        <f t="shared" si="1"/>
        <v>0</v>
      </c>
      <c r="S112" s="348"/>
      <c r="T112" s="348"/>
      <c r="U112" s="348"/>
      <c r="V112" s="348"/>
      <c r="W112" s="348"/>
      <c r="X112" s="350">
        <f t="shared" si="50"/>
        <v>0</v>
      </c>
      <c r="Y112" s="354">
        <f t="shared" si="51"/>
        <v>0</v>
      </c>
      <c r="Z112" s="453"/>
      <c r="AA112" s="238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60"/>
    </row>
    <row r="113" spans="1:74" ht="24.95" hidden="1" customHeight="1" x14ac:dyDescent="0.25">
      <c r="A113" s="70"/>
      <c r="B113" s="118"/>
      <c r="C113" s="36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>
        <f t="shared" si="1"/>
        <v>0</v>
      </c>
      <c r="S113" s="348"/>
      <c r="T113" s="348"/>
      <c r="U113" s="348"/>
      <c r="V113" s="348"/>
      <c r="W113" s="348"/>
      <c r="X113" s="350">
        <f t="shared" si="50"/>
        <v>0</v>
      </c>
      <c r="Y113" s="354">
        <f t="shared" si="51"/>
        <v>0</v>
      </c>
      <c r="Z113" s="453"/>
      <c r="AA113" s="238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60"/>
    </row>
    <row r="114" spans="1:74" ht="24.95" hidden="1" customHeight="1" x14ac:dyDescent="0.25">
      <c r="A114" s="70"/>
      <c r="B114" s="118"/>
      <c r="C114" s="36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>
        <f t="shared" si="1"/>
        <v>0</v>
      </c>
      <c r="S114" s="348"/>
      <c r="T114" s="348"/>
      <c r="U114" s="348"/>
      <c r="V114" s="348"/>
      <c r="W114" s="348"/>
      <c r="X114" s="350">
        <f t="shared" si="50"/>
        <v>0</v>
      </c>
      <c r="Y114" s="354">
        <f t="shared" si="51"/>
        <v>0</v>
      </c>
      <c r="Z114" s="453"/>
      <c r="AA114" s="238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60"/>
    </row>
    <row r="115" spans="1:74" ht="24.95" hidden="1" customHeight="1" x14ac:dyDescent="0.25">
      <c r="A115" s="70"/>
      <c r="B115" s="118"/>
      <c r="C115" s="36"/>
      <c r="D115" s="348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O115" s="348"/>
      <c r="P115" s="348"/>
      <c r="Q115" s="348"/>
      <c r="R115" s="348">
        <f t="shared" si="1"/>
        <v>0</v>
      </c>
      <c r="S115" s="348"/>
      <c r="T115" s="348"/>
      <c r="U115" s="348"/>
      <c r="V115" s="348"/>
      <c r="W115" s="348"/>
      <c r="X115" s="350">
        <f t="shared" si="50"/>
        <v>0</v>
      </c>
      <c r="Y115" s="354">
        <f t="shared" si="51"/>
        <v>0</v>
      </c>
      <c r="Z115" s="453"/>
      <c r="AA115" s="238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60"/>
    </row>
    <row r="116" spans="1:74" ht="24.95" hidden="1" customHeight="1" x14ac:dyDescent="0.25">
      <c r="A116" s="70"/>
      <c r="B116" s="118"/>
      <c r="C116" s="36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>
        <f t="shared" si="1"/>
        <v>0</v>
      </c>
      <c r="S116" s="348"/>
      <c r="T116" s="348"/>
      <c r="U116" s="348"/>
      <c r="V116" s="348"/>
      <c r="W116" s="348"/>
      <c r="X116" s="350">
        <f t="shared" si="50"/>
        <v>0</v>
      </c>
      <c r="Y116" s="354">
        <f t="shared" si="51"/>
        <v>0</v>
      </c>
      <c r="Z116" s="453"/>
      <c r="AA116" s="238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60"/>
    </row>
    <row r="117" spans="1:74" ht="30" hidden="1" customHeight="1" x14ac:dyDescent="0.25">
      <c r="A117" s="70"/>
      <c r="B117" s="118"/>
      <c r="C117" s="26"/>
      <c r="D117" s="348"/>
      <c r="E117" s="348"/>
      <c r="F117" s="348"/>
      <c r="G117" s="348"/>
      <c r="H117" s="348"/>
      <c r="I117" s="348"/>
      <c r="J117" s="348"/>
      <c r="K117" s="348"/>
      <c r="L117" s="348"/>
      <c r="M117" s="348"/>
      <c r="N117" s="348"/>
      <c r="O117" s="348"/>
      <c r="P117" s="348"/>
      <c r="Q117" s="348"/>
      <c r="R117" s="348">
        <f t="shared" si="1"/>
        <v>0</v>
      </c>
      <c r="S117" s="348"/>
      <c r="T117" s="348"/>
      <c r="U117" s="348"/>
      <c r="V117" s="348"/>
      <c r="W117" s="348"/>
      <c r="X117" s="350">
        <f t="shared" si="2"/>
        <v>0</v>
      </c>
      <c r="Y117" s="354">
        <f t="shared" si="3"/>
        <v>0</v>
      </c>
      <c r="Z117" s="453"/>
      <c r="AA117" s="238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60"/>
    </row>
    <row r="118" spans="1:74" ht="17.25" hidden="1" customHeight="1" thickBot="1" x14ac:dyDescent="0.25">
      <c r="A118" s="70"/>
      <c r="B118" s="107"/>
      <c r="C118" s="140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2"/>
      <c r="Y118" s="454"/>
      <c r="Z118" s="455"/>
      <c r="AA118" s="238"/>
    </row>
    <row r="119" spans="1:74" ht="35.1" hidden="1" customHeight="1" thickTop="1" thickBot="1" x14ac:dyDescent="0.25">
      <c r="A119" s="115"/>
      <c r="B119" s="76"/>
      <c r="C119" s="40" t="s">
        <v>19</v>
      </c>
      <c r="D119" s="315">
        <f t="shared" ref="D119:Q119" si="54">SUM(D18:D118)</f>
        <v>2885</v>
      </c>
      <c r="E119" s="315">
        <f t="shared" si="54"/>
        <v>467</v>
      </c>
      <c r="F119" s="315">
        <f t="shared" si="54"/>
        <v>77618.087</v>
      </c>
      <c r="G119" s="315">
        <f t="shared" si="54"/>
        <v>-1800</v>
      </c>
      <c r="H119" s="315">
        <f t="shared" si="54"/>
        <v>-41</v>
      </c>
      <c r="I119" s="315">
        <f t="shared" si="54"/>
        <v>-800</v>
      </c>
      <c r="J119" s="315">
        <f t="shared" si="54"/>
        <v>3610</v>
      </c>
      <c r="K119" s="315">
        <f t="shared" si="54"/>
        <v>-84777</v>
      </c>
      <c r="L119" s="315">
        <f t="shared" si="54"/>
        <v>11723</v>
      </c>
      <c r="M119" s="315">
        <f t="shared" si="54"/>
        <v>4479</v>
      </c>
      <c r="N119" s="315">
        <f t="shared" si="54"/>
        <v>0</v>
      </c>
      <c r="O119" s="315">
        <f t="shared" si="54"/>
        <v>0</v>
      </c>
      <c r="P119" s="315">
        <f t="shared" si="54"/>
        <v>0</v>
      </c>
      <c r="Q119" s="315">
        <f t="shared" si="54"/>
        <v>0</v>
      </c>
      <c r="R119" s="315">
        <f>SUM(D119:Q119)</f>
        <v>13364.087</v>
      </c>
      <c r="S119" s="315"/>
      <c r="T119" s="315">
        <f>SUM(T18:T118)</f>
        <v>0</v>
      </c>
      <c r="U119" s="315">
        <f>SUM(U18:U118)</f>
        <v>0</v>
      </c>
      <c r="V119" s="315">
        <f>SUM(V18:V118)</f>
        <v>0</v>
      </c>
      <c r="W119" s="315">
        <f>SUM(W18:W118)</f>
        <v>0</v>
      </c>
      <c r="X119" s="315">
        <f>SUM(X18:X118)</f>
        <v>0</v>
      </c>
      <c r="Y119" s="315">
        <f t="shared" si="3"/>
        <v>13364.087</v>
      </c>
      <c r="Z119" s="446">
        <f>SUM(Z18:Z118)</f>
        <v>107240.99800000001</v>
      </c>
      <c r="AA119" s="239"/>
    </row>
    <row r="120" spans="1:74" ht="9.9499999999999993" hidden="1" customHeight="1" thickTop="1" x14ac:dyDescent="0.2">
      <c r="A120" s="367"/>
      <c r="B120" s="153"/>
      <c r="C120" s="154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68"/>
      <c r="R120" s="368"/>
      <c r="S120" s="368"/>
      <c r="T120" s="368"/>
      <c r="U120" s="368"/>
      <c r="V120" s="368"/>
      <c r="W120" s="368"/>
      <c r="X120" s="369"/>
      <c r="Y120" s="368"/>
      <c r="Z120" s="456"/>
      <c r="AA120" s="239"/>
    </row>
    <row r="121" spans="1:74" ht="24.95" hidden="1" customHeight="1" x14ac:dyDescent="0.2">
      <c r="A121" s="370"/>
      <c r="B121" s="179"/>
      <c r="C121" s="371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>
        <f>SUM(D121:Q121)</f>
        <v>0</v>
      </c>
      <c r="S121" s="372"/>
      <c r="T121" s="372"/>
      <c r="U121" s="372"/>
      <c r="V121" s="372"/>
      <c r="W121" s="372"/>
      <c r="X121" s="373">
        <f>SUM(T121:W121)</f>
        <v>0</v>
      </c>
      <c r="Y121" s="457">
        <f>R121+X121</f>
        <v>0</v>
      </c>
      <c r="Z121" s="458"/>
      <c r="AA121" s="239"/>
    </row>
    <row r="122" spans="1:74" ht="9.9499999999999993" hidden="1" customHeight="1" thickBot="1" x14ac:dyDescent="0.25">
      <c r="A122" s="374"/>
      <c r="B122" s="156"/>
      <c r="C122" s="157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6"/>
      <c r="Y122" s="375"/>
      <c r="Z122" s="459"/>
      <c r="AA122" s="239"/>
    </row>
    <row r="123" spans="1:74" ht="35.1" hidden="1" customHeight="1" thickTop="1" thickBot="1" x14ac:dyDescent="0.25">
      <c r="A123" s="115"/>
      <c r="B123" s="76"/>
      <c r="C123" s="40" t="s">
        <v>103</v>
      </c>
      <c r="D123" s="346">
        <f t="shared" ref="D123:K123" si="55">D17+D119</f>
        <v>155382</v>
      </c>
      <c r="E123" s="346">
        <f t="shared" si="55"/>
        <v>32142</v>
      </c>
      <c r="F123" s="346">
        <f t="shared" si="55"/>
        <v>4827846.0870000003</v>
      </c>
      <c r="G123" s="346">
        <f t="shared" si="55"/>
        <v>204351</v>
      </c>
      <c r="H123" s="346">
        <f t="shared" si="55"/>
        <v>308609</v>
      </c>
      <c r="I123" s="346">
        <f t="shared" si="55"/>
        <v>68671</v>
      </c>
      <c r="J123" s="346">
        <f t="shared" si="55"/>
        <v>974372</v>
      </c>
      <c r="K123" s="346">
        <f t="shared" si="55"/>
        <v>1617391</v>
      </c>
      <c r="L123" s="346">
        <f>L17+L119+L121</f>
        <v>7914920</v>
      </c>
      <c r="M123" s="346">
        <f>M17+M119</f>
        <v>462134</v>
      </c>
      <c r="N123" s="346">
        <f>N17+N119</f>
        <v>100000</v>
      </c>
      <c r="O123" s="346">
        <f>O17+O119</f>
        <v>3000</v>
      </c>
      <c r="P123" s="346">
        <f>P17+P119</f>
        <v>0</v>
      </c>
      <c r="Q123" s="346">
        <f>Q17+Q119</f>
        <v>353939</v>
      </c>
      <c r="R123" s="346">
        <f>SUM(D123:Q123)</f>
        <v>17022757.087000001</v>
      </c>
      <c r="S123" s="346"/>
      <c r="T123" s="346">
        <f>T17+T119</f>
        <v>0</v>
      </c>
      <c r="U123" s="346">
        <f>U17+U119</f>
        <v>0</v>
      </c>
      <c r="V123" s="346">
        <f>V17+V119</f>
        <v>56742</v>
      </c>
      <c r="W123" s="346">
        <f>W17+W119</f>
        <v>0</v>
      </c>
      <c r="X123" s="347">
        <f t="shared" si="2"/>
        <v>56742</v>
      </c>
      <c r="Y123" s="346">
        <f>R123+X123</f>
        <v>17079499.087000001</v>
      </c>
      <c r="Z123" s="460">
        <f>Z17+Z119+Z121</f>
        <v>8740745.9979999997</v>
      </c>
      <c r="AA123" s="240"/>
      <c r="AB123" s="73">
        <f>Y123+Z123</f>
        <v>25820245.085000001</v>
      </c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</row>
    <row r="124" spans="1:74" ht="17.25" hidden="1" customHeight="1" thickTop="1" x14ac:dyDescent="0.2">
      <c r="A124" s="24"/>
      <c r="B124" s="116" t="s">
        <v>180</v>
      </c>
      <c r="C124" s="78" t="s">
        <v>96</v>
      </c>
      <c r="D124" s="396"/>
      <c r="E124" s="396"/>
      <c r="F124" s="396"/>
      <c r="G124" s="396"/>
      <c r="H124" s="396"/>
      <c r="I124" s="396"/>
      <c r="J124" s="396"/>
      <c r="K124" s="396">
        <f>200000+(302811-204+150-17)+500000</f>
        <v>1002740</v>
      </c>
      <c r="L124" s="396"/>
      <c r="M124" s="396"/>
      <c r="N124" s="396"/>
      <c r="O124" s="396"/>
      <c r="P124" s="396"/>
      <c r="Q124" s="396"/>
      <c r="R124" s="396">
        <f t="shared" ref="R124:R170" si="56">SUM(D124:Q124)</f>
        <v>1002740</v>
      </c>
      <c r="S124" s="79"/>
      <c r="T124" s="79"/>
      <c r="U124" s="79"/>
      <c r="V124" s="79"/>
      <c r="W124" s="79"/>
      <c r="X124" s="83">
        <f t="shared" si="2"/>
        <v>0</v>
      </c>
      <c r="Y124" s="461">
        <f t="shared" si="3"/>
        <v>1002740</v>
      </c>
      <c r="Z124" s="406">
        <f>116388+1676+746+2353+2063+1518+498+528+758+12321</f>
        <v>138849</v>
      </c>
      <c r="AA124" s="241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</row>
    <row r="125" spans="1:74" ht="16.5" hidden="1" customHeight="1" x14ac:dyDescent="0.2">
      <c r="A125" s="24"/>
      <c r="B125" s="64" t="s">
        <v>181</v>
      </c>
      <c r="C125" s="80" t="s">
        <v>96</v>
      </c>
      <c r="D125" s="397"/>
      <c r="E125" s="397"/>
      <c r="F125" s="397">
        <f>14497+3915+8960.366+(10200+3002.328)</f>
        <v>40574.694000000003</v>
      </c>
      <c r="G125" s="397"/>
      <c r="H125" s="397"/>
      <c r="I125" s="397"/>
      <c r="J125" s="397">
        <f>70</f>
        <v>70</v>
      </c>
      <c r="K125" s="397">
        <f>2000</f>
        <v>2000</v>
      </c>
      <c r="L125" s="397"/>
      <c r="M125" s="397"/>
      <c r="N125" s="397"/>
      <c r="O125" s="397"/>
      <c r="P125" s="397"/>
      <c r="Q125" s="397"/>
      <c r="R125" s="397">
        <f t="shared" si="56"/>
        <v>42644.694000000003</v>
      </c>
      <c r="S125" s="110"/>
      <c r="T125" s="110"/>
      <c r="U125" s="110"/>
      <c r="V125" s="110"/>
      <c r="W125" s="110"/>
      <c r="X125" s="293">
        <f t="shared" si="2"/>
        <v>0</v>
      </c>
      <c r="Y125" s="462">
        <f t="shared" si="3"/>
        <v>42644.694000000003</v>
      </c>
      <c r="Z125" s="463"/>
      <c r="AA125" s="241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</row>
    <row r="126" spans="1:74" ht="16.5" hidden="1" customHeight="1" x14ac:dyDescent="0.2">
      <c r="A126" s="24"/>
      <c r="B126" s="64" t="s">
        <v>182</v>
      </c>
      <c r="C126" s="80" t="s">
        <v>96</v>
      </c>
      <c r="D126" s="398"/>
      <c r="E126" s="398"/>
      <c r="F126" s="398"/>
      <c r="G126" s="398"/>
      <c r="H126" s="398"/>
      <c r="I126" s="398"/>
      <c r="J126" s="398"/>
      <c r="K126" s="398"/>
      <c r="L126" s="398"/>
      <c r="M126" s="398"/>
      <c r="N126" s="398"/>
      <c r="O126" s="398"/>
      <c r="P126" s="398"/>
      <c r="Q126" s="398"/>
      <c r="R126" s="398">
        <f t="shared" si="56"/>
        <v>0</v>
      </c>
      <c r="S126" s="81"/>
      <c r="T126" s="81"/>
      <c r="U126" s="81"/>
      <c r="V126" s="81"/>
      <c r="W126" s="81"/>
      <c r="X126" s="84">
        <f t="shared" si="2"/>
        <v>0</v>
      </c>
      <c r="Y126" s="462">
        <f t="shared" si="3"/>
        <v>0</v>
      </c>
      <c r="Z126" s="464"/>
      <c r="AA126" s="241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</row>
    <row r="127" spans="1:74" ht="16.5" hidden="1" customHeight="1" x14ac:dyDescent="0.25">
      <c r="A127" s="24"/>
      <c r="B127" s="64" t="s">
        <v>183</v>
      </c>
      <c r="C127" s="80" t="s">
        <v>96</v>
      </c>
      <c r="D127" s="398"/>
      <c r="E127" s="398"/>
      <c r="F127" s="398"/>
      <c r="G127" s="398"/>
      <c r="H127" s="398"/>
      <c r="I127" s="398"/>
      <c r="J127" s="398">
        <f>100</f>
        <v>100</v>
      </c>
      <c r="K127" s="398"/>
      <c r="L127" s="398"/>
      <c r="M127" s="398"/>
      <c r="N127" s="399"/>
      <c r="O127" s="398"/>
      <c r="P127" s="398"/>
      <c r="Q127" s="398"/>
      <c r="R127" s="398">
        <f t="shared" si="56"/>
        <v>100</v>
      </c>
      <c r="S127" s="81"/>
      <c r="T127" s="81"/>
      <c r="U127" s="81"/>
      <c r="V127" s="81"/>
      <c r="W127" s="81"/>
      <c r="X127" s="84">
        <f t="shared" si="2"/>
        <v>0</v>
      </c>
      <c r="Y127" s="462">
        <f t="shared" si="3"/>
        <v>100</v>
      </c>
      <c r="Z127" s="464"/>
      <c r="AA127" s="241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</row>
    <row r="128" spans="1:74" ht="16.5" hidden="1" customHeight="1" x14ac:dyDescent="0.25">
      <c r="A128" s="24"/>
      <c r="B128" s="64" t="s">
        <v>184</v>
      </c>
      <c r="C128" s="80" t="s">
        <v>96</v>
      </c>
      <c r="D128" s="398"/>
      <c r="E128" s="399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>
        <f t="shared" si="56"/>
        <v>0</v>
      </c>
      <c r="S128" s="81"/>
      <c r="T128" s="81"/>
      <c r="U128" s="81"/>
      <c r="V128" s="81"/>
      <c r="W128" s="81"/>
      <c r="X128" s="84">
        <f t="shared" si="2"/>
        <v>0</v>
      </c>
      <c r="Y128" s="462">
        <f t="shared" si="3"/>
        <v>0</v>
      </c>
      <c r="Z128" s="464"/>
      <c r="AA128" s="241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</row>
    <row r="129" spans="1:74" ht="16.5" hidden="1" customHeight="1" x14ac:dyDescent="0.2">
      <c r="A129" s="24"/>
      <c r="B129" s="64" t="s">
        <v>197</v>
      </c>
      <c r="C129" s="80" t="s">
        <v>96</v>
      </c>
      <c r="D129" s="398"/>
      <c r="E129" s="398"/>
      <c r="F129" s="398"/>
      <c r="G129" s="398"/>
      <c r="H129" s="398"/>
      <c r="I129" s="398"/>
      <c r="J129" s="398"/>
      <c r="K129" s="398"/>
      <c r="L129" s="398"/>
      <c r="M129" s="398"/>
      <c r="N129" s="398"/>
      <c r="O129" s="398"/>
      <c r="P129" s="398"/>
      <c r="Q129" s="398"/>
      <c r="R129" s="398">
        <f t="shared" si="56"/>
        <v>0</v>
      </c>
      <c r="S129" s="81"/>
      <c r="T129" s="81"/>
      <c r="U129" s="81"/>
      <c r="V129" s="81"/>
      <c r="W129" s="81"/>
      <c r="X129" s="84">
        <f t="shared" si="2"/>
        <v>0</v>
      </c>
      <c r="Y129" s="462">
        <f t="shared" si="3"/>
        <v>0</v>
      </c>
      <c r="Z129" s="464"/>
      <c r="AA129" s="241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</row>
    <row r="130" spans="1:74" ht="16.5" hidden="1" customHeight="1" x14ac:dyDescent="0.2">
      <c r="A130" s="24"/>
      <c r="B130" s="64" t="s">
        <v>185</v>
      </c>
      <c r="C130" s="80" t="s">
        <v>96</v>
      </c>
      <c r="D130" s="398">
        <f>1038</f>
        <v>1038</v>
      </c>
      <c r="E130" s="398">
        <f>203</f>
        <v>203</v>
      </c>
      <c r="F130" s="398">
        <f>67+19+20+6+659+179</f>
        <v>950</v>
      </c>
      <c r="G130" s="398"/>
      <c r="H130" s="398"/>
      <c r="I130" s="398"/>
      <c r="J130" s="398">
        <v>400</v>
      </c>
      <c r="K130" s="398"/>
      <c r="L130" s="398"/>
      <c r="M130" s="398"/>
      <c r="N130" s="398"/>
      <c r="O130" s="398"/>
      <c r="P130" s="398"/>
      <c r="Q130" s="398"/>
      <c r="R130" s="398">
        <f t="shared" si="56"/>
        <v>2591</v>
      </c>
      <c r="S130" s="81"/>
      <c r="T130" s="81"/>
      <c r="U130" s="81"/>
      <c r="V130" s="81"/>
      <c r="W130" s="81"/>
      <c r="X130" s="84">
        <f t="shared" si="2"/>
        <v>0</v>
      </c>
      <c r="Y130" s="462">
        <f t="shared" si="3"/>
        <v>2591</v>
      </c>
      <c r="Z130" s="464"/>
      <c r="AA130" s="241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</row>
    <row r="131" spans="1:74" ht="16.5" hidden="1" customHeight="1" x14ac:dyDescent="0.2">
      <c r="A131" s="24"/>
      <c r="B131" s="64" t="s">
        <v>198</v>
      </c>
      <c r="C131" s="80" t="s">
        <v>96</v>
      </c>
      <c r="D131" s="398"/>
      <c r="E131" s="398"/>
      <c r="F131" s="398">
        <f>60+17</f>
        <v>77</v>
      </c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  <c r="Q131" s="398"/>
      <c r="R131" s="398">
        <f t="shared" si="56"/>
        <v>77</v>
      </c>
      <c r="S131" s="81"/>
      <c r="T131" s="81"/>
      <c r="U131" s="81"/>
      <c r="V131" s="81"/>
      <c r="W131" s="81"/>
      <c r="X131" s="84">
        <f t="shared" si="2"/>
        <v>0</v>
      </c>
      <c r="Y131" s="462">
        <f t="shared" si="3"/>
        <v>77</v>
      </c>
      <c r="Z131" s="464"/>
      <c r="AA131" s="241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</row>
    <row r="132" spans="1:74" ht="16.5" hidden="1" customHeight="1" x14ac:dyDescent="0.2">
      <c r="A132" s="24"/>
      <c r="B132" s="64" t="s">
        <v>186</v>
      </c>
      <c r="C132" s="80" t="s">
        <v>96</v>
      </c>
      <c r="D132" s="398"/>
      <c r="E132" s="398"/>
      <c r="F132" s="398">
        <f>120</f>
        <v>120</v>
      </c>
      <c r="G132" s="398"/>
      <c r="H132" s="398"/>
      <c r="I132" s="398"/>
      <c r="J132" s="398"/>
      <c r="K132" s="398"/>
      <c r="L132" s="398"/>
      <c r="M132" s="398"/>
      <c r="N132" s="398"/>
      <c r="O132" s="398"/>
      <c r="P132" s="398"/>
      <c r="Q132" s="398"/>
      <c r="R132" s="398">
        <f t="shared" si="56"/>
        <v>120</v>
      </c>
      <c r="S132" s="81"/>
      <c r="T132" s="81"/>
      <c r="U132" s="81"/>
      <c r="V132" s="81"/>
      <c r="W132" s="81"/>
      <c r="X132" s="84">
        <f t="shared" si="2"/>
        <v>0</v>
      </c>
      <c r="Y132" s="462">
        <f t="shared" si="3"/>
        <v>120</v>
      </c>
      <c r="Z132" s="464"/>
      <c r="AA132" s="241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</row>
    <row r="133" spans="1:74" ht="16.5" hidden="1" customHeight="1" x14ac:dyDescent="0.2">
      <c r="A133" s="24"/>
      <c r="B133" s="64" t="s">
        <v>199</v>
      </c>
      <c r="C133" s="80" t="s">
        <v>96</v>
      </c>
      <c r="D133" s="398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98"/>
      <c r="Q133" s="398"/>
      <c r="R133" s="398">
        <f t="shared" si="56"/>
        <v>0</v>
      </c>
      <c r="S133" s="81"/>
      <c r="T133" s="81"/>
      <c r="U133" s="81"/>
      <c r="V133" s="81"/>
      <c r="W133" s="81"/>
      <c r="X133" s="84">
        <f t="shared" si="2"/>
        <v>0</v>
      </c>
      <c r="Y133" s="462">
        <f t="shared" si="3"/>
        <v>0</v>
      </c>
      <c r="Z133" s="464"/>
      <c r="AA133" s="241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</row>
    <row r="134" spans="1:74" ht="16.5" hidden="1" customHeight="1" x14ac:dyDescent="0.2">
      <c r="A134" s="24"/>
      <c r="B134" s="64" t="s">
        <v>200</v>
      </c>
      <c r="C134" s="80" t="s">
        <v>96</v>
      </c>
      <c r="D134" s="398"/>
      <c r="E134" s="398"/>
      <c r="F134" s="398">
        <f>2045+553+802+217+(1518+77+21+1199+389+105+5176+1398)</f>
        <v>13500</v>
      </c>
      <c r="G134" s="398"/>
      <c r="H134" s="398"/>
      <c r="I134" s="398"/>
      <c r="J134" s="398"/>
      <c r="K134" s="398"/>
      <c r="L134" s="398">
        <f>8400+2268</f>
        <v>10668</v>
      </c>
      <c r="M134" s="398"/>
      <c r="N134" s="398"/>
      <c r="O134" s="398"/>
      <c r="P134" s="398"/>
      <c r="Q134" s="398"/>
      <c r="R134" s="398">
        <f t="shared" si="56"/>
        <v>24168</v>
      </c>
      <c r="S134" s="81"/>
      <c r="T134" s="81"/>
      <c r="U134" s="81"/>
      <c r="V134" s="81"/>
      <c r="W134" s="81"/>
      <c r="X134" s="84">
        <f t="shared" si="2"/>
        <v>0</v>
      </c>
      <c r="Y134" s="462">
        <f t="shared" si="3"/>
        <v>24168</v>
      </c>
      <c r="Z134" s="464"/>
      <c r="AA134" s="241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</row>
    <row r="135" spans="1:74" ht="16.5" hidden="1" customHeight="1" x14ac:dyDescent="0.2">
      <c r="A135" s="24"/>
      <c r="B135" s="64" t="s">
        <v>201</v>
      </c>
      <c r="C135" s="80" t="s">
        <v>96</v>
      </c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>
        <f t="shared" si="56"/>
        <v>0</v>
      </c>
      <c r="S135" s="81"/>
      <c r="T135" s="81"/>
      <c r="U135" s="81"/>
      <c r="V135" s="81"/>
      <c r="W135" s="81"/>
      <c r="X135" s="84">
        <f t="shared" si="2"/>
        <v>0</v>
      </c>
      <c r="Y135" s="462">
        <f t="shared" si="3"/>
        <v>0</v>
      </c>
      <c r="Z135" s="464"/>
      <c r="AA135" s="241"/>
      <c r="AB135" s="7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</row>
    <row r="136" spans="1:74" ht="16.5" hidden="1" customHeight="1" x14ac:dyDescent="0.2">
      <c r="A136" s="24"/>
      <c r="B136" s="64" t="s">
        <v>187</v>
      </c>
      <c r="C136" s="80" t="s">
        <v>96</v>
      </c>
      <c r="D136" s="398"/>
      <c r="E136" s="398"/>
      <c r="F136" s="398">
        <f>3000+810+130+885</f>
        <v>4825</v>
      </c>
      <c r="G136" s="398"/>
      <c r="H136" s="398"/>
      <c r="I136" s="398"/>
      <c r="J136" s="398">
        <f>200</f>
        <v>200</v>
      </c>
      <c r="K136" s="398"/>
      <c r="L136" s="398"/>
      <c r="M136" s="398"/>
      <c r="N136" s="398"/>
      <c r="O136" s="398"/>
      <c r="P136" s="398"/>
      <c r="Q136" s="398"/>
      <c r="R136" s="398">
        <f t="shared" si="56"/>
        <v>5025</v>
      </c>
      <c r="S136" s="81"/>
      <c r="T136" s="81"/>
      <c r="U136" s="81"/>
      <c r="V136" s="81"/>
      <c r="W136" s="81"/>
      <c r="X136" s="84">
        <f t="shared" si="2"/>
        <v>0</v>
      </c>
      <c r="Y136" s="462">
        <f t="shared" si="3"/>
        <v>5025</v>
      </c>
      <c r="Z136" s="464"/>
      <c r="AA136" s="241"/>
      <c r="AB136" s="7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</row>
    <row r="137" spans="1:74" ht="16.5" hidden="1" customHeight="1" x14ac:dyDescent="0.2">
      <c r="A137" s="24"/>
      <c r="B137" s="64" t="s">
        <v>202</v>
      </c>
      <c r="C137" s="80" t="s">
        <v>96</v>
      </c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>
        <f t="shared" si="56"/>
        <v>0</v>
      </c>
      <c r="S137" s="81"/>
      <c r="T137" s="81"/>
      <c r="U137" s="81"/>
      <c r="V137" s="81"/>
      <c r="W137" s="81"/>
      <c r="X137" s="84">
        <f>SUM(T137:W137)</f>
        <v>0</v>
      </c>
      <c r="Y137" s="462">
        <f>R137+X137</f>
        <v>0</v>
      </c>
      <c r="Z137" s="464"/>
      <c r="AA137" s="241"/>
      <c r="AB137" s="7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</row>
    <row r="138" spans="1:74" ht="16.5" hidden="1" customHeight="1" x14ac:dyDescent="0.2">
      <c r="A138" s="24"/>
      <c r="B138" s="64" t="s">
        <v>188</v>
      </c>
      <c r="C138" s="80" t="s">
        <v>96</v>
      </c>
      <c r="D138" s="398"/>
      <c r="E138" s="398"/>
      <c r="F138" s="398">
        <f>581+157+(13600+3672+150+41)</f>
        <v>18201</v>
      </c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  <c r="Q138" s="398"/>
      <c r="R138" s="398">
        <f t="shared" si="56"/>
        <v>18201</v>
      </c>
      <c r="S138" s="81"/>
      <c r="T138" s="81"/>
      <c r="U138" s="81"/>
      <c r="V138" s="81"/>
      <c r="W138" s="81"/>
      <c r="X138" s="84">
        <f t="shared" si="2"/>
        <v>0</v>
      </c>
      <c r="Y138" s="462">
        <f t="shared" si="3"/>
        <v>18201</v>
      </c>
      <c r="Z138" s="464"/>
      <c r="AA138" s="241"/>
      <c r="AB138" s="7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</row>
    <row r="139" spans="1:74" ht="16.5" hidden="1" customHeight="1" x14ac:dyDescent="0.2">
      <c r="A139" s="24"/>
      <c r="B139" s="64" t="s">
        <v>203</v>
      </c>
      <c r="C139" s="80" t="s">
        <v>96</v>
      </c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>
        <f t="shared" si="56"/>
        <v>0</v>
      </c>
      <c r="S139" s="81"/>
      <c r="T139" s="81"/>
      <c r="U139" s="81"/>
      <c r="V139" s="81"/>
      <c r="W139" s="81"/>
      <c r="X139" s="84">
        <f t="shared" ref="X139" si="57">SUM(T139:W139)</f>
        <v>0</v>
      </c>
      <c r="Y139" s="462">
        <f t="shared" ref="Y139" si="58">R139+X139</f>
        <v>0</v>
      </c>
      <c r="Z139" s="464"/>
      <c r="AA139" s="241"/>
      <c r="AB139" s="7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</row>
    <row r="140" spans="1:74" ht="16.5" hidden="1" customHeight="1" x14ac:dyDescent="0.2">
      <c r="A140" s="24"/>
      <c r="B140" s="65" t="s">
        <v>204</v>
      </c>
      <c r="C140" s="82" t="s">
        <v>96</v>
      </c>
      <c r="D140" s="398"/>
      <c r="E140" s="398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  <c r="Q140" s="398"/>
      <c r="R140" s="398">
        <f t="shared" si="56"/>
        <v>0</v>
      </c>
      <c r="S140" s="81"/>
      <c r="T140" s="81"/>
      <c r="U140" s="81"/>
      <c r="V140" s="81"/>
      <c r="W140" s="81"/>
      <c r="X140" s="84">
        <f t="shared" si="2"/>
        <v>0</v>
      </c>
      <c r="Y140" s="462">
        <f t="shared" si="3"/>
        <v>0</v>
      </c>
      <c r="Z140" s="464"/>
      <c r="AA140" s="241"/>
      <c r="AB140" s="7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</row>
    <row r="141" spans="1:74" ht="16.5" hidden="1" customHeight="1" x14ac:dyDescent="0.2">
      <c r="A141" s="24"/>
      <c r="B141" s="65" t="s">
        <v>205</v>
      </c>
      <c r="C141" s="82" t="s">
        <v>96</v>
      </c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>
        <f t="shared" si="56"/>
        <v>0</v>
      </c>
      <c r="S141" s="81"/>
      <c r="T141" s="81"/>
      <c r="U141" s="81"/>
      <c r="V141" s="81"/>
      <c r="W141" s="81"/>
      <c r="X141" s="84">
        <f t="shared" si="2"/>
        <v>0</v>
      </c>
      <c r="Y141" s="462">
        <f t="shared" si="3"/>
        <v>0</v>
      </c>
      <c r="Z141" s="407"/>
      <c r="AA141" s="241"/>
      <c r="AB141" s="7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</row>
    <row r="142" spans="1:74" ht="16.5" hidden="1" customHeight="1" x14ac:dyDescent="0.2">
      <c r="A142" s="24"/>
      <c r="B142" s="65" t="s">
        <v>189</v>
      </c>
      <c r="C142" s="82" t="s">
        <v>96</v>
      </c>
      <c r="D142" s="398"/>
      <c r="E142" s="398"/>
      <c r="F142" s="398">
        <f>2500+675+1050+284+(358+97+16840+4547+6226+1681+955+463+500+135)</f>
        <v>36311</v>
      </c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>
        <f t="shared" si="56"/>
        <v>36311</v>
      </c>
      <c r="S142" s="81"/>
      <c r="T142" s="81"/>
      <c r="U142" s="81"/>
      <c r="V142" s="81"/>
      <c r="W142" s="81"/>
      <c r="X142" s="84">
        <f t="shared" si="2"/>
        <v>0</v>
      </c>
      <c r="Y142" s="462">
        <f t="shared" si="3"/>
        <v>36311</v>
      </c>
      <c r="Z142" s="464"/>
      <c r="AA142" s="241"/>
      <c r="AB142" s="7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</row>
    <row r="143" spans="1:74" ht="16.5" hidden="1" customHeight="1" x14ac:dyDescent="0.2">
      <c r="A143" s="24"/>
      <c r="B143" s="29">
        <v>9061</v>
      </c>
      <c r="C143" s="82" t="s">
        <v>96</v>
      </c>
      <c r="D143" s="398"/>
      <c r="E143" s="398"/>
      <c r="F143" s="398">
        <f>3071+420</f>
        <v>3491</v>
      </c>
      <c r="G143" s="398"/>
      <c r="H143" s="398"/>
      <c r="I143" s="398"/>
      <c r="J143" s="398"/>
      <c r="K143" s="398">
        <f>11781</f>
        <v>11781</v>
      </c>
      <c r="L143" s="398"/>
      <c r="M143" s="398"/>
      <c r="N143" s="398"/>
      <c r="O143" s="398"/>
      <c r="P143" s="398"/>
      <c r="Q143" s="398">
        <f>193152</f>
        <v>193152</v>
      </c>
      <c r="R143" s="398">
        <f t="shared" si="56"/>
        <v>208424</v>
      </c>
      <c r="S143" s="81"/>
      <c r="T143" s="81"/>
      <c r="U143" s="81"/>
      <c r="V143" s="81"/>
      <c r="W143" s="81"/>
      <c r="X143" s="84">
        <f t="shared" si="2"/>
        <v>0</v>
      </c>
      <c r="Y143" s="462">
        <f t="shared" si="3"/>
        <v>208424</v>
      </c>
      <c r="Z143" s="464"/>
      <c r="AA143" s="241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</row>
    <row r="144" spans="1:74" ht="16.5" hidden="1" customHeight="1" x14ac:dyDescent="0.2">
      <c r="A144" s="24"/>
      <c r="B144" s="29">
        <v>9080</v>
      </c>
      <c r="C144" s="82" t="s">
        <v>96</v>
      </c>
      <c r="D144" s="398"/>
      <c r="E144" s="398"/>
      <c r="F144" s="398">
        <f>8780+980+200+54+1654+447+(476+96+4354+933+1931+1673+1718+2753)</f>
        <v>26049</v>
      </c>
      <c r="G144" s="398"/>
      <c r="H144" s="398"/>
      <c r="I144" s="398"/>
      <c r="J144" s="398">
        <f>200+373+116+690+629+1068+1068+6350+1000</f>
        <v>11494</v>
      </c>
      <c r="K144" s="398"/>
      <c r="L144" s="398"/>
      <c r="M144" s="398"/>
      <c r="N144" s="398"/>
      <c r="O144" s="398"/>
      <c r="P144" s="398"/>
      <c r="Q144" s="398">
        <f>1620</f>
        <v>1620</v>
      </c>
      <c r="R144" s="398">
        <f t="shared" si="56"/>
        <v>39163</v>
      </c>
      <c r="S144" s="81"/>
      <c r="T144" s="81"/>
      <c r="U144" s="81"/>
      <c r="V144" s="81"/>
      <c r="W144" s="81"/>
      <c r="X144" s="84">
        <f t="shared" si="2"/>
        <v>0</v>
      </c>
      <c r="Y144" s="462">
        <f t="shared" si="3"/>
        <v>39163</v>
      </c>
      <c r="Z144" s="464"/>
      <c r="AA144" s="241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</row>
    <row r="145" spans="1:74" ht="16.5" hidden="1" customHeight="1" x14ac:dyDescent="0.2">
      <c r="A145" s="24"/>
      <c r="B145" s="29">
        <v>9090</v>
      </c>
      <c r="C145" s="82" t="s">
        <v>96</v>
      </c>
      <c r="D145" s="398"/>
      <c r="E145" s="398"/>
      <c r="F145" s="398">
        <f>444+490</f>
        <v>934</v>
      </c>
      <c r="G145" s="398">
        <f>2048+1136+485+5584+1042+2671+902+1030+676+1530+1157+389+900+600+80</f>
        <v>20230</v>
      </c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>
        <f t="shared" si="56"/>
        <v>21164</v>
      </c>
      <c r="S145" s="81"/>
      <c r="T145" s="81"/>
      <c r="U145" s="81"/>
      <c r="V145" s="81"/>
      <c r="W145" s="81"/>
      <c r="X145" s="84">
        <f t="shared" si="2"/>
        <v>0</v>
      </c>
      <c r="Y145" s="462">
        <f t="shared" si="3"/>
        <v>21164</v>
      </c>
      <c r="Z145" s="464"/>
      <c r="AA145" s="241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</row>
    <row r="146" spans="1:74" ht="16.5" hidden="1" customHeight="1" x14ac:dyDescent="0.2">
      <c r="A146" s="24"/>
      <c r="B146" s="29">
        <v>9101</v>
      </c>
      <c r="C146" s="82" t="s">
        <v>96</v>
      </c>
      <c r="D146" s="398"/>
      <c r="E146" s="398"/>
      <c r="F146" s="398"/>
      <c r="G146" s="398"/>
      <c r="H146" s="398"/>
      <c r="I146" s="398"/>
      <c r="J146" s="398"/>
      <c r="K146" s="398"/>
      <c r="L146" s="398">
        <f>1300+351</f>
        <v>1651</v>
      </c>
      <c r="M146" s="398"/>
      <c r="N146" s="398"/>
      <c r="O146" s="398"/>
      <c r="P146" s="398"/>
      <c r="Q146" s="398"/>
      <c r="R146" s="398">
        <f t="shared" si="56"/>
        <v>1651</v>
      </c>
      <c r="S146" s="81"/>
      <c r="T146" s="81"/>
      <c r="U146" s="81"/>
      <c r="V146" s="81"/>
      <c r="W146" s="81"/>
      <c r="X146" s="84">
        <f t="shared" si="2"/>
        <v>0</v>
      </c>
      <c r="Y146" s="462">
        <f t="shared" si="3"/>
        <v>1651</v>
      </c>
      <c r="Z146" s="464"/>
      <c r="AA146" s="241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</row>
    <row r="147" spans="1:74" ht="16.5" hidden="1" customHeight="1" x14ac:dyDescent="0.2">
      <c r="A147" s="24"/>
      <c r="B147" s="29">
        <v>9103</v>
      </c>
      <c r="C147" s="82" t="s">
        <v>96</v>
      </c>
      <c r="D147" s="398"/>
      <c r="E147" s="398"/>
      <c r="F147" s="398">
        <f>1398+378+563+153+22+6</f>
        <v>2520</v>
      </c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>
        <f t="shared" si="56"/>
        <v>2520</v>
      </c>
      <c r="S147" s="81"/>
      <c r="T147" s="81"/>
      <c r="U147" s="81"/>
      <c r="V147" s="81"/>
      <c r="W147" s="81"/>
      <c r="X147" s="84">
        <f t="shared" si="2"/>
        <v>0</v>
      </c>
      <c r="Y147" s="462">
        <f t="shared" si="3"/>
        <v>2520</v>
      </c>
      <c r="Z147" s="464"/>
      <c r="AA147" s="241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</row>
    <row r="148" spans="1:74" ht="16.5" hidden="1" customHeight="1" x14ac:dyDescent="0.2">
      <c r="A148" s="24"/>
      <c r="B148" s="29">
        <v>9121</v>
      </c>
      <c r="C148" s="66" t="s">
        <v>96</v>
      </c>
      <c r="D148" s="400"/>
      <c r="E148" s="400"/>
      <c r="F148" s="400">
        <f>1000+270+1350+365+1043+282+4434+1198+3329+899+9199+2484+2805+758+(1101+298+32805+8856+60540+16346+1629+440+522+141+3475+939+1980+535+1685+455)</f>
        <v>161163</v>
      </c>
      <c r="G148" s="400"/>
      <c r="H148" s="400"/>
      <c r="I148" s="400"/>
      <c r="J148" s="400"/>
      <c r="K148" s="400"/>
      <c r="L148" s="400">
        <f>20000+5400+7559+2041+14393+3887+566+154+24982+6745+4369+1180+1555+420+4429+943+17174+4637+8669+2340</f>
        <v>131443</v>
      </c>
      <c r="M148" s="400">
        <f>14979+4044</f>
        <v>19023</v>
      </c>
      <c r="N148" s="400"/>
      <c r="O148" s="400"/>
      <c r="P148" s="400"/>
      <c r="Q148" s="400"/>
      <c r="R148" s="400">
        <f t="shared" si="56"/>
        <v>311629</v>
      </c>
      <c r="S148" s="67"/>
      <c r="T148" s="67"/>
      <c r="U148" s="67"/>
      <c r="V148" s="67"/>
      <c r="W148" s="67"/>
      <c r="X148" s="294">
        <f t="shared" si="2"/>
        <v>0</v>
      </c>
      <c r="Y148" s="462">
        <f t="shared" si="3"/>
        <v>311629</v>
      </c>
      <c r="Z148" s="465"/>
      <c r="AA148" s="242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</row>
    <row r="149" spans="1:74" ht="16.5" hidden="1" customHeight="1" x14ac:dyDescent="0.2">
      <c r="A149" s="24"/>
      <c r="B149" s="29">
        <v>9150</v>
      </c>
      <c r="C149" s="66" t="s">
        <v>96</v>
      </c>
      <c r="D149" s="400"/>
      <c r="E149" s="400"/>
      <c r="F149" s="398">
        <f>8</f>
        <v>8</v>
      </c>
      <c r="G149" s="400"/>
      <c r="H149" s="400"/>
      <c r="I149" s="400"/>
      <c r="J149" s="400"/>
      <c r="K149" s="400"/>
      <c r="L149" s="398"/>
      <c r="M149" s="400"/>
      <c r="N149" s="400"/>
      <c r="O149" s="400"/>
      <c r="P149" s="400"/>
      <c r="Q149" s="400"/>
      <c r="R149" s="400">
        <f t="shared" si="56"/>
        <v>8</v>
      </c>
      <c r="S149" s="67"/>
      <c r="T149" s="67"/>
      <c r="U149" s="67"/>
      <c r="V149" s="67"/>
      <c r="W149" s="67"/>
      <c r="X149" s="294">
        <f t="shared" si="2"/>
        <v>0</v>
      </c>
      <c r="Y149" s="462">
        <f t="shared" si="3"/>
        <v>8</v>
      </c>
      <c r="Z149" s="465"/>
      <c r="AA149" s="2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</row>
    <row r="150" spans="1:74" ht="16.5" hidden="1" customHeight="1" x14ac:dyDescent="0.2">
      <c r="A150" s="24"/>
      <c r="B150" s="29">
        <v>9152</v>
      </c>
      <c r="C150" s="66" t="s">
        <v>96</v>
      </c>
      <c r="D150" s="400"/>
      <c r="E150" s="400"/>
      <c r="F150" s="398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>
        <f t="shared" si="56"/>
        <v>0</v>
      </c>
      <c r="S150" s="67"/>
      <c r="T150" s="67"/>
      <c r="U150" s="67"/>
      <c r="V150" s="67"/>
      <c r="W150" s="67"/>
      <c r="X150" s="294">
        <f t="shared" si="2"/>
        <v>0</v>
      </c>
      <c r="Y150" s="462">
        <f t="shared" si="3"/>
        <v>0</v>
      </c>
      <c r="Z150" s="465"/>
      <c r="AA150" s="2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</row>
    <row r="151" spans="1:74" ht="16.5" hidden="1" customHeight="1" x14ac:dyDescent="0.2">
      <c r="A151" s="24"/>
      <c r="B151" s="29">
        <v>9154</v>
      </c>
      <c r="C151" s="66" t="s">
        <v>96</v>
      </c>
      <c r="D151" s="400"/>
      <c r="E151" s="400"/>
      <c r="F151" s="398"/>
      <c r="G151" s="400"/>
      <c r="H151" s="400"/>
      <c r="I151" s="400"/>
      <c r="J151" s="400"/>
      <c r="K151" s="400"/>
      <c r="L151" s="400"/>
      <c r="M151" s="400"/>
      <c r="N151" s="400"/>
      <c r="O151" s="400"/>
      <c r="P151" s="400"/>
      <c r="Q151" s="400"/>
      <c r="R151" s="400">
        <f t="shared" si="56"/>
        <v>0</v>
      </c>
      <c r="S151" s="67"/>
      <c r="T151" s="67"/>
      <c r="U151" s="67"/>
      <c r="V151" s="67"/>
      <c r="W151" s="67"/>
      <c r="X151" s="294">
        <f t="shared" ref="X151" si="59">SUM(T151:W151)</f>
        <v>0</v>
      </c>
      <c r="Y151" s="462">
        <f t="shared" ref="Y151" si="60">R151+X151</f>
        <v>0</v>
      </c>
      <c r="Z151" s="465"/>
      <c r="AA151" s="2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</row>
    <row r="152" spans="1:74" ht="16.5" hidden="1" customHeight="1" x14ac:dyDescent="0.2">
      <c r="A152" s="24"/>
      <c r="B152" s="29">
        <v>9155</v>
      </c>
      <c r="C152" s="66" t="s">
        <v>96</v>
      </c>
      <c r="D152" s="400"/>
      <c r="E152" s="400"/>
      <c r="F152" s="398"/>
      <c r="G152" s="400"/>
      <c r="H152" s="400"/>
      <c r="I152" s="400"/>
      <c r="J152" s="400"/>
      <c r="K152" s="400"/>
      <c r="L152" s="400"/>
      <c r="M152" s="400"/>
      <c r="N152" s="400"/>
      <c r="O152" s="400"/>
      <c r="P152" s="400"/>
      <c r="Q152" s="400"/>
      <c r="R152" s="400">
        <f t="shared" si="56"/>
        <v>0</v>
      </c>
      <c r="S152" s="67"/>
      <c r="T152" s="67"/>
      <c r="U152" s="67"/>
      <c r="V152" s="67"/>
      <c r="W152" s="67"/>
      <c r="X152" s="294">
        <f t="shared" si="2"/>
        <v>0</v>
      </c>
      <c r="Y152" s="462">
        <f t="shared" si="3"/>
        <v>0</v>
      </c>
      <c r="Z152" s="465"/>
      <c r="AA152" s="2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</row>
    <row r="153" spans="1:74" ht="16.5" hidden="1" customHeight="1" x14ac:dyDescent="0.2">
      <c r="A153" s="24"/>
      <c r="B153" s="29">
        <v>9180</v>
      </c>
      <c r="C153" s="66" t="s">
        <v>96</v>
      </c>
      <c r="D153" s="400"/>
      <c r="E153" s="400"/>
      <c r="F153" s="400"/>
      <c r="G153" s="400"/>
      <c r="H153" s="400"/>
      <c r="I153" s="400"/>
      <c r="J153" s="400"/>
      <c r="K153" s="400"/>
      <c r="L153" s="400">
        <f>20650</f>
        <v>20650</v>
      </c>
      <c r="M153" s="400">
        <f>7000+1890</f>
        <v>8890</v>
      </c>
      <c r="N153" s="400"/>
      <c r="O153" s="400"/>
      <c r="P153" s="400"/>
      <c r="Q153" s="400"/>
      <c r="R153" s="400">
        <f t="shared" si="56"/>
        <v>29540</v>
      </c>
      <c r="S153" s="67"/>
      <c r="T153" s="67"/>
      <c r="U153" s="67"/>
      <c r="V153" s="67"/>
      <c r="W153" s="67"/>
      <c r="X153" s="294">
        <f t="shared" ref="X153:X159" si="61">SUM(T153:W153)</f>
        <v>0</v>
      </c>
      <c r="Y153" s="462">
        <f t="shared" ref="Y153:Y159" si="62">R153+X153</f>
        <v>29540</v>
      </c>
      <c r="Z153" s="465"/>
      <c r="AA153" s="2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</row>
    <row r="154" spans="1:74" ht="16.5" hidden="1" customHeight="1" x14ac:dyDescent="0.2">
      <c r="A154" s="24"/>
      <c r="B154" s="29">
        <v>9181</v>
      </c>
      <c r="C154" s="66" t="s">
        <v>96</v>
      </c>
      <c r="D154" s="400"/>
      <c r="E154" s="400"/>
      <c r="F154" s="400">
        <f>8000+2160</f>
        <v>10160</v>
      </c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>
        <f>5075</f>
        <v>5075</v>
      </c>
      <c r="R154" s="400">
        <f t="shared" si="56"/>
        <v>15235</v>
      </c>
      <c r="S154" s="67"/>
      <c r="T154" s="67"/>
      <c r="U154" s="67"/>
      <c r="V154" s="67"/>
      <c r="W154" s="67"/>
      <c r="X154" s="294">
        <f t="shared" si="61"/>
        <v>0</v>
      </c>
      <c r="Y154" s="462">
        <f t="shared" si="62"/>
        <v>15235</v>
      </c>
      <c r="Z154" s="465"/>
      <c r="AA154" s="2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</row>
    <row r="155" spans="1:74" ht="16.5" hidden="1" customHeight="1" x14ac:dyDescent="0.2">
      <c r="A155" s="24"/>
      <c r="B155" s="29">
        <v>9182</v>
      </c>
      <c r="C155" s="66" t="s">
        <v>96</v>
      </c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1"/>
      <c r="O155" s="400"/>
      <c r="P155" s="400"/>
      <c r="Q155" s="400"/>
      <c r="R155" s="400">
        <f t="shared" si="56"/>
        <v>0</v>
      </c>
      <c r="S155" s="67"/>
      <c r="T155" s="67"/>
      <c r="U155" s="67"/>
      <c r="V155" s="67"/>
      <c r="W155" s="67"/>
      <c r="X155" s="294">
        <f t="shared" si="61"/>
        <v>0</v>
      </c>
      <c r="Y155" s="462">
        <f t="shared" si="62"/>
        <v>0</v>
      </c>
      <c r="Z155" s="465"/>
      <c r="AA155" s="2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</row>
    <row r="156" spans="1:74" ht="16.5" hidden="1" customHeight="1" x14ac:dyDescent="0.2">
      <c r="A156" s="24"/>
      <c r="B156" s="29">
        <v>9190</v>
      </c>
      <c r="C156" s="66" t="s">
        <v>96</v>
      </c>
      <c r="D156" s="400"/>
      <c r="E156" s="400"/>
      <c r="F156" s="400">
        <f>360+98+700+189</f>
        <v>1347</v>
      </c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>
        <f t="shared" si="56"/>
        <v>1347</v>
      </c>
      <c r="S156" s="67"/>
      <c r="T156" s="67"/>
      <c r="U156" s="67"/>
      <c r="V156" s="67"/>
      <c r="W156" s="67"/>
      <c r="X156" s="294">
        <f t="shared" si="61"/>
        <v>0</v>
      </c>
      <c r="Y156" s="462">
        <f t="shared" si="62"/>
        <v>1347</v>
      </c>
      <c r="Z156" s="465"/>
      <c r="AA156" s="2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</row>
    <row r="157" spans="1:74" ht="16.5" hidden="1" customHeight="1" x14ac:dyDescent="0.2">
      <c r="A157" s="24"/>
      <c r="B157" s="29">
        <v>9200</v>
      </c>
      <c r="C157" s="66" t="s">
        <v>96</v>
      </c>
      <c r="D157" s="400"/>
      <c r="E157" s="400"/>
      <c r="F157" s="400">
        <f>863+234+(552+150)</f>
        <v>1799</v>
      </c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>
        <f t="shared" si="56"/>
        <v>1799</v>
      </c>
      <c r="S157" s="67"/>
      <c r="T157" s="67"/>
      <c r="U157" s="67"/>
      <c r="V157" s="67"/>
      <c r="W157" s="67"/>
      <c r="X157" s="294">
        <f t="shared" si="61"/>
        <v>0</v>
      </c>
      <c r="Y157" s="462">
        <f t="shared" si="62"/>
        <v>1799</v>
      </c>
      <c r="Z157" s="465"/>
      <c r="AA157" s="2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</row>
    <row r="158" spans="1:74" ht="16.5" hidden="1" customHeight="1" x14ac:dyDescent="0.2">
      <c r="A158" s="24"/>
      <c r="B158" s="29">
        <v>9201</v>
      </c>
      <c r="C158" s="66" t="s">
        <v>96</v>
      </c>
      <c r="D158" s="400"/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>
        <f t="shared" si="56"/>
        <v>0</v>
      </c>
      <c r="S158" s="67"/>
      <c r="T158" s="67"/>
      <c r="U158" s="67"/>
      <c r="V158" s="67"/>
      <c r="W158" s="67"/>
      <c r="X158" s="294">
        <f t="shared" si="61"/>
        <v>0</v>
      </c>
      <c r="Y158" s="462">
        <f t="shared" si="62"/>
        <v>0</v>
      </c>
      <c r="Z158" s="465"/>
      <c r="AA158" s="2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</row>
    <row r="159" spans="1:74" ht="16.5" hidden="1" customHeight="1" x14ac:dyDescent="0.2">
      <c r="A159" s="24"/>
      <c r="B159" s="29">
        <v>9401</v>
      </c>
      <c r="C159" s="66" t="s">
        <v>96</v>
      </c>
      <c r="D159" s="400"/>
      <c r="E159" s="400"/>
      <c r="F159" s="400">
        <f>5783+1562+450+122+40+1000+270+450+122+40+100+100+(28000+7560+6250+1688+4000+1080+1000+160+10600+2862+586)+620</f>
        <v>74445</v>
      </c>
      <c r="G159" s="400"/>
      <c r="H159" s="400"/>
      <c r="I159" s="400"/>
      <c r="J159" s="400">
        <f>10000</f>
        <v>10000</v>
      </c>
      <c r="K159" s="400"/>
      <c r="L159" s="400">
        <f>5900+1593+3686+995+2910+786+170130+46655+3750+1013+2800+756+2400+648-3317-895+(50000+13500+25000+6750+7800+2106+17403+4699+25000+6750+25000+6750+52550+14189+26837+7246+50715+13693+1960+529+2915+790+25000+6750+40000+10800+55000+14850+10000+2700+80000+21600+19885+5369+10000+2700+5000+1350+8000+2160)</f>
        <v>923156</v>
      </c>
      <c r="M159" s="400"/>
      <c r="N159" s="400"/>
      <c r="O159" s="400"/>
      <c r="P159" s="400"/>
      <c r="Q159" s="400">
        <f>31750+25000</f>
        <v>56750</v>
      </c>
      <c r="R159" s="400">
        <f t="shared" si="56"/>
        <v>1064351</v>
      </c>
      <c r="S159" s="67"/>
      <c r="T159" s="67"/>
      <c r="U159" s="67"/>
      <c r="V159" s="67"/>
      <c r="W159" s="67"/>
      <c r="X159" s="294">
        <f t="shared" si="61"/>
        <v>0</v>
      </c>
      <c r="Y159" s="462">
        <f t="shared" si="62"/>
        <v>1064351</v>
      </c>
      <c r="Z159" s="465"/>
      <c r="AA159" s="2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</row>
    <row r="160" spans="1:74" ht="16.5" hidden="1" customHeight="1" x14ac:dyDescent="0.2">
      <c r="A160" s="24"/>
      <c r="B160" s="29">
        <v>9420</v>
      </c>
      <c r="C160" s="66" t="s">
        <v>96</v>
      </c>
      <c r="D160" s="400"/>
      <c r="E160" s="400"/>
      <c r="F160" s="400"/>
      <c r="G160" s="400"/>
      <c r="H160" s="400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>
        <f t="shared" si="56"/>
        <v>0</v>
      </c>
      <c r="S160" s="67"/>
      <c r="T160" s="67"/>
      <c r="U160" s="67"/>
      <c r="V160" s="67"/>
      <c r="W160" s="67"/>
      <c r="X160" s="294">
        <f t="shared" ref="X160" si="63">SUM(T160:W160)</f>
        <v>0</v>
      </c>
      <c r="Y160" s="462">
        <f t="shared" ref="Y160" si="64">R160+X160</f>
        <v>0</v>
      </c>
      <c r="Z160" s="465"/>
      <c r="AA160" s="2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</row>
    <row r="161" spans="1:74" ht="16.5" hidden="1" customHeight="1" x14ac:dyDescent="0.2">
      <c r="A161" s="24"/>
      <c r="B161" s="29">
        <v>9424</v>
      </c>
      <c r="C161" s="66" t="s">
        <v>96</v>
      </c>
      <c r="D161" s="400"/>
      <c r="E161" s="400"/>
      <c r="F161" s="400"/>
      <c r="G161" s="400"/>
      <c r="H161" s="400"/>
      <c r="I161" s="400"/>
      <c r="J161" s="400"/>
      <c r="K161" s="400"/>
      <c r="L161" s="400">
        <f>(300+81+4800+1296)</f>
        <v>6477</v>
      </c>
      <c r="M161" s="400"/>
      <c r="N161" s="400"/>
      <c r="O161" s="400"/>
      <c r="P161" s="400"/>
      <c r="Q161" s="400">
        <f>23600</f>
        <v>23600</v>
      </c>
      <c r="R161" s="400">
        <f t="shared" si="56"/>
        <v>30077</v>
      </c>
      <c r="S161" s="67"/>
      <c r="T161" s="67"/>
      <c r="U161" s="67"/>
      <c r="V161" s="67"/>
      <c r="W161" s="67"/>
      <c r="X161" s="294">
        <f t="shared" si="2"/>
        <v>0</v>
      </c>
      <c r="Y161" s="462">
        <f t="shared" si="3"/>
        <v>30077</v>
      </c>
      <c r="Z161" s="465"/>
      <c r="AA161" s="2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</row>
    <row r="162" spans="1:74" ht="16.5" hidden="1" customHeight="1" x14ac:dyDescent="0.2">
      <c r="A162" s="24"/>
      <c r="B162" s="29">
        <v>9425</v>
      </c>
      <c r="C162" s="66" t="s">
        <v>96</v>
      </c>
      <c r="D162" s="400"/>
      <c r="E162" s="400"/>
      <c r="F162" s="400"/>
      <c r="G162" s="400"/>
      <c r="H162" s="400"/>
      <c r="I162" s="400"/>
      <c r="J162" s="400"/>
      <c r="K162" s="400"/>
      <c r="L162" s="400">
        <f>4467+1207</f>
        <v>5674</v>
      </c>
      <c r="M162" s="400"/>
      <c r="N162" s="400"/>
      <c r="O162" s="400"/>
      <c r="P162" s="400"/>
      <c r="Q162" s="400"/>
      <c r="R162" s="400">
        <f t="shared" si="56"/>
        <v>5674</v>
      </c>
      <c r="S162" s="67"/>
      <c r="T162" s="67"/>
      <c r="U162" s="67"/>
      <c r="V162" s="67"/>
      <c r="W162" s="67"/>
      <c r="X162" s="294">
        <f t="shared" si="2"/>
        <v>0</v>
      </c>
      <c r="Y162" s="462">
        <f t="shared" si="3"/>
        <v>5674</v>
      </c>
      <c r="Z162" s="465"/>
      <c r="AA162" s="2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</row>
    <row r="163" spans="1:74" ht="16.5" hidden="1" customHeight="1" x14ac:dyDescent="0.2">
      <c r="A163" s="24"/>
      <c r="B163" s="29">
        <v>9426</v>
      </c>
      <c r="C163" s="66" t="s">
        <v>96</v>
      </c>
      <c r="D163" s="400"/>
      <c r="E163" s="400"/>
      <c r="F163" s="400"/>
      <c r="G163" s="400"/>
      <c r="H163" s="400"/>
      <c r="I163" s="400"/>
      <c r="J163" s="400"/>
      <c r="K163" s="400"/>
      <c r="L163" s="400"/>
      <c r="M163" s="400"/>
      <c r="N163" s="400"/>
      <c r="O163" s="400"/>
      <c r="P163" s="400"/>
      <c r="Q163" s="400"/>
      <c r="R163" s="400">
        <f t="shared" si="56"/>
        <v>0</v>
      </c>
      <c r="S163" s="67"/>
      <c r="T163" s="67"/>
      <c r="U163" s="67"/>
      <c r="V163" s="67"/>
      <c r="W163" s="67"/>
      <c r="X163" s="294">
        <f t="shared" si="2"/>
        <v>0</v>
      </c>
      <c r="Y163" s="462">
        <f t="shared" si="3"/>
        <v>0</v>
      </c>
      <c r="Z163" s="465"/>
      <c r="AA163" s="2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</row>
    <row r="164" spans="1:74" ht="16.5" hidden="1" customHeight="1" x14ac:dyDescent="0.2">
      <c r="A164" s="24"/>
      <c r="B164" s="29">
        <v>9427</v>
      </c>
      <c r="C164" s="66" t="s">
        <v>96</v>
      </c>
      <c r="D164" s="400"/>
      <c r="E164" s="400"/>
      <c r="F164" s="400">
        <f>198</f>
        <v>198</v>
      </c>
      <c r="G164" s="400"/>
      <c r="H164" s="400"/>
      <c r="I164" s="400"/>
      <c r="J164" s="400"/>
      <c r="K164" s="400"/>
      <c r="L164" s="400">
        <f>119587+32290+772+209</f>
        <v>152858</v>
      </c>
      <c r="M164" s="400"/>
      <c r="N164" s="400"/>
      <c r="O164" s="400"/>
      <c r="P164" s="400"/>
      <c r="Q164" s="400"/>
      <c r="R164" s="400">
        <f t="shared" si="56"/>
        <v>153056</v>
      </c>
      <c r="S164" s="67"/>
      <c r="T164" s="67"/>
      <c r="U164" s="67"/>
      <c r="V164" s="67"/>
      <c r="W164" s="67"/>
      <c r="X164" s="294">
        <f t="shared" ref="X164" si="65">SUM(T164:W164)</f>
        <v>0</v>
      </c>
      <c r="Y164" s="462">
        <f t="shared" ref="Y164" si="66">R164+X164</f>
        <v>153056</v>
      </c>
      <c r="Z164" s="465"/>
      <c r="AA164" s="2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</row>
    <row r="165" spans="1:74" ht="16.5" hidden="1" customHeight="1" x14ac:dyDescent="0.2">
      <c r="A165" s="24"/>
      <c r="B165" s="29">
        <v>9428</v>
      </c>
      <c r="C165" s="66" t="s">
        <v>96</v>
      </c>
      <c r="D165" s="402"/>
      <c r="E165" s="402"/>
      <c r="F165" s="402"/>
      <c r="G165" s="402"/>
      <c r="H165" s="402"/>
      <c r="I165" s="402"/>
      <c r="J165" s="402"/>
      <c r="K165" s="402"/>
      <c r="L165" s="402">
        <f>191800+51786</f>
        <v>243586</v>
      </c>
      <c r="M165" s="402"/>
      <c r="N165" s="402"/>
      <c r="O165" s="402"/>
      <c r="P165" s="402"/>
      <c r="Q165" s="402"/>
      <c r="R165" s="400">
        <f t="shared" si="56"/>
        <v>243586</v>
      </c>
      <c r="S165" s="402"/>
      <c r="T165" s="402"/>
      <c r="U165" s="402"/>
      <c r="V165" s="402"/>
      <c r="W165" s="402"/>
      <c r="X165" s="404">
        <f t="shared" ref="X165:X339" si="67">SUM(T165:W165)</f>
        <v>0</v>
      </c>
      <c r="Y165" s="462">
        <f t="shared" ref="Y165:Y170" si="68">R165+X165</f>
        <v>243586</v>
      </c>
      <c r="Z165" s="465"/>
      <c r="AA165" s="2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</row>
    <row r="166" spans="1:74" ht="16.5" hidden="1" customHeight="1" x14ac:dyDescent="0.2">
      <c r="A166" s="24"/>
      <c r="B166" s="29">
        <v>9429</v>
      </c>
      <c r="C166" s="66" t="s">
        <v>96</v>
      </c>
      <c r="D166" s="402"/>
      <c r="E166" s="402"/>
      <c r="F166" s="402">
        <f>170649+4+1</f>
        <v>170654</v>
      </c>
      <c r="G166" s="402"/>
      <c r="H166" s="402"/>
      <c r="I166" s="402"/>
      <c r="J166" s="402"/>
      <c r="K166" s="402"/>
      <c r="L166" s="402">
        <f>314961+4510+333772</f>
        <v>653243</v>
      </c>
      <c r="M166" s="402"/>
      <c r="N166" s="402"/>
      <c r="O166" s="402"/>
      <c r="P166" s="402"/>
      <c r="Q166" s="402"/>
      <c r="R166" s="400">
        <f t="shared" si="56"/>
        <v>823897</v>
      </c>
      <c r="S166" s="402"/>
      <c r="T166" s="402"/>
      <c r="U166" s="402"/>
      <c r="V166" s="402"/>
      <c r="W166" s="402"/>
      <c r="X166" s="404">
        <f t="shared" si="67"/>
        <v>0</v>
      </c>
      <c r="Y166" s="462">
        <f t="shared" si="68"/>
        <v>823897</v>
      </c>
      <c r="Z166" s="465"/>
      <c r="AA166" s="2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</row>
    <row r="167" spans="1:74" ht="16.5" hidden="1" customHeight="1" x14ac:dyDescent="0.2">
      <c r="A167" s="24"/>
      <c r="B167" s="29">
        <v>9430</v>
      </c>
      <c r="C167" s="66" t="s">
        <v>96</v>
      </c>
      <c r="D167" s="402"/>
      <c r="E167" s="402"/>
      <c r="F167" s="402"/>
      <c r="G167" s="402"/>
      <c r="H167" s="402"/>
      <c r="I167" s="402"/>
      <c r="J167" s="402"/>
      <c r="K167" s="402"/>
      <c r="L167" s="402">
        <f>96700+26109</f>
        <v>122809</v>
      </c>
      <c r="M167" s="402"/>
      <c r="N167" s="402"/>
      <c r="O167" s="402"/>
      <c r="P167" s="402"/>
      <c r="Q167" s="402"/>
      <c r="R167" s="400">
        <f t="shared" si="56"/>
        <v>122809</v>
      </c>
      <c r="S167" s="402"/>
      <c r="T167" s="402"/>
      <c r="U167" s="402"/>
      <c r="V167" s="402"/>
      <c r="W167" s="402"/>
      <c r="X167" s="404">
        <f t="shared" si="67"/>
        <v>0</v>
      </c>
      <c r="Y167" s="462">
        <f t="shared" si="68"/>
        <v>122809</v>
      </c>
      <c r="Z167" s="465"/>
      <c r="AA167" s="2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</row>
    <row r="168" spans="1:74" ht="16.5" hidden="1" customHeight="1" x14ac:dyDescent="0.2">
      <c r="A168" s="24"/>
      <c r="B168" s="29"/>
      <c r="C168" s="66" t="s">
        <v>96</v>
      </c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  <c r="P168" s="402"/>
      <c r="Q168" s="402"/>
      <c r="R168" s="400">
        <f t="shared" si="56"/>
        <v>0</v>
      </c>
      <c r="S168" s="402"/>
      <c r="T168" s="402"/>
      <c r="U168" s="402"/>
      <c r="V168" s="402"/>
      <c r="W168" s="402"/>
      <c r="X168" s="404">
        <f t="shared" si="67"/>
        <v>0</v>
      </c>
      <c r="Y168" s="462">
        <f t="shared" si="68"/>
        <v>0</v>
      </c>
      <c r="Z168" s="465"/>
      <c r="AA168" s="2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</row>
    <row r="169" spans="1:74" ht="16.5" hidden="1" customHeight="1" x14ac:dyDescent="0.2">
      <c r="A169" s="24"/>
      <c r="B169" s="29"/>
      <c r="C169" s="66" t="s">
        <v>96</v>
      </c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0">
        <f t="shared" si="56"/>
        <v>0</v>
      </c>
      <c r="S169" s="403"/>
      <c r="T169" s="403"/>
      <c r="U169" s="403"/>
      <c r="V169" s="403"/>
      <c r="W169" s="403"/>
      <c r="X169" s="405">
        <f t="shared" si="67"/>
        <v>0</v>
      </c>
      <c r="Y169" s="462">
        <f t="shared" si="68"/>
        <v>0</v>
      </c>
      <c r="Z169" s="466"/>
      <c r="AA169" s="2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</row>
    <row r="170" spans="1:74" ht="16.5" hidden="1" customHeight="1" x14ac:dyDescent="0.2">
      <c r="A170" s="24"/>
      <c r="B170" s="29"/>
      <c r="C170" s="66" t="s">
        <v>96</v>
      </c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0">
        <f t="shared" si="56"/>
        <v>0</v>
      </c>
      <c r="S170" s="403"/>
      <c r="T170" s="403"/>
      <c r="U170" s="403"/>
      <c r="V170" s="403"/>
      <c r="W170" s="403"/>
      <c r="X170" s="405">
        <f t="shared" si="67"/>
        <v>0</v>
      </c>
      <c r="Y170" s="462">
        <f t="shared" si="68"/>
        <v>0</v>
      </c>
      <c r="Z170" s="466"/>
      <c r="AA170" s="2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</row>
    <row r="171" spans="1:74" ht="17.25" hidden="1" customHeight="1" thickBot="1" x14ac:dyDescent="0.25">
      <c r="A171" s="130"/>
      <c r="B171" s="224"/>
      <c r="C171" s="125"/>
      <c r="D171" s="126"/>
      <c r="E171" s="126"/>
      <c r="F171" s="126"/>
      <c r="G171" s="126"/>
      <c r="H171" s="126"/>
      <c r="I171" s="127"/>
      <c r="J171" s="127"/>
      <c r="K171" s="127"/>
      <c r="L171" s="127"/>
      <c r="M171" s="127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295"/>
      <c r="Y171" s="467"/>
      <c r="Z171" s="468"/>
      <c r="AA171" s="244"/>
      <c r="AB171" s="111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</row>
    <row r="172" spans="1:74" s="69" customFormat="1" ht="30" hidden="1" customHeight="1" thickTop="1" thickBot="1" x14ac:dyDescent="0.25">
      <c r="A172" s="129"/>
      <c r="B172" s="124"/>
      <c r="C172" s="36" t="s">
        <v>163</v>
      </c>
      <c r="D172" s="42">
        <f t="shared" ref="D172:Q172" si="69">SUM(D124:D171)</f>
        <v>1038</v>
      </c>
      <c r="E172" s="42">
        <f t="shared" si="69"/>
        <v>203</v>
      </c>
      <c r="F172" s="42">
        <f t="shared" si="69"/>
        <v>567326.69400000002</v>
      </c>
      <c r="G172" s="42">
        <f t="shared" si="69"/>
        <v>20230</v>
      </c>
      <c r="H172" s="42">
        <f t="shared" si="69"/>
        <v>0</v>
      </c>
      <c r="I172" s="42">
        <f t="shared" si="69"/>
        <v>0</v>
      </c>
      <c r="J172" s="42">
        <f t="shared" si="69"/>
        <v>22264</v>
      </c>
      <c r="K172" s="42">
        <f t="shared" si="69"/>
        <v>1016521</v>
      </c>
      <c r="L172" s="42">
        <f t="shared" si="69"/>
        <v>2272215</v>
      </c>
      <c r="M172" s="42">
        <f t="shared" si="69"/>
        <v>27913</v>
      </c>
      <c r="N172" s="42">
        <f t="shared" si="69"/>
        <v>0</v>
      </c>
      <c r="O172" s="42">
        <f t="shared" si="69"/>
        <v>0</v>
      </c>
      <c r="P172" s="42">
        <f t="shared" si="69"/>
        <v>0</v>
      </c>
      <c r="Q172" s="42">
        <f t="shared" si="69"/>
        <v>280197</v>
      </c>
      <c r="R172" s="42">
        <f t="shared" ref="R172:R347" si="70">SUM(D172:Q172)</f>
        <v>4207907.6940000001</v>
      </c>
      <c r="S172" s="42"/>
      <c r="T172" s="42">
        <f>SUM(T124:T171)</f>
        <v>0</v>
      </c>
      <c r="U172" s="42">
        <f>SUM(U124:U171)</f>
        <v>0</v>
      </c>
      <c r="V172" s="42">
        <f>SUM(V124:V171)</f>
        <v>0</v>
      </c>
      <c r="W172" s="42">
        <f>SUM(W124:W171)</f>
        <v>0</v>
      </c>
      <c r="X172" s="296">
        <f t="shared" si="67"/>
        <v>0</v>
      </c>
      <c r="Y172" s="469">
        <f t="shared" ref="Y172:Y339" si="71">R172+X172</f>
        <v>4207907.6940000001</v>
      </c>
      <c r="Z172" s="470">
        <f>SUM(Z124:Z171)</f>
        <v>138849</v>
      </c>
      <c r="AA172" s="239">
        <f>SUM(Y172:Z172)</f>
        <v>4346756.6940000001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</row>
    <row r="173" spans="1:74" ht="35.1" hidden="1" customHeight="1" thickTop="1" thickBot="1" x14ac:dyDescent="0.35">
      <c r="A173" s="114"/>
      <c r="B173" s="342" t="s">
        <v>122</v>
      </c>
      <c r="C173" s="40" t="s">
        <v>165</v>
      </c>
      <c r="D173" s="74">
        <f t="shared" ref="D173:Q173" si="72">D123+D172</f>
        <v>156420</v>
      </c>
      <c r="E173" s="74">
        <f t="shared" si="72"/>
        <v>32345</v>
      </c>
      <c r="F173" s="108">
        <f t="shared" si="72"/>
        <v>5395172.7810000004</v>
      </c>
      <c r="G173" s="108">
        <f t="shared" si="72"/>
        <v>224581</v>
      </c>
      <c r="H173" s="108">
        <f t="shared" si="72"/>
        <v>308609</v>
      </c>
      <c r="I173" s="108">
        <f t="shared" si="72"/>
        <v>68671</v>
      </c>
      <c r="J173" s="74">
        <f t="shared" si="72"/>
        <v>996636</v>
      </c>
      <c r="K173" s="74">
        <f t="shared" si="72"/>
        <v>2633912</v>
      </c>
      <c r="L173" s="74">
        <f t="shared" si="72"/>
        <v>10187135</v>
      </c>
      <c r="M173" s="74">
        <f t="shared" si="72"/>
        <v>490047</v>
      </c>
      <c r="N173" s="74">
        <f t="shared" si="72"/>
        <v>100000</v>
      </c>
      <c r="O173" s="108">
        <f t="shared" si="72"/>
        <v>3000</v>
      </c>
      <c r="P173" s="74">
        <f t="shared" si="72"/>
        <v>0</v>
      </c>
      <c r="Q173" s="74">
        <f t="shared" si="72"/>
        <v>634136</v>
      </c>
      <c r="R173" s="74">
        <f t="shared" si="70"/>
        <v>21230664.780999999</v>
      </c>
      <c r="S173" s="74"/>
      <c r="T173" s="74">
        <f>T123+T172</f>
        <v>0</v>
      </c>
      <c r="U173" s="74">
        <f>U123+U172</f>
        <v>0</v>
      </c>
      <c r="V173" s="74">
        <f>V123+V172</f>
        <v>56742</v>
      </c>
      <c r="W173" s="74">
        <f>W123+W172</f>
        <v>0</v>
      </c>
      <c r="X173" s="75">
        <f t="shared" si="67"/>
        <v>56742</v>
      </c>
      <c r="Y173" s="74">
        <f t="shared" si="71"/>
        <v>21287406.780999999</v>
      </c>
      <c r="Z173" s="68">
        <f>Z123+Z172</f>
        <v>8879594.9979999997</v>
      </c>
      <c r="AA173" s="239"/>
      <c r="AB173" s="73">
        <f>Y173+Z173</f>
        <v>30167001.778999999</v>
      </c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</row>
    <row r="174" spans="1:74" ht="24" customHeight="1" thickTop="1" thickBot="1" x14ac:dyDescent="0.3">
      <c r="A174" s="165"/>
      <c r="B174" s="166"/>
      <c r="C174" s="167" t="s">
        <v>18</v>
      </c>
      <c r="D174" s="226">
        <f t="shared" ref="D174:W174" si="73">D173</f>
        <v>156420</v>
      </c>
      <c r="E174" s="226">
        <f>E173</f>
        <v>32345</v>
      </c>
      <c r="F174" s="226">
        <f>F173</f>
        <v>5395172.7810000004</v>
      </c>
      <c r="G174" s="226">
        <f>G173</f>
        <v>224581</v>
      </c>
      <c r="H174" s="226">
        <f t="shared" si="73"/>
        <v>308609</v>
      </c>
      <c r="I174" s="226">
        <f t="shared" si="73"/>
        <v>68671</v>
      </c>
      <c r="J174" s="226">
        <f t="shared" si="73"/>
        <v>996636</v>
      </c>
      <c r="K174" s="226">
        <f>K173</f>
        <v>2633912</v>
      </c>
      <c r="L174" s="226">
        <f>L173</f>
        <v>10187135</v>
      </c>
      <c r="M174" s="226">
        <f t="shared" si="73"/>
        <v>490047</v>
      </c>
      <c r="N174" s="226">
        <f t="shared" si="73"/>
        <v>100000</v>
      </c>
      <c r="O174" s="226">
        <f t="shared" si="73"/>
        <v>3000</v>
      </c>
      <c r="P174" s="226">
        <f t="shared" si="73"/>
        <v>0</v>
      </c>
      <c r="Q174" s="226">
        <f t="shared" si="73"/>
        <v>634136</v>
      </c>
      <c r="R174" s="226">
        <f t="shared" si="70"/>
        <v>21230664.780999999</v>
      </c>
      <c r="S174" s="226"/>
      <c r="T174" s="226">
        <f t="shared" si="73"/>
        <v>0</v>
      </c>
      <c r="U174" s="226">
        <f>U173</f>
        <v>0</v>
      </c>
      <c r="V174" s="226">
        <f>V173</f>
        <v>56742</v>
      </c>
      <c r="W174" s="226">
        <f t="shared" si="73"/>
        <v>0</v>
      </c>
      <c r="X174" s="297">
        <f t="shared" si="67"/>
        <v>56742</v>
      </c>
      <c r="Y174" s="501">
        <f t="shared" si="71"/>
        <v>21287406.780999999</v>
      </c>
      <c r="Z174" s="471">
        <f>Z173</f>
        <v>8879594.9979999997</v>
      </c>
      <c r="AA174" s="245"/>
    </row>
    <row r="175" spans="1:74" ht="24" customHeight="1" x14ac:dyDescent="0.25">
      <c r="A175" s="16"/>
      <c r="B175" s="12"/>
      <c r="C175" s="339"/>
      <c r="D175" s="340"/>
      <c r="E175" s="340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  <c r="U175" s="340"/>
      <c r="V175" s="472"/>
      <c r="W175" s="340"/>
      <c r="X175" s="341"/>
      <c r="Y175" s="473"/>
      <c r="Z175" s="474"/>
      <c r="AA175" s="245"/>
    </row>
    <row r="176" spans="1:74" ht="24" customHeight="1" x14ac:dyDescent="0.2">
      <c r="A176" s="425">
        <v>1</v>
      </c>
      <c r="B176" s="317" t="s">
        <v>430</v>
      </c>
      <c r="C176" s="26" t="s">
        <v>431</v>
      </c>
      <c r="D176" s="61"/>
      <c r="E176" s="61"/>
      <c r="F176" s="62">
        <f>100+27</f>
        <v>127</v>
      </c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>
        <f>SUM(D176:Q176)</f>
        <v>127</v>
      </c>
      <c r="S176" s="136"/>
      <c r="T176" s="62"/>
      <c r="U176" s="62"/>
      <c r="V176" s="491"/>
      <c r="W176" s="62"/>
      <c r="X176" s="63">
        <f>SUM(T176:W176)</f>
        <v>0</v>
      </c>
      <c r="Y176" s="498">
        <f>R176+X176</f>
        <v>127</v>
      </c>
      <c r="Z176" s="161"/>
      <c r="AA176" s="246"/>
    </row>
    <row r="177" spans="1:27" ht="24" customHeight="1" x14ac:dyDescent="0.2">
      <c r="A177" s="425">
        <v>2</v>
      </c>
      <c r="B177" s="317" t="s">
        <v>427</v>
      </c>
      <c r="C177" s="26" t="s">
        <v>432</v>
      </c>
      <c r="D177" s="61"/>
      <c r="E177" s="61"/>
      <c r="F177" s="62"/>
      <c r="G177" s="62"/>
      <c r="H177" s="62"/>
      <c r="I177" s="62"/>
      <c r="J177" s="62"/>
      <c r="K177" s="62">
        <f>-5467</f>
        <v>-5467</v>
      </c>
      <c r="L177" s="62"/>
      <c r="M177" s="62"/>
      <c r="N177" s="62"/>
      <c r="O177" s="62"/>
      <c r="P177" s="62"/>
      <c r="Q177" s="62"/>
      <c r="R177" s="62">
        <f>SUM(D177:Q177)</f>
        <v>-5467</v>
      </c>
      <c r="S177" s="136"/>
      <c r="T177" s="62"/>
      <c r="U177" s="62"/>
      <c r="V177" s="491"/>
      <c r="W177" s="62"/>
      <c r="X177" s="63">
        <f>SUM(T177:W177)</f>
        <v>0</v>
      </c>
      <c r="Y177" s="498">
        <f>R177+X177</f>
        <v>-5467</v>
      </c>
      <c r="Z177" s="161">
        <f>5467</f>
        <v>5467</v>
      </c>
      <c r="AA177" s="246"/>
    </row>
    <row r="178" spans="1:27" ht="24" customHeight="1" x14ac:dyDescent="0.2">
      <c r="A178" s="425">
        <v>3</v>
      </c>
      <c r="B178" s="317" t="s">
        <v>429</v>
      </c>
      <c r="C178" s="26" t="s">
        <v>434</v>
      </c>
      <c r="D178" s="61"/>
      <c r="E178" s="61"/>
      <c r="F178" s="62"/>
      <c r="G178" s="62"/>
      <c r="H178" s="62"/>
      <c r="I178" s="62"/>
      <c r="J178" s="62"/>
      <c r="K178" s="62">
        <f>-1125</f>
        <v>-1125</v>
      </c>
      <c r="L178" s="62"/>
      <c r="M178" s="62"/>
      <c r="N178" s="62"/>
      <c r="O178" s="62"/>
      <c r="P178" s="62"/>
      <c r="Q178" s="62"/>
      <c r="R178" s="62">
        <f>SUM(D178:Q178)</f>
        <v>-1125</v>
      </c>
      <c r="S178" s="136"/>
      <c r="T178" s="61"/>
      <c r="U178" s="61"/>
      <c r="V178" s="491"/>
      <c r="W178" s="62"/>
      <c r="X178" s="63">
        <f>SUM(T178:W178)</f>
        <v>0</v>
      </c>
      <c r="Y178" s="498">
        <f>R178+X178</f>
        <v>-1125</v>
      </c>
      <c r="Z178" s="499">
        <f>1125</f>
        <v>1125</v>
      </c>
      <c r="AA178" s="246"/>
    </row>
    <row r="179" spans="1:27" ht="24" customHeight="1" x14ac:dyDescent="0.2">
      <c r="A179" s="425">
        <v>4</v>
      </c>
      <c r="B179" s="317" t="s">
        <v>426</v>
      </c>
      <c r="C179" s="26" t="s">
        <v>428</v>
      </c>
      <c r="D179" s="61"/>
      <c r="E179" s="61"/>
      <c r="F179" s="62">
        <f>17729+31331</f>
        <v>49060</v>
      </c>
      <c r="G179" s="62"/>
      <c r="H179" s="62"/>
      <c r="I179" s="62"/>
      <c r="J179" s="62"/>
      <c r="K179" s="62">
        <f>-49060</f>
        <v>-49060</v>
      </c>
      <c r="L179" s="62"/>
      <c r="M179" s="62"/>
      <c r="N179" s="62"/>
      <c r="O179" s="62"/>
      <c r="P179" s="62"/>
      <c r="Q179" s="62"/>
      <c r="R179" s="62">
        <f>SUM(D179:Q179)</f>
        <v>0</v>
      </c>
      <c r="S179" s="136"/>
      <c r="T179" s="61"/>
      <c r="U179" s="61"/>
      <c r="V179" s="491"/>
      <c r="W179" s="62"/>
      <c r="X179" s="63">
        <f>SUM(T179:W179)</f>
        <v>0</v>
      </c>
      <c r="Y179" s="498">
        <f>R179+X179</f>
        <v>0</v>
      </c>
      <c r="Z179" s="499"/>
      <c r="AA179" s="246"/>
    </row>
    <row r="180" spans="1:27" ht="24" customHeight="1" x14ac:dyDescent="0.2">
      <c r="A180" s="425">
        <v>5</v>
      </c>
      <c r="B180" s="317" t="s">
        <v>438</v>
      </c>
      <c r="C180" s="26" t="s">
        <v>437</v>
      </c>
      <c r="D180" s="61"/>
      <c r="E180" s="61"/>
      <c r="F180" s="62"/>
      <c r="G180" s="62"/>
      <c r="H180" s="62"/>
      <c r="I180" s="62"/>
      <c r="J180" s="62"/>
      <c r="K180" s="62">
        <f>-953</f>
        <v>-953</v>
      </c>
      <c r="L180" s="62"/>
      <c r="M180" s="62"/>
      <c r="N180" s="62"/>
      <c r="O180" s="62"/>
      <c r="P180" s="62"/>
      <c r="Q180" s="62"/>
      <c r="R180" s="62">
        <f>SUM(D180:Q180)</f>
        <v>-953</v>
      </c>
      <c r="S180" s="136"/>
      <c r="T180" s="61"/>
      <c r="U180" s="61"/>
      <c r="V180" s="491"/>
      <c r="W180" s="62"/>
      <c r="X180" s="63">
        <f>SUM(T180:W180)</f>
        <v>0</v>
      </c>
      <c r="Y180" s="498">
        <f>R180+X180</f>
        <v>-953</v>
      </c>
      <c r="Z180" s="499">
        <f>953</f>
        <v>953</v>
      </c>
      <c r="AA180" s="246"/>
    </row>
    <row r="181" spans="1:27" ht="24" customHeight="1" x14ac:dyDescent="0.2">
      <c r="A181" s="425">
        <v>6</v>
      </c>
      <c r="B181" s="317" t="s">
        <v>439</v>
      </c>
      <c r="C181" s="26" t="s">
        <v>440</v>
      </c>
      <c r="D181" s="61"/>
      <c r="E181" s="61"/>
      <c r="F181" s="62">
        <f>-489-132</f>
        <v>-621</v>
      </c>
      <c r="G181" s="62"/>
      <c r="H181" s="62"/>
      <c r="I181" s="62"/>
      <c r="J181" s="62"/>
      <c r="K181" s="62"/>
      <c r="L181" s="62"/>
      <c r="M181" s="62">
        <f>489+132</f>
        <v>621</v>
      </c>
      <c r="N181" s="62"/>
      <c r="O181" s="62"/>
      <c r="P181" s="62"/>
      <c r="Q181" s="62"/>
      <c r="R181" s="62">
        <f t="shared" si="70"/>
        <v>0</v>
      </c>
      <c r="S181" s="136"/>
      <c r="T181" s="61"/>
      <c r="U181" s="61"/>
      <c r="V181" s="491"/>
      <c r="W181" s="62"/>
      <c r="X181" s="63">
        <f t="shared" si="67"/>
        <v>0</v>
      </c>
      <c r="Y181" s="498">
        <f t="shared" si="71"/>
        <v>0</v>
      </c>
      <c r="Z181" s="499"/>
      <c r="AA181" s="246"/>
    </row>
    <row r="182" spans="1:27" ht="24" customHeight="1" x14ac:dyDescent="0.2">
      <c r="A182" s="425">
        <v>7</v>
      </c>
      <c r="B182" s="317" t="s">
        <v>441</v>
      </c>
      <c r="C182" s="26" t="s">
        <v>434</v>
      </c>
      <c r="D182" s="61"/>
      <c r="E182" s="61"/>
      <c r="F182" s="62"/>
      <c r="G182" s="62"/>
      <c r="H182" s="62"/>
      <c r="I182" s="62"/>
      <c r="J182" s="62"/>
      <c r="K182" s="62">
        <f>-2300</f>
        <v>-2300</v>
      </c>
      <c r="L182" s="62"/>
      <c r="M182" s="62"/>
      <c r="N182" s="62"/>
      <c r="O182" s="62"/>
      <c r="P182" s="62"/>
      <c r="Q182" s="62"/>
      <c r="R182" s="62">
        <f t="shared" si="70"/>
        <v>-2300</v>
      </c>
      <c r="S182" s="136"/>
      <c r="T182" s="61"/>
      <c r="U182" s="61"/>
      <c r="V182" s="491"/>
      <c r="W182" s="62"/>
      <c r="X182" s="63">
        <f t="shared" si="67"/>
        <v>0</v>
      </c>
      <c r="Y182" s="498">
        <f t="shared" si="71"/>
        <v>-2300</v>
      </c>
      <c r="Z182" s="499">
        <f>2300</f>
        <v>2300</v>
      </c>
      <c r="AA182" s="246"/>
    </row>
    <row r="183" spans="1:27" ht="24" customHeight="1" x14ac:dyDescent="0.2">
      <c r="A183" s="425">
        <v>8</v>
      </c>
      <c r="B183" s="317" t="s">
        <v>445</v>
      </c>
      <c r="C183" s="38" t="s">
        <v>444</v>
      </c>
      <c r="D183" s="61"/>
      <c r="E183" s="61"/>
      <c r="F183" s="62"/>
      <c r="G183" s="62"/>
      <c r="H183" s="62"/>
      <c r="I183" s="62"/>
      <c r="J183" s="62"/>
      <c r="K183" s="62">
        <f>88</f>
        <v>88</v>
      </c>
      <c r="L183" s="62"/>
      <c r="M183" s="62"/>
      <c r="N183" s="62"/>
      <c r="O183" s="62"/>
      <c r="P183" s="62"/>
      <c r="Q183" s="62"/>
      <c r="R183" s="62">
        <f t="shared" si="70"/>
        <v>88</v>
      </c>
      <c r="S183" s="136"/>
      <c r="T183" s="61"/>
      <c r="U183" s="61"/>
      <c r="V183" s="491"/>
      <c r="W183" s="62"/>
      <c r="X183" s="63">
        <f t="shared" si="67"/>
        <v>0</v>
      </c>
      <c r="Y183" s="498">
        <f t="shared" si="71"/>
        <v>88</v>
      </c>
      <c r="Z183" s="499"/>
      <c r="AA183" s="246"/>
    </row>
    <row r="184" spans="1:27" ht="24" customHeight="1" x14ac:dyDescent="0.2">
      <c r="A184" s="425">
        <v>9</v>
      </c>
      <c r="B184" s="317" t="s">
        <v>443</v>
      </c>
      <c r="C184" s="38" t="s">
        <v>446</v>
      </c>
      <c r="D184" s="61"/>
      <c r="E184" s="61"/>
      <c r="F184" s="62"/>
      <c r="G184" s="62"/>
      <c r="H184" s="62"/>
      <c r="I184" s="62"/>
      <c r="J184" s="62"/>
      <c r="K184" s="62">
        <f>600</f>
        <v>600</v>
      </c>
      <c r="L184" s="62"/>
      <c r="M184" s="62"/>
      <c r="N184" s="62"/>
      <c r="O184" s="62"/>
      <c r="P184" s="62"/>
      <c r="Q184" s="62"/>
      <c r="R184" s="62">
        <f t="shared" si="70"/>
        <v>600</v>
      </c>
      <c r="S184" s="136"/>
      <c r="T184" s="61"/>
      <c r="U184" s="61"/>
      <c r="V184" s="491"/>
      <c r="W184" s="62"/>
      <c r="X184" s="63">
        <f t="shared" si="67"/>
        <v>0</v>
      </c>
      <c r="Y184" s="498">
        <f t="shared" si="71"/>
        <v>600</v>
      </c>
      <c r="Z184" s="499"/>
      <c r="AA184" s="246"/>
    </row>
    <row r="185" spans="1:27" ht="24" customHeight="1" x14ac:dyDescent="0.2">
      <c r="A185" s="425">
        <v>10</v>
      </c>
      <c r="B185" s="317" t="s">
        <v>447</v>
      </c>
      <c r="C185" s="38" t="s">
        <v>363</v>
      </c>
      <c r="D185" s="61"/>
      <c r="E185" s="61"/>
      <c r="F185" s="62">
        <f>8845+2388+960+259</f>
        <v>12452</v>
      </c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>
        <f t="shared" si="70"/>
        <v>12452</v>
      </c>
      <c r="S185" s="136"/>
      <c r="T185" s="61"/>
      <c r="U185" s="61"/>
      <c r="V185" s="491"/>
      <c r="W185" s="62"/>
      <c r="X185" s="63">
        <f t="shared" si="67"/>
        <v>0</v>
      </c>
      <c r="Y185" s="498">
        <f t="shared" si="71"/>
        <v>12452</v>
      </c>
      <c r="Z185" s="499"/>
      <c r="AA185" s="246"/>
    </row>
    <row r="186" spans="1:27" ht="24" customHeight="1" x14ac:dyDescent="0.2">
      <c r="A186" s="425">
        <v>11</v>
      </c>
      <c r="B186" s="317" t="s">
        <v>448</v>
      </c>
      <c r="C186" s="38" t="s">
        <v>449</v>
      </c>
      <c r="D186" s="61"/>
      <c r="E186" s="61"/>
      <c r="F186" s="62">
        <f>35+9</f>
        <v>44</v>
      </c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>
        <f t="shared" si="70"/>
        <v>44</v>
      </c>
      <c r="S186" s="136"/>
      <c r="T186" s="61"/>
      <c r="U186" s="61"/>
      <c r="V186" s="491"/>
      <c r="W186" s="62"/>
      <c r="X186" s="63">
        <f t="shared" si="67"/>
        <v>0</v>
      </c>
      <c r="Y186" s="498">
        <f t="shared" si="71"/>
        <v>44</v>
      </c>
      <c r="Z186" s="499"/>
      <c r="AA186" s="246"/>
    </row>
    <row r="187" spans="1:27" ht="24" customHeight="1" x14ac:dyDescent="0.2">
      <c r="A187" s="425">
        <v>12</v>
      </c>
      <c r="B187" s="317" t="s">
        <v>450</v>
      </c>
      <c r="C187" s="38" t="s">
        <v>288</v>
      </c>
      <c r="D187" s="61">
        <f>-20</f>
        <v>-20</v>
      </c>
      <c r="E187" s="61"/>
      <c r="F187" s="62">
        <f>20</f>
        <v>20</v>
      </c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>
        <f t="shared" si="70"/>
        <v>0</v>
      </c>
      <c r="S187" s="136"/>
      <c r="T187" s="61"/>
      <c r="U187" s="61"/>
      <c r="V187" s="491"/>
      <c r="W187" s="62"/>
      <c r="X187" s="63">
        <f t="shared" si="67"/>
        <v>0</v>
      </c>
      <c r="Y187" s="498">
        <f t="shared" si="71"/>
        <v>0</v>
      </c>
      <c r="Z187" s="499"/>
      <c r="AA187" s="246"/>
    </row>
    <row r="188" spans="1:27" ht="24" customHeight="1" x14ac:dyDescent="0.2">
      <c r="A188" s="425">
        <v>13</v>
      </c>
      <c r="B188" s="317" t="s">
        <v>451</v>
      </c>
      <c r="C188" s="38" t="s">
        <v>452</v>
      </c>
      <c r="D188" s="61"/>
      <c r="E188" s="61"/>
      <c r="F188" s="62">
        <f>-787-213</f>
        <v>-1000</v>
      </c>
      <c r="G188" s="62"/>
      <c r="H188" s="62"/>
      <c r="I188" s="62">
        <f>1000</f>
        <v>1000</v>
      </c>
      <c r="J188" s="62"/>
      <c r="K188" s="62"/>
      <c r="L188" s="62"/>
      <c r="M188" s="62"/>
      <c r="N188" s="62"/>
      <c r="O188" s="62"/>
      <c r="P188" s="62"/>
      <c r="Q188" s="62"/>
      <c r="R188" s="62">
        <f t="shared" si="70"/>
        <v>0</v>
      </c>
      <c r="S188" s="136"/>
      <c r="T188" s="61"/>
      <c r="U188" s="61"/>
      <c r="V188" s="491"/>
      <c r="W188" s="62"/>
      <c r="X188" s="63">
        <f t="shared" si="67"/>
        <v>0</v>
      </c>
      <c r="Y188" s="498">
        <f t="shared" si="71"/>
        <v>0</v>
      </c>
      <c r="Z188" s="499"/>
      <c r="AA188" s="246"/>
    </row>
    <row r="189" spans="1:27" ht="24" customHeight="1" x14ac:dyDescent="0.2">
      <c r="A189" s="425">
        <v>14</v>
      </c>
      <c r="B189" s="318" t="s">
        <v>454</v>
      </c>
      <c r="C189" s="38" t="s">
        <v>453</v>
      </c>
      <c r="D189" s="61"/>
      <c r="E189" s="61"/>
      <c r="F189" s="62"/>
      <c r="G189" s="62"/>
      <c r="H189" s="62"/>
      <c r="I189" s="62"/>
      <c r="J189" s="62"/>
      <c r="K189" s="62">
        <f>518</f>
        <v>518</v>
      </c>
      <c r="L189" s="62"/>
      <c r="M189" s="62"/>
      <c r="N189" s="62"/>
      <c r="O189" s="62"/>
      <c r="P189" s="62"/>
      <c r="Q189" s="62"/>
      <c r="R189" s="62">
        <f t="shared" si="70"/>
        <v>518</v>
      </c>
      <c r="S189" s="136"/>
      <c r="T189" s="61"/>
      <c r="U189" s="61"/>
      <c r="V189" s="491"/>
      <c r="W189" s="62"/>
      <c r="X189" s="63">
        <f t="shared" si="67"/>
        <v>0</v>
      </c>
      <c r="Y189" s="498">
        <f t="shared" si="71"/>
        <v>518</v>
      </c>
      <c r="Z189" s="499"/>
      <c r="AA189" s="246"/>
    </row>
    <row r="190" spans="1:27" ht="24" customHeight="1" x14ac:dyDescent="0.2">
      <c r="A190" s="425">
        <v>15</v>
      </c>
      <c r="B190" s="318" t="s">
        <v>459</v>
      </c>
      <c r="C190" s="38" t="s">
        <v>466</v>
      </c>
      <c r="D190" s="61"/>
      <c r="E190" s="61"/>
      <c r="F190" s="62"/>
      <c r="G190" s="62"/>
      <c r="H190" s="62"/>
      <c r="I190" s="62"/>
      <c r="J190" s="62"/>
      <c r="K190" s="62">
        <f>-7397</f>
        <v>-7397</v>
      </c>
      <c r="L190" s="62"/>
      <c r="M190" s="62"/>
      <c r="N190" s="62"/>
      <c r="O190" s="62"/>
      <c r="P190" s="62"/>
      <c r="Q190" s="62"/>
      <c r="R190" s="62">
        <f t="shared" si="70"/>
        <v>-7397</v>
      </c>
      <c r="S190" s="136"/>
      <c r="T190" s="61"/>
      <c r="U190" s="61"/>
      <c r="V190" s="491"/>
      <c r="W190" s="62"/>
      <c r="X190" s="63">
        <f t="shared" ref="X190:X195" si="74">SUM(T190:W190)</f>
        <v>0</v>
      </c>
      <c r="Y190" s="498">
        <f t="shared" ref="Y190:Y195" si="75">R190+X190</f>
        <v>-7397</v>
      </c>
      <c r="Z190" s="499">
        <f>7397</f>
        <v>7397</v>
      </c>
      <c r="AA190" s="246"/>
    </row>
    <row r="191" spans="1:27" ht="24" customHeight="1" x14ac:dyDescent="0.2">
      <c r="A191" s="425">
        <v>16</v>
      </c>
      <c r="B191" s="318" t="s">
        <v>460</v>
      </c>
      <c r="C191" s="38" t="s">
        <v>467</v>
      </c>
      <c r="D191" s="61">
        <f>-291.6</f>
        <v>-291.60000000000002</v>
      </c>
      <c r="E191" s="61">
        <f>-56.8</f>
        <v>-56.8</v>
      </c>
      <c r="F191" s="62">
        <f>-180-80</f>
        <v>-260</v>
      </c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>
        <f t="shared" si="70"/>
        <v>-608.40000000000009</v>
      </c>
      <c r="S191" s="136"/>
      <c r="T191" s="61"/>
      <c r="U191" s="61"/>
      <c r="V191" s="491"/>
      <c r="W191" s="62"/>
      <c r="X191" s="63">
        <f t="shared" si="74"/>
        <v>0</v>
      </c>
      <c r="Y191" s="498">
        <f t="shared" si="75"/>
        <v>-608.40000000000009</v>
      </c>
      <c r="Z191" s="499">
        <f>608.4</f>
        <v>608.4</v>
      </c>
      <c r="AA191" s="246"/>
    </row>
    <row r="192" spans="1:27" ht="24" customHeight="1" x14ac:dyDescent="0.2">
      <c r="A192" s="425">
        <v>17</v>
      </c>
      <c r="B192" s="318" t="s">
        <v>461</v>
      </c>
      <c r="C192" s="38" t="s">
        <v>468</v>
      </c>
      <c r="D192" s="61">
        <f>-2210</f>
        <v>-2210</v>
      </c>
      <c r="E192" s="61">
        <f>-430.95-0.295</f>
        <v>-431.245</v>
      </c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>
        <f t="shared" si="70"/>
        <v>-2641.2449999999999</v>
      </c>
      <c r="S192" s="136"/>
      <c r="T192" s="61"/>
      <c r="U192" s="61"/>
      <c r="V192" s="491"/>
      <c r="W192" s="62"/>
      <c r="X192" s="63">
        <f t="shared" si="74"/>
        <v>0</v>
      </c>
      <c r="Y192" s="498">
        <f t="shared" si="75"/>
        <v>-2641.2449999999999</v>
      </c>
      <c r="Z192" s="499">
        <f>2640.95</f>
        <v>2640.95</v>
      </c>
      <c r="AA192" s="246"/>
    </row>
    <row r="193" spans="1:27" ht="24" customHeight="1" x14ac:dyDescent="0.2">
      <c r="A193" s="425">
        <v>18</v>
      </c>
      <c r="B193" s="318" t="s">
        <v>457</v>
      </c>
      <c r="C193" s="38" t="s">
        <v>470</v>
      </c>
      <c r="D193" s="61"/>
      <c r="E193" s="61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>
        <f t="shared" si="70"/>
        <v>0</v>
      </c>
      <c r="S193" s="136"/>
      <c r="T193" s="61"/>
      <c r="U193" s="61"/>
      <c r="V193" s="491"/>
      <c r="W193" s="62"/>
      <c r="X193" s="63">
        <f t="shared" si="74"/>
        <v>0</v>
      </c>
      <c r="Y193" s="498">
        <f t="shared" si="75"/>
        <v>0</v>
      </c>
      <c r="Z193" s="499">
        <v>46.604999999999997</v>
      </c>
      <c r="AA193" s="246"/>
    </row>
    <row r="194" spans="1:27" ht="24" customHeight="1" x14ac:dyDescent="0.2">
      <c r="A194" s="425">
        <v>19</v>
      </c>
      <c r="B194" s="318" t="s">
        <v>457</v>
      </c>
      <c r="C194" s="38" t="s">
        <v>469</v>
      </c>
      <c r="D194" s="61"/>
      <c r="E194" s="61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>
        <f t="shared" si="70"/>
        <v>0</v>
      </c>
      <c r="S194" s="136"/>
      <c r="T194" s="61"/>
      <c r="U194" s="61"/>
      <c r="V194" s="491"/>
      <c r="W194" s="62"/>
      <c r="X194" s="63">
        <f t="shared" si="74"/>
        <v>0</v>
      </c>
      <c r="Y194" s="498">
        <f t="shared" si="75"/>
        <v>0</v>
      </c>
      <c r="Z194" s="499">
        <f>510.86</f>
        <v>510.86</v>
      </c>
      <c r="AA194" s="246"/>
    </row>
    <row r="195" spans="1:27" ht="24" customHeight="1" x14ac:dyDescent="0.2">
      <c r="A195" s="425">
        <v>20</v>
      </c>
      <c r="B195" s="318" t="s">
        <v>457</v>
      </c>
      <c r="C195" s="38" t="s">
        <v>471</v>
      </c>
      <c r="D195" s="61"/>
      <c r="E195" s="61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>
        <f t="shared" si="70"/>
        <v>0</v>
      </c>
      <c r="S195" s="136"/>
      <c r="T195" s="61"/>
      <c r="U195" s="61"/>
      <c r="V195" s="491"/>
      <c r="W195" s="62"/>
      <c r="X195" s="63">
        <f t="shared" si="74"/>
        <v>0</v>
      </c>
      <c r="Y195" s="498">
        <f t="shared" si="75"/>
        <v>0</v>
      </c>
      <c r="Z195" s="499">
        <f>1148.993</f>
        <v>1148.9929999999999</v>
      </c>
      <c r="AA195" s="246"/>
    </row>
    <row r="196" spans="1:27" ht="32.25" customHeight="1" x14ac:dyDescent="0.2">
      <c r="A196" s="425">
        <v>21</v>
      </c>
      <c r="B196" s="318" t="s">
        <v>472</v>
      </c>
      <c r="C196" s="38" t="s">
        <v>473</v>
      </c>
      <c r="D196" s="61"/>
      <c r="E196" s="61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>
        <f t="shared" si="70"/>
        <v>0</v>
      </c>
      <c r="S196" s="136"/>
      <c r="T196" s="61"/>
      <c r="U196" s="61"/>
      <c r="V196" s="491"/>
      <c r="W196" s="62"/>
      <c r="X196" s="63">
        <f t="shared" ref="X196" si="76">SUM(T196:W196)</f>
        <v>0</v>
      </c>
      <c r="Y196" s="498">
        <f t="shared" ref="Y196" si="77">R196+X196</f>
        <v>0</v>
      </c>
      <c r="Z196" s="499">
        <v>8219.9789999999994</v>
      </c>
      <c r="AA196" s="246"/>
    </row>
    <row r="197" spans="1:27" ht="24" customHeight="1" x14ac:dyDescent="0.2">
      <c r="A197" s="425">
        <v>22</v>
      </c>
      <c r="B197" s="318" t="s">
        <v>455</v>
      </c>
      <c r="C197" s="38" t="s">
        <v>456</v>
      </c>
      <c r="D197" s="61"/>
      <c r="E197" s="61"/>
      <c r="F197" s="62">
        <f>230+63</f>
        <v>293</v>
      </c>
      <c r="G197" s="62"/>
      <c r="H197" s="62"/>
      <c r="I197" s="62"/>
      <c r="J197" s="62">
        <f>-293</f>
        <v>-293</v>
      </c>
      <c r="K197" s="62"/>
      <c r="L197" s="62"/>
      <c r="M197" s="62"/>
      <c r="N197" s="62"/>
      <c r="O197" s="62"/>
      <c r="P197" s="62"/>
      <c r="Q197" s="62"/>
      <c r="R197" s="62">
        <f t="shared" si="70"/>
        <v>0</v>
      </c>
      <c r="S197" s="136"/>
      <c r="T197" s="61"/>
      <c r="U197" s="61"/>
      <c r="V197" s="491"/>
      <c r="W197" s="62"/>
      <c r="X197" s="63">
        <f t="shared" si="67"/>
        <v>0</v>
      </c>
      <c r="Y197" s="498">
        <f t="shared" si="71"/>
        <v>0</v>
      </c>
      <c r="Z197" s="499"/>
      <c r="AA197" s="246"/>
    </row>
    <row r="198" spans="1:27" ht="24" customHeight="1" x14ac:dyDescent="0.2">
      <c r="A198" s="425">
        <v>23</v>
      </c>
      <c r="B198" s="318" t="s">
        <v>463</v>
      </c>
      <c r="C198" s="38" t="s">
        <v>253</v>
      </c>
      <c r="D198" s="61"/>
      <c r="E198" s="61"/>
      <c r="F198" s="62"/>
      <c r="G198" s="62"/>
      <c r="H198" s="62"/>
      <c r="I198" s="62"/>
      <c r="J198" s="62"/>
      <c r="K198" s="62">
        <f>-1113</f>
        <v>-1113</v>
      </c>
      <c r="L198" s="62"/>
      <c r="M198" s="62"/>
      <c r="N198" s="62"/>
      <c r="O198" s="62"/>
      <c r="P198" s="62"/>
      <c r="Q198" s="62">
        <f>1113</f>
        <v>1113</v>
      </c>
      <c r="R198" s="62">
        <f t="shared" si="70"/>
        <v>0</v>
      </c>
      <c r="S198" s="136"/>
      <c r="T198" s="61"/>
      <c r="U198" s="61"/>
      <c r="V198" s="491"/>
      <c r="W198" s="62"/>
      <c r="X198" s="63">
        <f t="shared" si="67"/>
        <v>0</v>
      </c>
      <c r="Y198" s="498">
        <f t="shared" si="71"/>
        <v>0</v>
      </c>
      <c r="Z198" s="499"/>
      <c r="AA198" s="246"/>
    </row>
    <row r="199" spans="1:27" ht="24" customHeight="1" x14ac:dyDescent="0.2">
      <c r="A199" s="425">
        <v>24</v>
      </c>
      <c r="B199" s="318" t="s">
        <v>464</v>
      </c>
      <c r="C199" s="38" t="s">
        <v>465</v>
      </c>
      <c r="D199" s="61"/>
      <c r="E199" s="61"/>
      <c r="F199" s="62"/>
      <c r="G199" s="62"/>
      <c r="H199" s="62"/>
      <c r="I199" s="62"/>
      <c r="J199" s="62"/>
      <c r="K199" s="62">
        <f>-700</f>
        <v>-700</v>
      </c>
      <c r="L199" s="62"/>
      <c r="M199" s="62"/>
      <c r="N199" s="62"/>
      <c r="O199" s="62"/>
      <c r="P199" s="62"/>
      <c r="Q199" s="62">
        <f>700</f>
        <v>700</v>
      </c>
      <c r="R199" s="62">
        <f t="shared" si="70"/>
        <v>0</v>
      </c>
      <c r="S199" s="136"/>
      <c r="T199" s="61"/>
      <c r="U199" s="61"/>
      <c r="V199" s="491"/>
      <c r="W199" s="62"/>
      <c r="X199" s="63">
        <f t="shared" si="67"/>
        <v>0</v>
      </c>
      <c r="Y199" s="498">
        <f t="shared" si="71"/>
        <v>0</v>
      </c>
      <c r="Z199" s="499"/>
      <c r="AA199" s="246"/>
    </row>
    <row r="200" spans="1:27" ht="24" customHeight="1" x14ac:dyDescent="0.2">
      <c r="A200" s="425">
        <v>25</v>
      </c>
      <c r="B200" s="318" t="s">
        <v>476</v>
      </c>
      <c r="C200" s="38" t="s">
        <v>253</v>
      </c>
      <c r="D200" s="61"/>
      <c r="E200" s="61"/>
      <c r="F200" s="62"/>
      <c r="G200" s="62"/>
      <c r="H200" s="62"/>
      <c r="I200" s="62"/>
      <c r="J200" s="62">
        <f>50</f>
        <v>50</v>
      </c>
      <c r="K200" s="62">
        <f>-50</f>
        <v>-50</v>
      </c>
      <c r="L200" s="62"/>
      <c r="M200" s="62"/>
      <c r="N200" s="62"/>
      <c r="O200" s="62"/>
      <c r="P200" s="62"/>
      <c r="Q200" s="62"/>
      <c r="R200" s="62">
        <f t="shared" si="70"/>
        <v>0</v>
      </c>
      <c r="S200" s="136"/>
      <c r="T200" s="61"/>
      <c r="U200" s="61"/>
      <c r="V200" s="491"/>
      <c r="W200" s="62"/>
      <c r="X200" s="63">
        <f t="shared" si="67"/>
        <v>0</v>
      </c>
      <c r="Y200" s="498">
        <f t="shared" si="71"/>
        <v>0</v>
      </c>
      <c r="Z200" s="499"/>
      <c r="AA200" s="246"/>
    </row>
    <row r="201" spans="1:27" ht="24" customHeight="1" x14ac:dyDescent="0.2">
      <c r="A201" s="425">
        <v>26</v>
      </c>
      <c r="B201" s="318" t="s">
        <v>477</v>
      </c>
      <c r="C201" s="38" t="s">
        <v>253</v>
      </c>
      <c r="D201" s="62"/>
      <c r="E201" s="62"/>
      <c r="F201" s="62"/>
      <c r="G201" s="62"/>
      <c r="H201" s="62"/>
      <c r="I201" s="62"/>
      <c r="J201" s="62">
        <f>100</f>
        <v>100</v>
      </c>
      <c r="K201" s="62">
        <f>-100</f>
        <v>-100</v>
      </c>
      <c r="L201" s="62"/>
      <c r="M201" s="62"/>
      <c r="N201" s="62"/>
      <c r="O201" s="62"/>
      <c r="P201" s="62"/>
      <c r="Q201" s="62"/>
      <c r="R201" s="62">
        <f t="shared" si="70"/>
        <v>0</v>
      </c>
      <c r="S201" s="136"/>
      <c r="T201" s="62"/>
      <c r="U201" s="62"/>
      <c r="V201" s="491"/>
      <c r="W201" s="62"/>
      <c r="X201" s="63">
        <f t="shared" si="67"/>
        <v>0</v>
      </c>
      <c r="Y201" s="498">
        <f t="shared" si="71"/>
        <v>0</v>
      </c>
      <c r="Z201" s="161"/>
      <c r="AA201" s="246"/>
    </row>
    <row r="202" spans="1:27" ht="24" customHeight="1" x14ac:dyDescent="0.2">
      <c r="A202" s="425">
        <v>27</v>
      </c>
      <c r="B202" s="316" t="s">
        <v>478</v>
      </c>
      <c r="C202" s="38" t="s">
        <v>253</v>
      </c>
      <c r="D202" s="62"/>
      <c r="E202" s="62"/>
      <c r="F202" s="62"/>
      <c r="G202" s="62"/>
      <c r="H202" s="62"/>
      <c r="I202" s="62"/>
      <c r="J202" s="62">
        <f>400</f>
        <v>400</v>
      </c>
      <c r="K202" s="62">
        <f>-400</f>
        <v>-400</v>
      </c>
      <c r="L202" s="62"/>
      <c r="M202" s="62"/>
      <c r="N202" s="62"/>
      <c r="O202" s="62"/>
      <c r="P202" s="62"/>
      <c r="Q202" s="62"/>
      <c r="R202" s="62">
        <f t="shared" si="70"/>
        <v>0</v>
      </c>
      <c r="S202" s="136"/>
      <c r="T202" s="62"/>
      <c r="U202" s="62"/>
      <c r="V202" s="491"/>
      <c r="W202" s="62"/>
      <c r="X202" s="63">
        <f t="shared" si="67"/>
        <v>0</v>
      </c>
      <c r="Y202" s="498">
        <f t="shared" si="71"/>
        <v>0</v>
      </c>
      <c r="Z202" s="161"/>
      <c r="AA202" s="246"/>
    </row>
    <row r="203" spans="1:27" ht="24" customHeight="1" x14ac:dyDescent="0.2">
      <c r="A203" s="425">
        <v>28</v>
      </c>
      <c r="B203" s="316" t="s">
        <v>481</v>
      </c>
      <c r="C203" s="38" t="s">
        <v>482</v>
      </c>
      <c r="D203" s="62"/>
      <c r="E203" s="62"/>
      <c r="F203" s="62">
        <f>4940</f>
        <v>4940</v>
      </c>
      <c r="G203" s="62"/>
      <c r="H203" s="62"/>
      <c r="I203" s="62"/>
      <c r="J203" s="62">
        <f>-4940</f>
        <v>-4940</v>
      </c>
      <c r="K203" s="62"/>
      <c r="L203" s="62"/>
      <c r="M203" s="62"/>
      <c r="N203" s="62"/>
      <c r="O203" s="62"/>
      <c r="P203" s="62"/>
      <c r="Q203" s="62"/>
      <c r="R203" s="62">
        <f t="shared" si="70"/>
        <v>0</v>
      </c>
      <c r="S203" s="136"/>
      <c r="T203" s="62"/>
      <c r="U203" s="62"/>
      <c r="V203" s="491"/>
      <c r="W203" s="62"/>
      <c r="X203" s="63">
        <f t="shared" ref="X203" si="78">SUM(T203:W203)</f>
        <v>0</v>
      </c>
      <c r="Y203" s="498">
        <f t="shared" ref="Y203" si="79">R203+X203</f>
        <v>0</v>
      </c>
      <c r="Z203" s="161"/>
      <c r="AA203" s="246"/>
    </row>
    <row r="204" spans="1:27" ht="24" customHeight="1" x14ac:dyDescent="0.2">
      <c r="A204" s="425">
        <v>29</v>
      </c>
      <c r="B204" s="316" t="s">
        <v>479</v>
      </c>
      <c r="C204" s="26" t="s">
        <v>480</v>
      </c>
      <c r="D204" s="62"/>
      <c r="E204" s="62"/>
      <c r="F204" s="62"/>
      <c r="G204" s="62"/>
      <c r="H204" s="62"/>
      <c r="I204" s="62"/>
      <c r="J204" s="62"/>
      <c r="K204" s="62">
        <f>-3810</f>
        <v>-3810</v>
      </c>
      <c r="L204" s="62">
        <f>3000+810</f>
        <v>3810</v>
      </c>
      <c r="M204" s="62"/>
      <c r="N204" s="62"/>
      <c r="O204" s="62"/>
      <c r="P204" s="62"/>
      <c r="Q204" s="62"/>
      <c r="R204" s="62">
        <f t="shared" si="70"/>
        <v>0</v>
      </c>
      <c r="S204" s="136"/>
      <c r="T204" s="61"/>
      <c r="U204" s="61"/>
      <c r="V204" s="491"/>
      <c r="W204" s="62"/>
      <c r="X204" s="63">
        <f t="shared" si="67"/>
        <v>0</v>
      </c>
      <c r="Y204" s="498">
        <f t="shared" si="71"/>
        <v>0</v>
      </c>
      <c r="Z204" s="499"/>
      <c r="AA204" s="246"/>
    </row>
    <row r="205" spans="1:27" ht="24" customHeight="1" x14ac:dyDescent="0.2">
      <c r="A205" s="425">
        <v>30</v>
      </c>
      <c r="B205" s="316" t="s">
        <v>483</v>
      </c>
      <c r="C205" s="26" t="s">
        <v>484</v>
      </c>
      <c r="D205" s="62"/>
      <c r="E205" s="62"/>
      <c r="F205" s="62">
        <f>540+146</f>
        <v>686</v>
      </c>
      <c r="G205" s="62"/>
      <c r="H205" s="62"/>
      <c r="I205" s="62"/>
      <c r="J205" s="62"/>
      <c r="K205" s="62">
        <f>-686</f>
        <v>-686</v>
      </c>
      <c r="L205" s="62"/>
      <c r="M205" s="62"/>
      <c r="N205" s="62"/>
      <c r="O205" s="62"/>
      <c r="P205" s="62"/>
      <c r="Q205" s="62"/>
      <c r="R205" s="62">
        <f t="shared" si="70"/>
        <v>0</v>
      </c>
      <c r="S205" s="136"/>
      <c r="T205" s="61"/>
      <c r="U205" s="61"/>
      <c r="V205" s="491"/>
      <c r="W205" s="62"/>
      <c r="X205" s="63">
        <f>SUM(T205:W205)</f>
        <v>0</v>
      </c>
      <c r="Y205" s="498">
        <f>R205+X205</f>
        <v>0</v>
      </c>
      <c r="Z205" s="499"/>
      <c r="AA205" s="246"/>
    </row>
    <row r="206" spans="1:27" ht="24" customHeight="1" x14ac:dyDescent="0.2">
      <c r="A206" s="425">
        <v>31</v>
      </c>
      <c r="B206" s="316" t="s">
        <v>485</v>
      </c>
      <c r="C206" s="26" t="s">
        <v>486</v>
      </c>
      <c r="D206" s="62"/>
      <c r="E206" s="62"/>
      <c r="F206" s="62">
        <f>125</f>
        <v>125</v>
      </c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>
        <f t="shared" si="70"/>
        <v>125</v>
      </c>
      <c r="S206" s="136"/>
      <c r="T206" s="61"/>
      <c r="U206" s="61"/>
      <c r="V206" s="491"/>
      <c r="W206" s="62"/>
      <c r="X206" s="63">
        <f t="shared" si="67"/>
        <v>0</v>
      </c>
      <c r="Y206" s="498">
        <f t="shared" si="71"/>
        <v>125</v>
      </c>
      <c r="Z206" s="499"/>
      <c r="AA206" s="246"/>
    </row>
    <row r="207" spans="1:27" ht="24" customHeight="1" x14ac:dyDescent="0.2">
      <c r="A207" s="425">
        <v>32</v>
      </c>
      <c r="B207" s="316" t="s">
        <v>487</v>
      </c>
      <c r="C207" s="26" t="s">
        <v>223</v>
      </c>
      <c r="D207" s="62">
        <f>-181</f>
        <v>-181</v>
      </c>
      <c r="E207" s="62">
        <f>-35</f>
        <v>-35</v>
      </c>
      <c r="F207" s="62">
        <f>216</f>
        <v>216</v>
      </c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>
        <f t="shared" si="70"/>
        <v>0</v>
      </c>
      <c r="S207" s="136"/>
      <c r="T207" s="61"/>
      <c r="U207" s="61"/>
      <c r="V207" s="491"/>
      <c r="W207" s="62"/>
      <c r="X207" s="63">
        <f t="shared" si="67"/>
        <v>0</v>
      </c>
      <c r="Y207" s="498">
        <f t="shared" si="71"/>
        <v>0</v>
      </c>
      <c r="Z207" s="499"/>
      <c r="AA207" s="246"/>
    </row>
    <row r="208" spans="1:27" ht="24" customHeight="1" x14ac:dyDescent="0.2">
      <c r="A208" s="425">
        <v>33</v>
      </c>
      <c r="B208" s="316" t="s">
        <v>488</v>
      </c>
      <c r="C208" s="26" t="s">
        <v>489</v>
      </c>
      <c r="D208" s="62"/>
      <c r="E208" s="62"/>
      <c r="F208" s="62"/>
      <c r="G208" s="62"/>
      <c r="H208" s="62"/>
      <c r="I208" s="62"/>
      <c r="J208" s="62"/>
      <c r="K208" s="62">
        <f>-47150</f>
        <v>-47150</v>
      </c>
      <c r="L208" s="62">
        <f>37126+10024</f>
        <v>47150</v>
      </c>
      <c r="M208" s="62"/>
      <c r="N208" s="62"/>
      <c r="O208" s="62"/>
      <c r="P208" s="62"/>
      <c r="Q208" s="62"/>
      <c r="R208" s="62">
        <f t="shared" si="70"/>
        <v>0</v>
      </c>
      <c r="S208" s="136"/>
      <c r="T208" s="62"/>
      <c r="U208" s="62"/>
      <c r="V208" s="491"/>
      <c r="W208" s="62"/>
      <c r="X208" s="63">
        <f t="shared" si="67"/>
        <v>0</v>
      </c>
      <c r="Y208" s="498">
        <f t="shared" si="71"/>
        <v>0</v>
      </c>
      <c r="Z208" s="161"/>
      <c r="AA208" s="246"/>
    </row>
    <row r="209" spans="1:27" ht="24" customHeight="1" x14ac:dyDescent="0.2">
      <c r="A209" s="425">
        <v>34</v>
      </c>
      <c r="B209" s="316" t="s">
        <v>517</v>
      </c>
      <c r="C209" s="26" t="s">
        <v>518</v>
      </c>
      <c r="D209" s="62"/>
      <c r="E209" s="62"/>
      <c r="F209" s="62"/>
      <c r="G209" s="62"/>
      <c r="H209" s="62"/>
      <c r="I209" s="62"/>
      <c r="J209" s="62">
        <f>-1398</f>
        <v>-1398</v>
      </c>
      <c r="K209" s="62"/>
      <c r="L209" s="62"/>
      <c r="M209" s="62"/>
      <c r="N209" s="62"/>
      <c r="O209" s="62"/>
      <c r="P209" s="62"/>
      <c r="Q209" s="62"/>
      <c r="R209" s="62">
        <f t="shared" si="70"/>
        <v>-1398</v>
      </c>
      <c r="S209" s="136"/>
      <c r="T209" s="62"/>
      <c r="U209" s="62"/>
      <c r="V209" s="491"/>
      <c r="W209" s="62"/>
      <c r="X209" s="63">
        <f t="shared" ref="X209:X218" si="80">SUM(T209:W209)</f>
        <v>0</v>
      </c>
      <c r="Y209" s="498">
        <f t="shared" ref="Y209:Y218" si="81">R209+X209</f>
        <v>-1398</v>
      </c>
      <c r="Z209" s="161">
        <f>1398</f>
        <v>1398</v>
      </c>
      <c r="AA209" s="246"/>
    </row>
    <row r="210" spans="1:27" ht="24" customHeight="1" x14ac:dyDescent="0.2">
      <c r="A210" s="425">
        <v>35</v>
      </c>
      <c r="B210" s="316" t="s">
        <v>519</v>
      </c>
      <c r="C210" s="26" t="s">
        <v>520</v>
      </c>
      <c r="D210" s="62">
        <f>-3900</f>
        <v>-3900</v>
      </c>
      <c r="E210" s="62">
        <f>-760.5</f>
        <v>-760.5</v>
      </c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>
        <f t="shared" si="70"/>
        <v>-4660.5</v>
      </c>
      <c r="S210" s="136"/>
      <c r="T210" s="62"/>
      <c r="U210" s="62"/>
      <c r="V210" s="491"/>
      <c r="W210" s="62"/>
      <c r="X210" s="63">
        <f t="shared" si="80"/>
        <v>0</v>
      </c>
      <c r="Y210" s="498">
        <f t="shared" si="81"/>
        <v>-4660.5</v>
      </c>
      <c r="Z210" s="161">
        <f>4660.5</f>
        <v>4660.5</v>
      </c>
      <c r="AA210" s="246"/>
    </row>
    <row r="211" spans="1:27" ht="24" customHeight="1" x14ac:dyDescent="0.2">
      <c r="A211" s="425">
        <v>36</v>
      </c>
      <c r="B211" s="316" t="s">
        <v>521</v>
      </c>
      <c r="C211" s="26" t="s">
        <v>522</v>
      </c>
      <c r="D211" s="62">
        <f>-3400</f>
        <v>-3400</v>
      </c>
      <c r="E211" s="62">
        <f>-663</f>
        <v>-663</v>
      </c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>
        <f t="shared" si="70"/>
        <v>-4063</v>
      </c>
      <c r="S211" s="136"/>
      <c r="T211" s="62"/>
      <c r="U211" s="62"/>
      <c r="V211" s="491"/>
      <c r="W211" s="62"/>
      <c r="X211" s="63">
        <f t="shared" si="80"/>
        <v>0</v>
      </c>
      <c r="Y211" s="498">
        <f t="shared" si="81"/>
        <v>-4063</v>
      </c>
      <c r="Z211" s="161">
        <f>4063</f>
        <v>4063</v>
      </c>
      <c r="AA211" s="246"/>
    </row>
    <row r="212" spans="1:27" ht="24" customHeight="1" x14ac:dyDescent="0.2">
      <c r="A212" s="425">
        <v>37</v>
      </c>
      <c r="B212" s="316" t="s">
        <v>521</v>
      </c>
      <c r="C212" s="26" t="s">
        <v>524</v>
      </c>
      <c r="D212" s="62">
        <f>-200</f>
        <v>-200</v>
      </c>
      <c r="E212" s="62">
        <f>-39</f>
        <v>-39</v>
      </c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>
        <f t="shared" si="70"/>
        <v>-239</v>
      </c>
      <c r="S212" s="136"/>
      <c r="T212" s="62"/>
      <c r="U212" s="62"/>
      <c r="V212" s="491"/>
      <c r="W212" s="62"/>
      <c r="X212" s="63">
        <f t="shared" si="80"/>
        <v>0</v>
      </c>
      <c r="Y212" s="498">
        <f t="shared" si="81"/>
        <v>-239</v>
      </c>
      <c r="Z212" s="161">
        <f>239</f>
        <v>239</v>
      </c>
      <c r="AA212" s="246"/>
    </row>
    <row r="213" spans="1:27" ht="24" customHeight="1" x14ac:dyDescent="0.2">
      <c r="A213" s="425">
        <v>38</v>
      </c>
      <c r="B213" s="316" t="s">
        <v>523</v>
      </c>
      <c r="C213" s="26" t="s">
        <v>525</v>
      </c>
      <c r="D213" s="62"/>
      <c r="E213" s="62"/>
      <c r="F213" s="62">
        <f>-438.1</f>
        <v>-438.1</v>
      </c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>
        <f t="shared" si="70"/>
        <v>-438.1</v>
      </c>
      <c r="S213" s="136"/>
      <c r="T213" s="62"/>
      <c r="U213" s="62"/>
      <c r="V213" s="491"/>
      <c r="W213" s="62"/>
      <c r="X213" s="63">
        <f t="shared" si="80"/>
        <v>0</v>
      </c>
      <c r="Y213" s="498">
        <f t="shared" si="81"/>
        <v>-438.1</v>
      </c>
      <c r="Z213" s="161">
        <f>438.1</f>
        <v>438.1</v>
      </c>
      <c r="AA213" s="246"/>
    </row>
    <row r="214" spans="1:27" ht="24" customHeight="1" x14ac:dyDescent="0.2">
      <c r="A214" s="425">
        <v>39</v>
      </c>
      <c r="B214" s="316" t="s">
        <v>526</v>
      </c>
      <c r="C214" s="26" t="s">
        <v>527</v>
      </c>
      <c r="D214" s="62">
        <f>-1250</f>
        <v>-1250</v>
      </c>
      <c r="E214" s="62">
        <f>-243.75</f>
        <v>-243.75</v>
      </c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>
        <f t="shared" si="70"/>
        <v>-1493.75</v>
      </c>
      <c r="S214" s="136"/>
      <c r="T214" s="62"/>
      <c r="U214" s="62"/>
      <c r="V214" s="491"/>
      <c r="W214" s="62"/>
      <c r="X214" s="63">
        <f t="shared" si="80"/>
        <v>0</v>
      </c>
      <c r="Y214" s="498">
        <f t="shared" si="81"/>
        <v>-1493.75</v>
      </c>
      <c r="Z214" s="161">
        <f>1493.75</f>
        <v>1493.75</v>
      </c>
      <c r="AA214" s="246"/>
    </row>
    <row r="215" spans="1:27" ht="24" customHeight="1" x14ac:dyDescent="0.2">
      <c r="A215" s="425">
        <v>40</v>
      </c>
      <c r="B215" s="316" t="s">
        <v>528</v>
      </c>
      <c r="C215" s="26" t="s">
        <v>529</v>
      </c>
      <c r="D215" s="62"/>
      <c r="E215" s="62"/>
      <c r="F215" s="62"/>
      <c r="G215" s="62"/>
      <c r="H215" s="62"/>
      <c r="I215" s="62"/>
      <c r="J215" s="62">
        <f>-1500-1500</f>
        <v>-3000</v>
      </c>
      <c r="K215" s="62"/>
      <c r="L215" s="62"/>
      <c r="M215" s="62"/>
      <c r="N215" s="62"/>
      <c r="O215" s="62"/>
      <c r="P215" s="62"/>
      <c r="Q215" s="62"/>
      <c r="R215" s="62">
        <f t="shared" si="70"/>
        <v>-3000</v>
      </c>
      <c r="S215" s="136"/>
      <c r="T215" s="62"/>
      <c r="U215" s="62"/>
      <c r="V215" s="491"/>
      <c r="W215" s="62"/>
      <c r="X215" s="63">
        <f t="shared" si="80"/>
        <v>0</v>
      </c>
      <c r="Y215" s="498">
        <f t="shared" si="81"/>
        <v>-3000</v>
      </c>
      <c r="Z215" s="161">
        <f>3000</f>
        <v>3000</v>
      </c>
      <c r="AA215" s="246"/>
    </row>
    <row r="216" spans="1:27" ht="24" customHeight="1" x14ac:dyDescent="0.2">
      <c r="A216" s="425">
        <v>41</v>
      </c>
      <c r="B216" s="316" t="s">
        <v>530</v>
      </c>
      <c r="C216" s="26" t="s">
        <v>531</v>
      </c>
      <c r="D216" s="62">
        <f>-1917.694</f>
        <v>-1917.694</v>
      </c>
      <c r="E216" s="62">
        <f>-373.95</f>
        <v>-373.95</v>
      </c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>
        <f t="shared" si="70"/>
        <v>-2291.6439999999998</v>
      </c>
      <c r="S216" s="136"/>
      <c r="T216" s="62"/>
      <c r="U216" s="62"/>
      <c r="V216" s="491"/>
      <c r="W216" s="62"/>
      <c r="X216" s="63">
        <f t="shared" si="80"/>
        <v>0</v>
      </c>
      <c r="Y216" s="498">
        <f t="shared" si="81"/>
        <v>-2291.6439999999998</v>
      </c>
      <c r="Z216" s="161">
        <f>2291.644</f>
        <v>2291.6439999999998</v>
      </c>
      <c r="AA216" s="246"/>
    </row>
    <row r="217" spans="1:27" ht="33.75" customHeight="1" x14ac:dyDescent="0.2">
      <c r="A217" s="425">
        <v>42</v>
      </c>
      <c r="B217" s="316" t="s">
        <v>490</v>
      </c>
      <c r="C217" s="26" t="s">
        <v>533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>
        <f t="shared" si="70"/>
        <v>0</v>
      </c>
      <c r="S217" s="136"/>
      <c r="T217" s="62"/>
      <c r="U217" s="62"/>
      <c r="V217" s="491"/>
      <c r="W217" s="62"/>
      <c r="X217" s="63">
        <f t="shared" si="80"/>
        <v>0</v>
      </c>
      <c r="Y217" s="498">
        <f t="shared" si="81"/>
        <v>0</v>
      </c>
      <c r="Z217" s="161">
        <f>504.411</f>
        <v>504.411</v>
      </c>
      <c r="AA217" s="246"/>
    </row>
    <row r="218" spans="1:27" ht="24" customHeight="1" x14ac:dyDescent="0.2">
      <c r="A218" s="425">
        <v>43</v>
      </c>
      <c r="B218" s="316" t="s">
        <v>490</v>
      </c>
      <c r="C218" s="38" t="s">
        <v>534</v>
      </c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>
        <f t="shared" si="70"/>
        <v>0</v>
      </c>
      <c r="S218" s="136"/>
      <c r="T218" s="62"/>
      <c r="U218" s="62"/>
      <c r="V218" s="491"/>
      <c r="W218" s="62"/>
      <c r="X218" s="63">
        <f t="shared" si="80"/>
        <v>0</v>
      </c>
      <c r="Y218" s="498">
        <f t="shared" si="81"/>
        <v>0</v>
      </c>
      <c r="Z218" s="161">
        <f>1116.729</f>
        <v>1116.729</v>
      </c>
      <c r="AA218" s="246"/>
    </row>
    <row r="219" spans="1:27" ht="24" customHeight="1" x14ac:dyDescent="0.2">
      <c r="A219" s="425">
        <v>44</v>
      </c>
      <c r="B219" s="316" t="s">
        <v>490</v>
      </c>
      <c r="C219" s="26" t="s">
        <v>491</v>
      </c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>
        <f t="shared" si="70"/>
        <v>0</v>
      </c>
      <c r="S219" s="136"/>
      <c r="T219" s="62"/>
      <c r="U219" s="62"/>
      <c r="V219" s="491"/>
      <c r="W219" s="62"/>
      <c r="X219" s="63">
        <f t="shared" si="67"/>
        <v>0</v>
      </c>
      <c r="Y219" s="498">
        <f t="shared" si="71"/>
        <v>0</v>
      </c>
      <c r="Z219" s="161">
        <v>46.604999999999997</v>
      </c>
      <c r="AA219" s="246"/>
    </row>
    <row r="220" spans="1:27" ht="24" customHeight="1" x14ac:dyDescent="0.2">
      <c r="A220" s="425">
        <v>45</v>
      </c>
      <c r="B220" s="316" t="s">
        <v>535</v>
      </c>
      <c r="C220" s="26" t="s">
        <v>536</v>
      </c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>
        <f t="shared" si="70"/>
        <v>0</v>
      </c>
      <c r="S220" s="136"/>
      <c r="T220" s="62"/>
      <c r="U220" s="62"/>
      <c r="V220" s="491"/>
      <c r="W220" s="62"/>
      <c r="X220" s="63">
        <f t="shared" ref="X220" si="82">SUM(T220:W220)</f>
        <v>0</v>
      </c>
      <c r="Y220" s="498">
        <f t="shared" ref="Y220" si="83">R220+X220</f>
        <v>0</v>
      </c>
      <c r="Z220" s="161">
        <v>8208.9840000000004</v>
      </c>
      <c r="AA220" s="246"/>
    </row>
    <row r="221" spans="1:27" ht="24" customHeight="1" x14ac:dyDescent="0.2">
      <c r="A221" s="425">
        <v>46</v>
      </c>
      <c r="B221" s="316" t="s">
        <v>493</v>
      </c>
      <c r="C221" s="26" t="s">
        <v>465</v>
      </c>
      <c r="D221" s="62"/>
      <c r="E221" s="62"/>
      <c r="F221" s="62"/>
      <c r="G221" s="62"/>
      <c r="H221" s="62"/>
      <c r="I221" s="62"/>
      <c r="J221" s="62">
        <f>300</f>
        <v>300</v>
      </c>
      <c r="K221" s="62">
        <f>-300</f>
        <v>-300</v>
      </c>
      <c r="L221" s="62"/>
      <c r="M221" s="62"/>
      <c r="N221" s="62"/>
      <c r="O221" s="62"/>
      <c r="P221" s="62"/>
      <c r="Q221" s="62"/>
      <c r="R221" s="62">
        <f t="shared" si="70"/>
        <v>0</v>
      </c>
      <c r="S221" s="136"/>
      <c r="T221" s="62"/>
      <c r="U221" s="62"/>
      <c r="V221" s="491"/>
      <c r="W221" s="62"/>
      <c r="X221" s="63">
        <f t="shared" si="67"/>
        <v>0</v>
      </c>
      <c r="Y221" s="498">
        <f t="shared" si="71"/>
        <v>0</v>
      </c>
      <c r="Z221" s="161"/>
      <c r="AA221" s="246"/>
    </row>
    <row r="222" spans="1:27" ht="24" customHeight="1" x14ac:dyDescent="0.2">
      <c r="A222" s="425">
        <v>47</v>
      </c>
      <c r="B222" s="316" t="s">
        <v>537</v>
      </c>
      <c r="C222" s="26" t="s">
        <v>538</v>
      </c>
      <c r="D222" s="62">
        <f>-1603.8</f>
        <v>-1603.8</v>
      </c>
      <c r="E222" s="62">
        <f>-312.741</f>
        <v>-312.74099999999999</v>
      </c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>
        <f t="shared" si="70"/>
        <v>-1916.5409999999999</v>
      </c>
      <c r="S222" s="136"/>
      <c r="T222" s="62"/>
      <c r="U222" s="62"/>
      <c r="V222" s="491"/>
      <c r="W222" s="62"/>
      <c r="X222" s="63">
        <f t="shared" ref="X222:X223" si="84">SUM(T222:W222)</f>
        <v>0</v>
      </c>
      <c r="Y222" s="498">
        <f t="shared" ref="Y222:Y223" si="85">R222+X222</f>
        <v>-1916.5409999999999</v>
      </c>
      <c r="Z222" s="161">
        <f>1916.541</f>
        <v>1916.5409999999999</v>
      </c>
      <c r="AA222" s="246"/>
    </row>
    <row r="223" spans="1:27" ht="54" customHeight="1" x14ac:dyDescent="0.2">
      <c r="A223" s="425">
        <v>48</v>
      </c>
      <c r="B223" s="316" t="s">
        <v>539</v>
      </c>
      <c r="C223" s="26" t="s">
        <v>540</v>
      </c>
      <c r="D223" s="62"/>
      <c r="E223" s="62"/>
      <c r="F223" s="62"/>
      <c r="G223" s="62"/>
      <c r="H223" s="62"/>
      <c r="I223" s="62"/>
      <c r="J223" s="62"/>
      <c r="K223" s="62">
        <f>6237</f>
        <v>6237</v>
      </c>
      <c r="L223" s="62"/>
      <c r="M223" s="62"/>
      <c r="N223" s="62"/>
      <c r="O223" s="62"/>
      <c r="P223" s="62"/>
      <c r="Q223" s="62"/>
      <c r="R223" s="62">
        <f t="shared" si="70"/>
        <v>6237</v>
      </c>
      <c r="S223" s="136"/>
      <c r="T223" s="62"/>
      <c r="U223" s="62"/>
      <c r="V223" s="491"/>
      <c r="W223" s="62"/>
      <c r="X223" s="63">
        <f t="shared" si="84"/>
        <v>0</v>
      </c>
      <c r="Y223" s="498">
        <f t="shared" si="85"/>
        <v>6237</v>
      </c>
      <c r="Z223" s="161">
        <f>-6237</f>
        <v>-6237</v>
      </c>
      <c r="AA223" s="246"/>
    </row>
    <row r="224" spans="1:27" ht="24" customHeight="1" x14ac:dyDescent="0.2">
      <c r="A224" s="425">
        <v>49</v>
      </c>
      <c r="B224" s="316" t="s">
        <v>494</v>
      </c>
      <c r="C224" s="26" t="s">
        <v>495</v>
      </c>
      <c r="D224" s="62"/>
      <c r="E224" s="62"/>
      <c r="F224" s="62">
        <f>-1</f>
        <v>-1</v>
      </c>
      <c r="G224" s="62"/>
      <c r="H224" s="62"/>
      <c r="I224" s="62"/>
      <c r="J224" s="62"/>
      <c r="K224" s="62"/>
      <c r="L224" s="62"/>
      <c r="M224" s="62">
        <f>1</f>
        <v>1</v>
      </c>
      <c r="N224" s="62"/>
      <c r="O224" s="62"/>
      <c r="P224" s="62"/>
      <c r="Q224" s="62"/>
      <c r="R224" s="62">
        <f t="shared" si="70"/>
        <v>0</v>
      </c>
      <c r="S224" s="136"/>
      <c r="T224" s="62"/>
      <c r="U224" s="62"/>
      <c r="V224" s="491"/>
      <c r="W224" s="62"/>
      <c r="X224" s="63">
        <f t="shared" si="67"/>
        <v>0</v>
      </c>
      <c r="Y224" s="498">
        <f t="shared" si="71"/>
        <v>0</v>
      </c>
      <c r="Z224" s="161"/>
      <c r="AA224" s="246"/>
    </row>
    <row r="225" spans="1:27" ht="24" customHeight="1" x14ac:dyDescent="0.2">
      <c r="A225" s="425">
        <v>50</v>
      </c>
      <c r="B225" s="316" t="s">
        <v>496</v>
      </c>
      <c r="C225" s="26" t="s">
        <v>497</v>
      </c>
      <c r="D225" s="62"/>
      <c r="E225" s="62"/>
      <c r="F225" s="62"/>
      <c r="G225" s="62"/>
      <c r="H225" s="62"/>
      <c r="I225" s="62">
        <f>3000+5200+1500</f>
        <v>9700</v>
      </c>
      <c r="J225" s="62">
        <f>-3000-5200-1500</f>
        <v>-9700</v>
      </c>
      <c r="K225" s="62"/>
      <c r="L225" s="62"/>
      <c r="M225" s="62"/>
      <c r="N225" s="62"/>
      <c r="O225" s="62"/>
      <c r="P225" s="62"/>
      <c r="Q225" s="62"/>
      <c r="R225" s="62">
        <f t="shared" si="70"/>
        <v>0</v>
      </c>
      <c r="S225" s="136"/>
      <c r="T225" s="62"/>
      <c r="U225" s="62"/>
      <c r="V225" s="491"/>
      <c r="W225" s="62"/>
      <c r="X225" s="63">
        <f t="shared" si="67"/>
        <v>0</v>
      </c>
      <c r="Y225" s="498">
        <f t="shared" si="71"/>
        <v>0</v>
      </c>
      <c r="Z225" s="161"/>
      <c r="AA225" s="246"/>
    </row>
    <row r="226" spans="1:27" ht="24" customHeight="1" x14ac:dyDescent="0.2">
      <c r="A226" s="425">
        <v>51</v>
      </c>
      <c r="B226" s="316" t="s">
        <v>498</v>
      </c>
      <c r="C226" s="26" t="s">
        <v>499</v>
      </c>
      <c r="D226" s="62"/>
      <c r="E226" s="62"/>
      <c r="F226" s="62"/>
      <c r="G226" s="62"/>
      <c r="H226" s="62"/>
      <c r="I226" s="62"/>
      <c r="J226" s="62"/>
      <c r="K226" s="62">
        <f>60</f>
        <v>60</v>
      </c>
      <c r="L226" s="62"/>
      <c r="M226" s="62"/>
      <c r="N226" s="62"/>
      <c r="O226" s="62"/>
      <c r="P226" s="62"/>
      <c r="Q226" s="62"/>
      <c r="R226" s="62">
        <f t="shared" si="70"/>
        <v>60</v>
      </c>
      <c r="S226" s="136"/>
      <c r="T226" s="62"/>
      <c r="U226" s="62"/>
      <c r="V226" s="491"/>
      <c r="W226" s="62"/>
      <c r="X226" s="63">
        <f t="shared" si="67"/>
        <v>0</v>
      </c>
      <c r="Y226" s="498">
        <f t="shared" si="71"/>
        <v>60</v>
      </c>
      <c r="Z226" s="161"/>
      <c r="AA226" s="246"/>
    </row>
    <row r="227" spans="1:27" ht="24" customHeight="1" x14ac:dyDescent="0.2">
      <c r="A227" s="425">
        <v>52</v>
      </c>
      <c r="B227" s="316" t="s">
        <v>541</v>
      </c>
      <c r="C227" s="26" t="s">
        <v>538</v>
      </c>
      <c r="D227" s="62">
        <f>-100</f>
        <v>-100</v>
      </c>
      <c r="E227" s="62">
        <f>-19.5</f>
        <v>-19.5</v>
      </c>
      <c r="F227" s="62">
        <f>-360</f>
        <v>-360</v>
      </c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>
        <f t="shared" si="70"/>
        <v>-479.5</v>
      </c>
      <c r="S227" s="136"/>
      <c r="T227" s="62"/>
      <c r="U227" s="62"/>
      <c r="V227" s="491"/>
      <c r="W227" s="62"/>
      <c r="X227" s="63">
        <f t="shared" ref="X227" si="86">SUM(T227:W227)</f>
        <v>0</v>
      </c>
      <c r="Y227" s="498">
        <f t="shared" ref="Y227" si="87">R227+X227</f>
        <v>-479.5</v>
      </c>
      <c r="Z227" s="161">
        <f>479.5</f>
        <v>479.5</v>
      </c>
      <c r="AA227" s="246"/>
    </row>
    <row r="228" spans="1:27" ht="24" customHeight="1" x14ac:dyDescent="0.2">
      <c r="A228" s="425">
        <v>53</v>
      </c>
      <c r="B228" s="316" t="s">
        <v>500</v>
      </c>
      <c r="C228" s="26" t="s">
        <v>501</v>
      </c>
      <c r="D228" s="62"/>
      <c r="E228" s="62"/>
      <c r="F228" s="62">
        <f>-2965-801</f>
        <v>-3766</v>
      </c>
      <c r="G228" s="62"/>
      <c r="H228" s="62"/>
      <c r="I228" s="62"/>
      <c r="J228" s="62"/>
      <c r="K228" s="62"/>
      <c r="L228" s="62"/>
      <c r="M228" s="62">
        <f>2965+801</f>
        <v>3766</v>
      </c>
      <c r="N228" s="62"/>
      <c r="O228" s="62"/>
      <c r="P228" s="62"/>
      <c r="Q228" s="62"/>
      <c r="R228" s="62">
        <f t="shared" si="70"/>
        <v>0</v>
      </c>
      <c r="S228" s="136"/>
      <c r="T228" s="62"/>
      <c r="U228" s="62"/>
      <c r="V228" s="491"/>
      <c r="W228" s="62"/>
      <c r="X228" s="63">
        <f t="shared" si="67"/>
        <v>0</v>
      </c>
      <c r="Y228" s="498">
        <f t="shared" si="71"/>
        <v>0</v>
      </c>
      <c r="Z228" s="161"/>
      <c r="AA228" s="246"/>
    </row>
    <row r="229" spans="1:27" ht="35.25" customHeight="1" x14ac:dyDescent="0.2">
      <c r="A229" s="425">
        <v>54</v>
      </c>
      <c r="B229" s="316" t="s">
        <v>502</v>
      </c>
      <c r="C229" s="38" t="s">
        <v>503</v>
      </c>
      <c r="D229" s="62"/>
      <c r="E229" s="62"/>
      <c r="F229" s="62">
        <f>2835+765</f>
        <v>3600</v>
      </c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>
        <f t="shared" si="70"/>
        <v>3600</v>
      </c>
      <c r="S229" s="136"/>
      <c r="T229" s="62"/>
      <c r="U229" s="62"/>
      <c r="V229" s="491"/>
      <c r="W229" s="62"/>
      <c r="X229" s="63">
        <f t="shared" si="67"/>
        <v>0</v>
      </c>
      <c r="Y229" s="498">
        <f t="shared" si="71"/>
        <v>3600</v>
      </c>
      <c r="Z229" s="161"/>
      <c r="AA229" s="246"/>
    </row>
    <row r="230" spans="1:27" ht="24" customHeight="1" x14ac:dyDescent="0.2">
      <c r="A230" s="425">
        <v>55</v>
      </c>
      <c r="B230" s="316" t="s">
        <v>504</v>
      </c>
      <c r="C230" s="26" t="s">
        <v>505</v>
      </c>
      <c r="D230" s="62"/>
      <c r="E230" s="62"/>
      <c r="F230" s="62"/>
      <c r="G230" s="62"/>
      <c r="H230" s="62"/>
      <c r="I230" s="62"/>
      <c r="J230" s="62"/>
      <c r="K230" s="62">
        <f>-400000</f>
        <v>-400000</v>
      </c>
      <c r="L230" s="62">
        <f>400000</f>
        <v>400000</v>
      </c>
      <c r="M230" s="62"/>
      <c r="N230" s="62"/>
      <c r="O230" s="62"/>
      <c r="P230" s="62"/>
      <c r="Q230" s="62"/>
      <c r="R230" s="62">
        <f t="shared" si="70"/>
        <v>0</v>
      </c>
      <c r="S230" s="136"/>
      <c r="T230" s="62"/>
      <c r="U230" s="62"/>
      <c r="V230" s="491"/>
      <c r="W230" s="62"/>
      <c r="X230" s="63">
        <f t="shared" si="67"/>
        <v>0</v>
      </c>
      <c r="Y230" s="498">
        <f t="shared" si="71"/>
        <v>0</v>
      </c>
      <c r="Z230" s="161"/>
      <c r="AA230" s="246"/>
    </row>
    <row r="231" spans="1:27" ht="24" customHeight="1" x14ac:dyDescent="0.2">
      <c r="A231" s="425">
        <v>56</v>
      </c>
      <c r="B231" s="316" t="s">
        <v>506</v>
      </c>
      <c r="C231" s="26" t="s">
        <v>434</v>
      </c>
      <c r="D231" s="62"/>
      <c r="E231" s="62"/>
      <c r="F231" s="62"/>
      <c r="G231" s="62"/>
      <c r="H231" s="62"/>
      <c r="I231" s="62"/>
      <c r="J231" s="62"/>
      <c r="K231" s="62">
        <f>-527</f>
        <v>-527</v>
      </c>
      <c r="L231" s="62"/>
      <c r="M231" s="62"/>
      <c r="N231" s="62"/>
      <c r="O231" s="62"/>
      <c r="P231" s="62"/>
      <c r="Q231" s="62"/>
      <c r="R231" s="62">
        <f t="shared" si="70"/>
        <v>-527</v>
      </c>
      <c r="S231" s="136"/>
      <c r="T231" s="62"/>
      <c r="U231" s="62"/>
      <c r="V231" s="491"/>
      <c r="W231" s="62"/>
      <c r="X231" s="63">
        <f t="shared" si="67"/>
        <v>0</v>
      </c>
      <c r="Y231" s="498">
        <f t="shared" si="71"/>
        <v>-527</v>
      </c>
      <c r="Z231" s="161">
        <f>527</f>
        <v>527</v>
      </c>
      <c r="AA231" s="246"/>
    </row>
    <row r="232" spans="1:27" ht="24" customHeight="1" x14ac:dyDescent="0.2">
      <c r="A232" s="425">
        <v>57</v>
      </c>
      <c r="B232" s="316" t="s">
        <v>508</v>
      </c>
      <c r="C232" s="26" t="s">
        <v>509</v>
      </c>
      <c r="D232" s="62"/>
      <c r="E232" s="62"/>
      <c r="F232" s="62"/>
      <c r="G232" s="62"/>
      <c r="H232" s="62"/>
      <c r="I232" s="62"/>
      <c r="J232" s="62"/>
      <c r="K232" s="62">
        <f>4391.309</f>
        <v>4391.3090000000002</v>
      </c>
      <c r="L232" s="62"/>
      <c r="M232" s="62"/>
      <c r="N232" s="62"/>
      <c r="O232" s="62"/>
      <c r="P232" s="62"/>
      <c r="Q232" s="62"/>
      <c r="R232" s="62">
        <f t="shared" si="70"/>
        <v>4391.3090000000002</v>
      </c>
      <c r="S232" s="136"/>
      <c r="T232" s="61"/>
      <c r="U232" s="61"/>
      <c r="V232" s="491"/>
      <c r="W232" s="62"/>
      <c r="X232" s="63">
        <f t="shared" si="67"/>
        <v>0</v>
      </c>
      <c r="Y232" s="498">
        <f t="shared" si="71"/>
        <v>4391.3090000000002</v>
      </c>
      <c r="Z232" s="499"/>
      <c r="AA232" s="246"/>
    </row>
    <row r="233" spans="1:27" ht="24" customHeight="1" x14ac:dyDescent="0.2">
      <c r="A233" s="425">
        <v>58</v>
      </c>
      <c r="B233" s="316" t="s">
        <v>510</v>
      </c>
      <c r="C233" s="38" t="s">
        <v>465</v>
      </c>
      <c r="D233" s="62"/>
      <c r="E233" s="62"/>
      <c r="F233" s="62"/>
      <c r="G233" s="62"/>
      <c r="H233" s="62"/>
      <c r="I233" s="62"/>
      <c r="J233" s="62">
        <f>150</f>
        <v>150</v>
      </c>
      <c r="K233" s="62">
        <f>-150</f>
        <v>-150</v>
      </c>
      <c r="L233" s="62"/>
      <c r="M233" s="62"/>
      <c r="N233" s="62"/>
      <c r="O233" s="62"/>
      <c r="P233" s="62"/>
      <c r="Q233" s="62"/>
      <c r="R233" s="62">
        <f t="shared" si="70"/>
        <v>0</v>
      </c>
      <c r="S233" s="136"/>
      <c r="T233" s="62"/>
      <c r="U233" s="62"/>
      <c r="V233" s="62"/>
      <c r="W233" s="62"/>
      <c r="X233" s="63">
        <f t="shared" si="67"/>
        <v>0</v>
      </c>
      <c r="Y233" s="498">
        <f t="shared" si="71"/>
        <v>0</v>
      </c>
      <c r="Z233" s="161"/>
      <c r="AA233" s="246"/>
    </row>
    <row r="234" spans="1:27" ht="24" customHeight="1" x14ac:dyDescent="0.2">
      <c r="A234" s="425">
        <v>59</v>
      </c>
      <c r="B234" s="316" t="s">
        <v>544</v>
      </c>
      <c r="C234" s="38" t="s">
        <v>545</v>
      </c>
      <c r="D234" s="62">
        <v>-700</v>
      </c>
      <c r="E234" s="62">
        <v>-136.5</v>
      </c>
      <c r="F234" s="62">
        <v>-189</v>
      </c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>
        <f t="shared" si="70"/>
        <v>-1025.5</v>
      </c>
      <c r="S234" s="136"/>
      <c r="T234" s="62"/>
      <c r="U234" s="62"/>
      <c r="V234" s="62"/>
      <c r="W234" s="62"/>
      <c r="X234" s="63">
        <f t="shared" ref="X234" si="88">SUM(T234:W234)</f>
        <v>0</v>
      </c>
      <c r="Y234" s="498">
        <f t="shared" ref="Y234" si="89">R234+X234</f>
        <v>-1025.5</v>
      </c>
      <c r="Z234" s="161">
        <f>1025.5</f>
        <v>1025.5</v>
      </c>
      <c r="AA234" s="246"/>
    </row>
    <row r="235" spans="1:27" ht="24" customHeight="1" x14ac:dyDescent="0.2">
      <c r="A235" s="425">
        <v>60</v>
      </c>
      <c r="B235" s="316" t="s">
        <v>511</v>
      </c>
      <c r="C235" s="26" t="s">
        <v>512</v>
      </c>
      <c r="D235" s="62"/>
      <c r="E235" s="62"/>
      <c r="F235" s="62">
        <f>64704</f>
        <v>64704</v>
      </c>
      <c r="G235" s="62"/>
      <c r="H235" s="62"/>
      <c r="I235" s="62"/>
      <c r="J235" s="62"/>
      <c r="K235" s="62"/>
      <c r="L235" s="62">
        <f>-64704</f>
        <v>-64704</v>
      </c>
      <c r="M235" s="62"/>
      <c r="N235" s="62"/>
      <c r="O235" s="62"/>
      <c r="P235" s="62"/>
      <c r="Q235" s="62"/>
      <c r="R235" s="62">
        <f t="shared" si="70"/>
        <v>0</v>
      </c>
      <c r="S235" s="136"/>
      <c r="T235" s="62"/>
      <c r="U235" s="62"/>
      <c r="V235" s="62"/>
      <c r="W235" s="62"/>
      <c r="X235" s="63">
        <f t="shared" si="67"/>
        <v>0</v>
      </c>
      <c r="Y235" s="498">
        <f t="shared" si="71"/>
        <v>0</v>
      </c>
      <c r="Z235" s="161"/>
      <c r="AA235" s="246"/>
    </row>
    <row r="236" spans="1:27" ht="24" customHeight="1" x14ac:dyDescent="0.2">
      <c r="A236" s="425">
        <v>61</v>
      </c>
      <c r="B236" s="316" t="s">
        <v>513</v>
      </c>
      <c r="C236" s="26" t="s">
        <v>514</v>
      </c>
      <c r="D236" s="62"/>
      <c r="E236" s="62"/>
      <c r="F236" s="62">
        <f>32098</f>
        <v>32098</v>
      </c>
      <c r="G236" s="62"/>
      <c r="H236" s="62"/>
      <c r="I236" s="62"/>
      <c r="J236" s="62"/>
      <c r="K236" s="62"/>
      <c r="L236" s="62">
        <f>-32098</f>
        <v>-32098</v>
      </c>
      <c r="M236" s="62"/>
      <c r="N236" s="62"/>
      <c r="O236" s="62"/>
      <c r="P236" s="62"/>
      <c r="Q236" s="62"/>
      <c r="R236" s="62">
        <f t="shared" si="70"/>
        <v>0</v>
      </c>
      <c r="S236" s="136"/>
      <c r="T236" s="62"/>
      <c r="U236" s="62"/>
      <c r="V236" s="62"/>
      <c r="W236" s="62"/>
      <c r="X236" s="63">
        <f t="shared" si="67"/>
        <v>0</v>
      </c>
      <c r="Y236" s="498">
        <f t="shared" si="71"/>
        <v>0</v>
      </c>
      <c r="Z236" s="161"/>
      <c r="AA236" s="246"/>
    </row>
    <row r="237" spans="1:27" ht="24" customHeight="1" x14ac:dyDescent="0.2">
      <c r="A237" s="425">
        <v>62</v>
      </c>
      <c r="B237" s="310" t="s">
        <v>515</v>
      </c>
      <c r="C237" s="26" t="s">
        <v>516</v>
      </c>
      <c r="D237" s="62"/>
      <c r="E237" s="62"/>
      <c r="F237" s="62">
        <f>10</f>
        <v>10</v>
      </c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>
        <f t="shared" si="70"/>
        <v>10</v>
      </c>
      <c r="S237" s="136"/>
      <c r="T237" s="62"/>
      <c r="U237" s="62"/>
      <c r="V237" s="62"/>
      <c r="W237" s="62"/>
      <c r="X237" s="63">
        <f t="shared" si="67"/>
        <v>0</v>
      </c>
      <c r="Y237" s="500">
        <f t="shared" si="71"/>
        <v>10</v>
      </c>
      <c r="Z237" s="161"/>
      <c r="AA237" s="246"/>
    </row>
    <row r="238" spans="1:27" ht="24" customHeight="1" x14ac:dyDescent="0.2">
      <c r="A238" s="425">
        <v>63</v>
      </c>
      <c r="B238" s="310" t="s">
        <v>556</v>
      </c>
      <c r="C238" s="26" t="s">
        <v>557</v>
      </c>
      <c r="D238" s="62"/>
      <c r="E238" s="62"/>
      <c r="F238" s="62"/>
      <c r="G238" s="62"/>
      <c r="H238" s="62"/>
      <c r="I238" s="62"/>
      <c r="J238" s="62"/>
      <c r="K238" s="62">
        <f>6205</f>
        <v>6205</v>
      </c>
      <c r="L238" s="62"/>
      <c r="M238" s="62"/>
      <c r="N238" s="62"/>
      <c r="O238" s="62"/>
      <c r="P238" s="62"/>
      <c r="Q238" s="62"/>
      <c r="R238" s="62">
        <f t="shared" si="70"/>
        <v>6205</v>
      </c>
      <c r="S238" s="136"/>
      <c r="T238" s="62"/>
      <c r="U238" s="62"/>
      <c r="V238" s="62"/>
      <c r="W238" s="62"/>
      <c r="X238" s="63">
        <f t="shared" ref="X238:X244" si="90">SUM(T238:W238)</f>
        <v>0</v>
      </c>
      <c r="Y238" s="500">
        <f t="shared" ref="Y238:Y244" si="91">R238+X238</f>
        <v>6205</v>
      </c>
      <c r="Z238" s="161"/>
      <c r="AA238" s="246"/>
    </row>
    <row r="239" spans="1:27" ht="24" customHeight="1" x14ac:dyDescent="0.2">
      <c r="A239" s="425">
        <v>64</v>
      </c>
      <c r="B239" s="310" t="s">
        <v>555</v>
      </c>
      <c r="C239" s="26" t="s">
        <v>546</v>
      </c>
      <c r="D239" s="62"/>
      <c r="E239" s="62"/>
      <c r="F239" s="62">
        <f>-758.908</f>
        <v>-758.90800000000002</v>
      </c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>
        <f t="shared" si="70"/>
        <v>-758.90800000000002</v>
      </c>
      <c r="S239" s="136"/>
      <c r="T239" s="62"/>
      <c r="U239" s="62"/>
      <c r="V239" s="62"/>
      <c r="W239" s="62"/>
      <c r="X239" s="63">
        <f t="shared" si="90"/>
        <v>0</v>
      </c>
      <c r="Y239" s="500">
        <f t="shared" si="91"/>
        <v>-758.90800000000002</v>
      </c>
      <c r="Z239" s="161">
        <f>758.908</f>
        <v>758.90800000000002</v>
      </c>
      <c r="AA239" s="246"/>
    </row>
    <row r="240" spans="1:27" ht="24" customHeight="1" x14ac:dyDescent="0.2">
      <c r="A240" s="425">
        <v>65</v>
      </c>
      <c r="B240" s="310" t="s">
        <v>571</v>
      </c>
      <c r="C240" s="26" t="s">
        <v>572</v>
      </c>
      <c r="D240" s="62"/>
      <c r="E240" s="62"/>
      <c r="F240" s="62">
        <f>-180</f>
        <v>-180</v>
      </c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>
        <f t="shared" si="70"/>
        <v>-180</v>
      </c>
      <c r="S240" s="136"/>
      <c r="T240" s="62"/>
      <c r="U240" s="62"/>
      <c r="V240" s="62"/>
      <c r="W240" s="62"/>
      <c r="X240" s="63">
        <f t="shared" ref="X240:X241" si="92">SUM(T240:W240)</f>
        <v>0</v>
      </c>
      <c r="Y240" s="500">
        <f t="shared" ref="Y240:Y241" si="93">R240+X240</f>
        <v>-180</v>
      </c>
      <c r="Z240" s="161">
        <f>180</f>
        <v>180</v>
      </c>
      <c r="AA240" s="246"/>
    </row>
    <row r="241" spans="1:27" ht="24" customHeight="1" x14ac:dyDescent="0.2">
      <c r="A241" s="425">
        <v>66</v>
      </c>
      <c r="B241" s="310" t="s">
        <v>573</v>
      </c>
      <c r="C241" s="26" t="s">
        <v>574</v>
      </c>
      <c r="D241" s="62"/>
      <c r="E241" s="62"/>
      <c r="F241" s="62"/>
      <c r="G241" s="62"/>
      <c r="H241" s="62"/>
      <c r="I241" s="62"/>
      <c r="J241" s="62"/>
      <c r="K241" s="62"/>
      <c r="L241" s="62">
        <f>-15000-4050</f>
        <v>-19050</v>
      </c>
      <c r="M241" s="62"/>
      <c r="N241" s="62"/>
      <c r="O241" s="62"/>
      <c r="P241" s="62"/>
      <c r="Q241" s="62"/>
      <c r="R241" s="62">
        <f t="shared" si="70"/>
        <v>-19050</v>
      </c>
      <c r="S241" s="136"/>
      <c r="T241" s="62"/>
      <c r="U241" s="62"/>
      <c r="V241" s="62"/>
      <c r="W241" s="62"/>
      <c r="X241" s="63">
        <f t="shared" si="92"/>
        <v>0</v>
      </c>
      <c r="Y241" s="500">
        <f t="shared" si="93"/>
        <v>-19050</v>
      </c>
      <c r="Z241" s="161">
        <f>19050</f>
        <v>19050</v>
      </c>
      <c r="AA241" s="246"/>
    </row>
    <row r="242" spans="1:27" ht="24" customHeight="1" x14ac:dyDescent="0.2">
      <c r="A242" s="425">
        <v>67</v>
      </c>
      <c r="B242" s="310" t="s">
        <v>558</v>
      </c>
      <c r="C242" s="26" t="s">
        <v>559</v>
      </c>
      <c r="D242" s="62"/>
      <c r="E242" s="62"/>
      <c r="F242" s="62"/>
      <c r="G242" s="62"/>
      <c r="H242" s="62"/>
      <c r="I242" s="62"/>
      <c r="J242" s="62"/>
      <c r="K242" s="62">
        <f>-31750</f>
        <v>-31750</v>
      </c>
      <c r="L242" s="62">
        <f>25000+6750</f>
        <v>31750</v>
      </c>
      <c r="M242" s="62"/>
      <c r="N242" s="62"/>
      <c r="O242" s="62"/>
      <c r="P242" s="62"/>
      <c r="Q242" s="62"/>
      <c r="R242" s="62">
        <f t="shared" si="70"/>
        <v>0</v>
      </c>
      <c r="S242" s="136"/>
      <c r="T242" s="62"/>
      <c r="U242" s="62"/>
      <c r="V242" s="62"/>
      <c r="W242" s="62"/>
      <c r="X242" s="63">
        <f t="shared" si="90"/>
        <v>0</v>
      </c>
      <c r="Y242" s="500">
        <f t="shared" si="91"/>
        <v>0</v>
      </c>
      <c r="Z242" s="161"/>
      <c r="AA242" s="246"/>
    </row>
    <row r="243" spans="1:27" ht="24" customHeight="1" x14ac:dyDescent="0.2">
      <c r="A243" s="425">
        <v>68</v>
      </c>
      <c r="B243" s="310" t="s">
        <v>560</v>
      </c>
      <c r="C243" s="26" t="s">
        <v>561</v>
      </c>
      <c r="D243" s="62"/>
      <c r="E243" s="62"/>
      <c r="F243" s="62"/>
      <c r="G243" s="62"/>
      <c r="H243" s="62"/>
      <c r="I243" s="62"/>
      <c r="J243" s="62"/>
      <c r="K243" s="62">
        <f>-1917</f>
        <v>-1917</v>
      </c>
      <c r="L243" s="62">
        <f>1509+408</f>
        <v>1917</v>
      </c>
      <c r="M243" s="62"/>
      <c r="N243" s="62"/>
      <c r="O243" s="62"/>
      <c r="P243" s="62"/>
      <c r="Q243" s="62"/>
      <c r="R243" s="62">
        <f t="shared" si="70"/>
        <v>0</v>
      </c>
      <c r="S243" s="136"/>
      <c r="T243" s="62"/>
      <c r="U243" s="62"/>
      <c r="V243" s="62"/>
      <c r="W243" s="62"/>
      <c r="X243" s="63">
        <f t="shared" si="90"/>
        <v>0</v>
      </c>
      <c r="Y243" s="500">
        <f t="shared" si="91"/>
        <v>0</v>
      </c>
      <c r="Z243" s="161"/>
      <c r="AA243" s="246"/>
    </row>
    <row r="244" spans="1:27" ht="24" customHeight="1" x14ac:dyDescent="0.2">
      <c r="A244" s="425">
        <v>69</v>
      </c>
      <c r="B244" s="310" t="s">
        <v>562</v>
      </c>
      <c r="C244" s="26" t="s">
        <v>363</v>
      </c>
      <c r="D244" s="62"/>
      <c r="E244" s="62"/>
      <c r="F244" s="62">
        <f>5404+1459+274+74</f>
        <v>7211</v>
      </c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>
        <f t="shared" si="70"/>
        <v>7211</v>
      </c>
      <c r="S244" s="136"/>
      <c r="T244" s="62"/>
      <c r="U244" s="62"/>
      <c r="V244" s="62"/>
      <c r="W244" s="62"/>
      <c r="X244" s="63">
        <f t="shared" si="90"/>
        <v>0</v>
      </c>
      <c r="Y244" s="500">
        <f t="shared" si="91"/>
        <v>7211</v>
      </c>
      <c r="Z244" s="161"/>
      <c r="AA244" s="246"/>
    </row>
    <row r="245" spans="1:27" ht="24" customHeight="1" x14ac:dyDescent="0.2">
      <c r="A245" s="425">
        <v>70</v>
      </c>
      <c r="B245" s="417" t="s">
        <v>543</v>
      </c>
      <c r="C245" s="38" t="s">
        <v>542</v>
      </c>
      <c r="D245" s="62"/>
      <c r="E245" s="62"/>
      <c r="F245" s="62"/>
      <c r="G245" s="62"/>
      <c r="H245" s="62"/>
      <c r="I245" s="62"/>
      <c r="J245" s="62"/>
      <c r="K245" s="62">
        <f>100</f>
        <v>100</v>
      </c>
      <c r="L245" s="62"/>
      <c r="M245" s="62"/>
      <c r="N245" s="62"/>
      <c r="O245" s="62"/>
      <c r="P245" s="62"/>
      <c r="Q245" s="62"/>
      <c r="R245" s="62">
        <f t="shared" si="70"/>
        <v>100</v>
      </c>
      <c r="S245" s="136"/>
      <c r="T245" s="62"/>
      <c r="U245" s="62"/>
      <c r="V245" s="62"/>
      <c r="W245" s="62"/>
      <c r="X245" s="63">
        <f t="shared" si="67"/>
        <v>0</v>
      </c>
      <c r="Y245" s="498">
        <f t="shared" si="71"/>
        <v>100</v>
      </c>
      <c r="Z245" s="161"/>
      <c r="AA245" s="246"/>
    </row>
    <row r="246" spans="1:27" ht="24" customHeight="1" x14ac:dyDescent="0.2">
      <c r="A246" s="425">
        <v>71</v>
      </c>
      <c r="B246" s="311" t="s">
        <v>563</v>
      </c>
      <c r="C246" s="26" t="s">
        <v>221</v>
      </c>
      <c r="D246" s="62"/>
      <c r="E246" s="62"/>
      <c r="F246" s="62">
        <f>324</f>
        <v>324</v>
      </c>
      <c r="G246" s="62"/>
      <c r="H246" s="62"/>
      <c r="I246" s="62"/>
      <c r="J246" s="62"/>
      <c r="K246" s="62">
        <f>1200</f>
        <v>1200</v>
      </c>
      <c r="L246" s="62"/>
      <c r="M246" s="62"/>
      <c r="N246" s="62"/>
      <c r="O246" s="62"/>
      <c r="P246" s="62"/>
      <c r="Q246" s="62"/>
      <c r="R246" s="62">
        <f t="shared" si="70"/>
        <v>1524</v>
      </c>
      <c r="S246" s="136"/>
      <c r="T246" s="62"/>
      <c r="U246" s="62"/>
      <c r="V246" s="62"/>
      <c r="W246" s="62"/>
      <c r="X246" s="63">
        <f t="shared" si="67"/>
        <v>0</v>
      </c>
      <c r="Y246" s="498">
        <f t="shared" si="71"/>
        <v>1524</v>
      </c>
      <c r="Z246" s="161"/>
      <c r="AA246" s="246"/>
    </row>
    <row r="247" spans="1:27" ht="24" customHeight="1" x14ac:dyDescent="0.2">
      <c r="A247" s="425">
        <v>72</v>
      </c>
      <c r="B247" s="311" t="s">
        <v>564</v>
      </c>
      <c r="C247" s="30" t="s">
        <v>363</v>
      </c>
      <c r="D247" s="62"/>
      <c r="E247" s="62"/>
      <c r="F247" s="62">
        <f>5276+1425+662+179</f>
        <v>7542</v>
      </c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>
        <f t="shared" si="70"/>
        <v>7542</v>
      </c>
      <c r="S247" s="136"/>
      <c r="T247" s="62"/>
      <c r="U247" s="62"/>
      <c r="V247" s="62"/>
      <c r="W247" s="62"/>
      <c r="X247" s="63">
        <f t="shared" si="67"/>
        <v>0</v>
      </c>
      <c r="Y247" s="498">
        <f t="shared" si="71"/>
        <v>7542</v>
      </c>
      <c r="Z247" s="161"/>
      <c r="AA247" s="246"/>
    </row>
    <row r="248" spans="1:27" ht="24" customHeight="1" x14ac:dyDescent="0.2">
      <c r="A248" s="425">
        <v>73</v>
      </c>
      <c r="B248" s="311" t="s">
        <v>567</v>
      </c>
      <c r="C248" s="38" t="s">
        <v>565</v>
      </c>
      <c r="D248" s="62"/>
      <c r="E248" s="62"/>
      <c r="F248" s="62"/>
      <c r="G248" s="62"/>
      <c r="H248" s="62"/>
      <c r="I248" s="62"/>
      <c r="J248" s="62"/>
      <c r="K248" s="62">
        <f>-2300</f>
        <v>-2300</v>
      </c>
      <c r="L248" s="62"/>
      <c r="M248" s="62"/>
      <c r="N248" s="62"/>
      <c r="O248" s="62"/>
      <c r="P248" s="62"/>
      <c r="Q248" s="62">
        <f>2300</f>
        <v>2300</v>
      </c>
      <c r="R248" s="62">
        <f t="shared" si="70"/>
        <v>0</v>
      </c>
      <c r="S248" s="136"/>
      <c r="T248" s="62"/>
      <c r="U248" s="62"/>
      <c r="V248" s="62"/>
      <c r="W248" s="62"/>
      <c r="X248" s="63">
        <f t="shared" si="67"/>
        <v>0</v>
      </c>
      <c r="Y248" s="498">
        <f t="shared" si="71"/>
        <v>0</v>
      </c>
      <c r="Z248" s="161"/>
      <c r="AA248" s="246"/>
    </row>
    <row r="249" spans="1:27" ht="24" customHeight="1" x14ac:dyDescent="0.2">
      <c r="A249" s="425">
        <v>74</v>
      </c>
      <c r="B249" s="310" t="s">
        <v>566</v>
      </c>
      <c r="C249" s="38" t="s">
        <v>575</v>
      </c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>
        <f t="shared" si="70"/>
        <v>0</v>
      </c>
      <c r="S249" s="136"/>
      <c r="T249" s="62"/>
      <c r="U249" s="62"/>
      <c r="V249" s="62"/>
      <c r="W249" s="62"/>
      <c r="X249" s="63">
        <f t="shared" si="67"/>
        <v>0</v>
      </c>
      <c r="Y249" s="498">
        <f t="shared" si="71"/>
        <v>0</v>
      </c>
      <c r="Z249" s="161">
        <f>46.844</f>
        <v>46.844000000000001</v>
      </c>
      <c r="AA249" s="246"/>
    </row>
    <row r="250" spans="1:27" ht="33.75" customHeight="1" x14ac:dyDescent="0.2">
      <c r="A250" s="425">
        <v>75</v>
      </c>
      <c r="B250" s="310" t="s">
        <v>566</v>
      </c>
      <c r="C250" s="38" t="s">
        <v>626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>
        <f t="shared" si="70"/>
        <v>0</v>
      </c>
      <c r="S250" s="136"/>
      <c r="T250" s="62"/>
      <c r="U250" s="62"/>
      <c r="V250" s="62"/>
      <c r="W250" s="62"/>
      <c r="X250" s="63">
        <f t="shared" ref="X250:X251" si="94">SUM(T250:W250)</f>
        <v>0</v>
      </c>
      <c r="Y250" s="498">
        <f t="shared" ref="Y250:Y251" si="95">R250+X250</f>
        <v>0</v>
      </c>
      <c r="Z250" s="161">
        <f>498.081</f>
        <v>498.08100000000002</v>
      </c>
      <c r="AA250" s="246"/>
    </row>
    <row r="251" spans="1:27" ht="24" customHeight="1" x14ac:dyDescent="0.2">
      <c r="A251" s="425">
        <v>76</v>
      </c>
      <c r="B251" s="310" t="s">
        <v>566</v>
      </c>
      <c r="C251" s="38" t="s">
        <v>576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>
        <f t="shared" si="70"/>
        <v>0</v>
      </c>
      <c r="S251" s="136"/>
      <c r="T251" s="62"/>
      <c r="U251" s="62"/>
      <c r="V251" s="62"/>
      <c r="W251" s="62"/>
      <c r="X251" s="63">
        <f t="shared" si="94"/>
        <v>0</v>
      </c>
      <c r="Y251" s="498">
        <f t="shared" si="95"/>
        <v>0</v>
      </c>
      <c r="Z251" s="161">
        <v>1101.7860000000001</v>
      </c>
      <c r="AA251" s="246"/>
    </row>
    <row r="252" spans="1:27" ht="24" customHeight="1" x14ac:dyDescent="0.2">
      <c r="A252" s="425">
        <v>77</v>
      </c>
      <c r="B252" s="310" t="s">
        <v>568</v>
      </c>
      <c r="C252" s="26" t="s">
        <v>577</v>
      </c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>
        <f t="shared" si="70"/>
        <v>0</v>
      </c>
      <c r="S252" s="136"/>
      <c r="T252" s="62"/>
      <c r="U252" s="62"/>
      <c r="V252" s="62"/>
      <c r="W252" s="62"/>
      <c r="X252" s="63">
        <f t="shared" si="67"/>
        <v>0</v>
      </c>
      <c r="Y252" s="498">
        <f t="shared" si="71"/>
        <v>0</v>
      </c>
      <c r="Z252" s="161">
        <f>8094.565</f>
        <v>8094.5649999999996</v>
      </c>
      <c r="AA252" s="246"/>
    </row>
    <row r="253" spans="1:27" ht="24" customHeight="1" x14ac:dyDescent="0.2">
      <c r="A253" s="425">
        <v>78</v>
      </c>
      <c r="B253" s="316" t="s">
        <v>569</v>
      </c>
      <c r="C253" s="26" t="s">
        <v>570</v>
      </c>
      <c r="D253" s="62"/>
      <c r="E253" s="62"/>
      <c r="F253" s="62"/>
      <c r="G253" s="62"/>
      <c r="H253" s="62"/>
      <c r="I253" s="62"/>
      <c r="J253" s="62"/>
      <c r="K253" s="62">
        <f>70897</f>
        <v>70897</v>
      </c>
      <c r="L253" s="62"/>
      <c r="M253" s="62"/>
      <c r="N253" s="62"/>
      <c r="O253" s="62"/>
      <c r="P253" s="62"/>
      <c r="Q253" s="62"/>
      <c r="R253" s="62">
        <f t="shared" si="70"/>
        <v>70897</v>
      </c>
      <c r="S253" s="136"/>
      <c r="T253" s="61"/>
      <c r="U253" s="61"/>
      <c r="V253" s="61"/>
      <c r="W253" s="62"/>
      <c r="X253" s="63">
        <f t="shared" si="67"/>
        <v>0</v>
      </c>
      <c r="Y253" s="498">
        <f t="shared" si="71"/>
        <v>70897</v>
      </c>
      <c r="Z253" s="161"/>
      <c r="AA253" s="246"/>
    </row>
    <row r="254" spans="1:27" ht="24" customHeight="1" x14ac:dyDescent="0.2">
      <c r="A254" s="425">
        <v>79</v>
      </c>
      <c r="B254" s="310" t="s">
        <v>586</v>
      </c>
      <c r="C254" s="38" t="s">
        <v>587</v>
      </c>
      <c r="D254" s="62"/>
      <c r="E254" s="62"/>
      <c r="F254" s="62"/>
      <c r="G254" s="62"/>
      <c r="H254" s="62"/>
      <c r="I254" s="62"/>
      <c r="J254" s="62"/>
      <c r="K254" s="62">
        <f>-1270</f>
        <v>-1270</v>
      </c>
      <c r="L254" s="62">
        <f>1000+270</f>
        <v>1270</v>
      </c>
      <c r="M254" s="62"/>
      <c r="N254" s="62"/>
      <c r="O254" s="62"/>
      <c r="P254" s="62"/>
      <c r="Q254" s="62"/>
      <c r="R254" s="62">
        <f t="shared" si="70"/>
        <v>0</v>
      </c>
      <c r="S254" s="136"/>
      <c r="T254" s="62"/>
      <c r="U254" s="62"/>
      <c r="V254" s="62"/>
      <c r="W254" s="62"/>
      <c r="X254" s="63">
        <f t="shared" si="67"/>
        <v>0</v>
      </c>
      <c r="Y254" s="498">
        <f t="shared" si="71"/>
        <v>0</v>
      </c>
      <c r="Z254" s="161"/>
      <c r="AA254" s="246"/>
    </row>
    <row r="255" spans="1:27" ht="24" customHeight="1" x14ac:dyDescent="0.2">
      <c r="A255" s="425">
        <v>80</v>
      </c>
      <c r="B255" s="310" t="s">
        <v>588</v>
      </c>
      <c r="C255" s="38" t="s">
        <v>589</v>
      </c>
      <c r="D255" s="62"/>
      <c r="E255" s="62"/>
      <c r="F255" s="62">
        <f>7100+1917</f>
        <v>9017</v>
      </c>
      <c r="G255" s="62"/>
      <c r="H255" s="62"/>
      <c r="I255" s="62"/>
      <c r="J255" s="62"/>
      <c r="K255" s="62">
        <f>-9017</f>
        <v>-9017</v>
      </c>
      <c r="L255" s="491"/>
      <c r="M255" s="62"/>
      <c r="N255" s="62"/>
      <c r="O255" s="62"/>
      <c r="P255" s="62"/>
      <c r="Q255" s="62"/>
      <c r="R255" s="62">
        <f t="shared" si="70"/>
        <v>0</v>
      </c>
      <c r="S255" s="136"/>
      <c r="T255" s="62"/>
      <c r="U255" s="62"/>
      <c r="V255" s="62"/>
      <c r="W255" s="62"/>
      <c r="X255" s="63">
        <f t="shared" si="67"/>
        <v>0</v>
      </c>
      <c r="Y255" s="498">
        <f t="shared" si="71"/>
        <v>0</v>
      </c>
      <c r="Z255" s="161"/>
      <c r="AA255" s="246"/>
    </row>
    <row r="256" spans="1:27" ht="24" customHeight="1" x14ac:dyDescent="0.2">
      <c r="A256" s="425">
        <v>81</v>
      </c>
      <c r="B256" s="310" t="s">
        <v>590</v>
      </c>
      <c r="C256" s="26" t="s">
        <v>591</v>
      </c>
      <c r="D256" s="62"/>
      <c r="E256" s="62"/>
      <c r="F256" s="62"/>
      <c r="G256" s="62"/>
      <c r="H256" s="62"/>
      <c r="I256" s="62"/>
      <c r="J256" s="62"/>
      <c r="K256" s="62">
        <f>-5000</f>
        <v>-5000</v>
      </c>
      <c r="L256" s="62">
        <f>3937+1063</f>
        <v>5000</v>
      </c>
      <c r="M256" s="62"/>
      <c r="N256" s="62"/>
      <c r="O256" s="62"/>
      <c r="P256" s="62"/>
      <c r="Q256" s="62"/>
      <c r="R256" s="62">
        <f t="shared" si="70"/>
        <v>0</v>
      </c>
      <c r="S256" s="136"/>
      <c r="T256" s="62"/>
      <c r="U256" s="62"/>
      <c r="V256" s="62"/>
      <c r="W256" s="62"/>
      <c r="X256" s="63">
        <f t="shared" si="67"/>
        <v>0</v>
      </c>
      <c r="Y256" s="498">
        <f t="shared" si="71"/>
        <v>0</v>
      </c>
      <c r="Z256" s="161"/>
      <c r="AA256" s="246"/>
    </row>
    <row r="257" spans="1:27" ht="24" customHeight="1" x14ac:dyDescent="0.2">
      <c r="A257" s="425">
        <v>82</v>
      </c>
      <c r="B257" s="310" t="s">
        <v>592</v>
      </c>
      <c r="C257" s="26" t="s">
        <v>593</v>
      </c>
      <c r="D257" s="62"/>
      <c r="E257" s="62"/>
      <c r="F257" s="62"/>
      <c r="G257" s="62"/>
      <c r="H257" s="62"/>
      <c r="I257" s="62"/>
      <c r="J257" s="62"/>
      <c r="K257" s="62">
        <f>-6350</f>
        <v>-6350</v>
      </c>
      <c r="L257" s="62">
        <f>5000+1350</f>
        <v>6350</v>
      </c>
      <c r="M257" s="62"/>
      <c r="N257" s="62"/>
      <c r="O257" s="62"/>
      <c r="P257" s="62"/>
      <c r="Q257" s="62"/>
      <c r="R257" s="62">
        <f t="shared" si="70"/>
        <v>0</v>
      </c>
      <c r="S257" s="136"/>
      <c r="T257" s="61"/>
      <c r="U257" s="61"/>
      <c r="V257" s="61"/>
      <c r="W257" s="62"/>
      <c r="X257" s="63">
        <f t="shared" si="67"/>
        <v>0</v>
      </c>
      <c r="Y257" s="498">
        <f t="shared" si="71"/>
        <v>0</v>
      </c>
      <c r="Z257" s="161"/>
      <c r="AA257" s="246"/>
    </row>
    <row r="258" spans="1:27" ht="24" customHeight="1" x14ac:dyDescent="0.2">
      <c r="A258" s="425">
        <v>83</v>
      </c>
      <c r="B258" s="310" t="s">
        <v>594</v>
      </c>
      <c r="C258" s="26" t="s">
        <v>595</v>
      </c>
      <c r="D258" s="62"/>
      <c r="E258" s="62"/>
      <c r="F258" s="62"/>
      <c r="G258" s="62"/>
      <c r="H258" s="62"/>
      <c r="I258" s="62"/>
      <c r="J258" s="62"/>
      <c r="K258" s="62">
        <f>-2749</f>
        <v>-2749</v>
      </c>
      <c r="L258" s="62">
        <f>2164+585</f>
        <v>2749</v>
      </c>
      <c r="M258" s="62"/>
      <c r="N258" s="62"/>
      <c r="O258" s="62"/>
      <c r="P258" s="62"/>
      <c r="Q258" s="62"/>
      <c r="R258" s="62">
        <f t="shared" si="70"/>
        <v>0</v>
      </c>
      <c r="S258" s="136"/>
      <c r="T258" s="62"/>
      <c r="U258" s="62"/>
      <c r="V258" s="62"/>
      <c r="W258" s="62"/>
      <c r="X258" s="63">
        <f t="shared" si="67"/>
        <v>0</v>
      </c>
      <c r="Y258" s="498">
        <f t="shared" si="71"/>
        <v>0</v>
      </c>
      <c r="Z258" s="161"/>
      <c r="AA258" s="246"/>
    </row>
    <row r="259" spans="1:27" ht="24" customHeight="1" x14ac:dyDescent="0.2">
      <c r="A259" s="425">
        <v>84</v>
      </c>
      <c r="B259" s="310" t="s">
        <v>596</v>
      </c>
      <c r="C259" s="38" t="s">
        <v>597</v>
      </c>
      <c r="D259" s="62"/>
      <c r="E259" s="62"/>
      <c r="F259" s="62">
        <f>394+106</f>
        <v>500</v>
      </c>
      <c r="G259" s="62"/>
      <c r="H259" s="62"/>
      <c r="I259" s="62"/>
      <c r="J259" s="62"/>
      <c r="K259" s="62"/>
      <c r="L259" s="62">
        <f>-394-106</f>
        <v>-500</v>
      </c>
      <c r="M259" s="62"/>
      <c r="N259" s="62"/>
      <c r="O259" s="62"/>
      <c r="P259" s="62"/>
      <c r="Q259" s="62"/>
      <c r="R259" s="62">
        <f t="shared" si="70"/>
        <v>0</v>
      </c>
      <c r="S259" s="136"/>
      <c r="T259" s="61"/>
      <c r="U259" s="61"/>
      <c r="V259" s="61"/>
      <c r="W259" s="62"/>
      <c r="X259" s="63">
        <f t="shared" si="67"/>
        <v>0</v>
      </c>
      <c r="Y259" s="498">
        <f t="shared" si="71"/>
        <v>0</v>
      </c>
      <c r="Z259" s="161"/>
      <c r="AA259" s="246"/>
    </row>
    <row r="260" spans="1:27" ht="24" customHeight="1" x14ac:dyDescent="0.2">
      <c r="A260" s="425">
        <v>85</v>
      </c>
      <c r="B260" s="310" t="s">
        <v>598</v>
      </c>
      <c r="C260" s="26" t="s">
        <v>599</v>
      </c>
      <c r="D260" s="62"/>
      <c r="E260" s="62"/>
      <c r="F260" s="62"/>
      <c r="G260" s="62"/>
      <c r="H260" s="62"/>
      <c r="I260" s="62"/>
      <c r="J260" s="62"/>
      <c r="K260" s="62">
        <f>-10000</f>
        <v>-10000</v>
      </c>
      <c r="L260" s="62"/>
      <c r="M260" s="62"/>
      <c r="N260" s="62"/>
      <c r="O260" s="62"/>
      <c r="P260" s="62"/>
      <c r="Q260" s="62"/>
      <c r="R260" s="62">
        <f t="shared" si="70"/>
        <v>-10000</v>
      </c>
      <c r="S260" s="136"/>
      <c r="T260" s="62"/>
      <c r="U260" s="62"/>
      <c r="V260" s="62"/>
      <c r="W260" s="62"/>
      <c r="X260" s="63">
        <f t="shared" si="67"/>
        <v>0</v>
      </c>
      <c r="Y260" s="498">
        <f t="shared" si="71"/>
        <v>-10000</v>
      </c>
      <c r="Z260" s="161">
        <f>10000</f>
        <v>10000</v>
      </c>
      <c r="AA260" s="246"/>
    </row>
    <row r="261" spans="1:27" ht="32.25" customHeight="1" x14ac:dyDescent="0.2">
      <c r="A261" s="425">
        <v>86</v>
      </c>
      <c r="B261" s="310" t="s">
        <v>600</v>
      </c>
      <c r="C261" s="30" t="s">
        <v>601</v>
      </c>
      <c r="D261" s="62"/>
      <c r="E261" s="62"/>
      <c r="F261" s="62">
        <f>4677</f>
        <v>4677</v>
      </c>
      <c r="G261" s="62"/>
      <c r="H261" s="62"/>
      <c r="I261" s="62"/>
      <c r="J261" s="62"/>
      <c r="K261" s="62"/>
      <c r="L261" s="62">
        <f>-4677</f>
        <v>-4677</v>
      </c>
      <c r="M261" s="62"/>
      <c r="N261" s="62"/>
      <c r="O261" s="62"/>
      <c r="P261" s="62"/>
      <c r="Q261" s="62"/>
      <c r="R261" s="62">
        <f t="shared" si="70"/>
        <v>0</v>
      </c>
      <c r="S261" s="136"/>
      <c r="T261" s="62"/>
      <c r="U261" s="62"/>
      <c r="V261" s="62"/>
      <c r="W261" s="62"/>
      <c r="X261" s="63">
        <f t="shared" si="67"/>
        <v>0</v>
      </c>
      <c r="Y261" s="498">
        <f t="shared" si="71"/>
        <v>0</v>
      </c>
      <c r="Z261" s="161"/>
      <c r="AA261" s="246"/>
    </row>
    <row r="262" spans="1:27" ht="24" customHeight="1" x14ac:dyDescent="0.2">
      <c r="A262" s="425">
        <v>87</v>
      </c>
      <c r="B262" s="310" t="s">
        <v>604</v>
      </c>
      <c r="C262" s="26" t="s">
        <v>605</v>
      </c>
      <c r="D262" s="62"/>
      <c r="E262" s="62"/>
      <c r="F262" s="62"/>
      <c r="G262" s="62"/>
      <c r="H262" s="62"/>
      <c r="I262" s="62"/>
      <c r="J262" s="62"/>
      <c r="K262" s="62">
        <f>-2000</f>
        <v>-2000</v>
      </c>
      <c r="L262" s="62"/>
      <c r="M262" s="62"/>
      <c r="N262" s="62"/>
      <c r="O262" s="62"/>
      <c r="P262" s="62"/>
      <c r="Q262" s="62"/>
      <c r="R262" s="62">
        <f t="shared" si="70"/>
        <v>-2000</v>
      </c>
      <c r="S262" s="136"/>
      <c r="T262" s="62"/>
      <c r="U262" s="62"/>
      <c r="V262" s="62"/>
      <c r="W262" s="62"/>
      <c r="X262" s="63">
        <f t="shared" si="67"/>
        <v>0</v>
      </c>
      <c r="Y262" s="498">
        <f t="shared" si="71"/>
        <v>-2000</v>
      </c>
      <c r="Z262" s="161">
        <f>2000</f>
        <v>2000</v>
      </c>
      <c r="AA262" s="246"/>
    </row>
    <row r="263" spans="1:27" ht="24" customHeight="1" x14ac:dyDescent="0.2">
      <c r="A263" s="425">
        <v>88</v>
      </c>
      <c r="B263" s="310" t="s">
        <v>608</v>
      </c>
      <c r="C263" s="26" t="s">
        <v>607</v>
      </c>
      <c r="D263" s="62"/>
      <c r="E263" s="62"/>
      <c r="F263" s="62"/>
      <c r="G263" s="62"/>
      <c r="H263" s="62"/>
      <c r="I263" s="62"/>
      <c r="J263" s="62"/>
      <c r="K263" s="62">
        <f>-2539</f>
        <v>-2539</v>
      </c>
      <c r="L263" s="62"/>
      <c r="M263" s="62"/>
      <c r="N263" s="62"/>
      <c r="O263" s="62"/>
      <c r="P263" s="62"/>
      <c r="Q263" s="62"/>
      <c r="R263" s="62">
        <f t="shared" si="70"/>
        <v>-2539</v>
      </c>
      <c r="S263" s="136"/>
      <c r="T263" s="62"/>
      <c r="U263" s="62"/>
      <c r="V263" s="62"/>
      <c r="W263" s="62"/>
      <c r="X263" s="63">
        <f t="shared" si="67"/>
        <v>0</v>
      </c>
      <c r="Y263" s="498">
        <f t="shared" si="71"/>
        <v>-2539</v>
      </c>
      <c r="Z263" s="161">
        <f>2539</f>
        <v>2539</v>
      </c>
      <c r="AA263" s="246"/>
    </row>
    <row r="264" spans="1:27" ht="24" customHeight="1" x14ac:dyDescent="0.2">
      <c r="A264" s="425">
        <v>89</v>
      </c>
      <c r="B264" s="311" t="s">
        <v>612</v>
      </c>
      <c r="C264" s="30" t="s">
        <v>611</v>
      </c>
      <c r="D264" s="62"/>
      <c r="E264" s="62"/>
      <c r="F264" s="62"/>
      <c r="G264" s="62"/>
      <c r="H264" s="62"/>
      <c r="I264" s="62"/>
      <c r="J264" s="62"/>
      <c r="K264" s="62">
        <f>-781</f>
        <v>-781</v>
      </c>
      <c r="L264" s="62"/>
      <c r="M264" s="62"/>
      <c r="N264" s="62"/>
      <c r="O264" s="62"/>
      <c r="P264" s="62"/>
      <c r="Q264" s="62"/>
      <c r="R264" s="62">
        <f t="shared" si="70"/>
        <v>-781</v>
      </c>
      <c r="S264" s="136"/>
      <c r="T264" s="62"/>
      <c r="U264" s="62"/>
      <c r="V264" s="62"/>
      <c r="W264" s="62"/>
      <c r="X264" s="63">
        <f t="shared" si="67"/>
        <v>0</v>
      </c>
      <c r="Y264" s="498">
        <f t="shared" si="71"/>
        <v>-781</v>
      </c>
      <c r="Z264" s="161">
        <f>781</f>
        <v>781</v>
      </c>
      <c r="AA264" s="246"/>
    </row>
    <row r="265" spans="1:27" ht="24" customHeight="1" x14ac:dyDescent="0.2">
      <c r="A265" s="425">
        <v>90</v>
      </c>
      <c r="B265" s="311" t="s">
        <v>613</v>
      </c>
      <c r="C265" s="30" t="s">
        <v>614</v>
      </c>
      <c r="D265" s="62"/>
      <c r="E265" s="62"/>
      <c r="F265" s="62">
        <f>65610</f>
        <v>65610</v>
      </c>
      <c r="G265" s="62"/>
      <c r="H265" s="62"/>
      <c r="I265" s="62"/>
      <c r="J265" s="62"/>
      <c r="K265" s="62"/>
      <c r="L265" s="62">
        <f>-65610-0.081+0.081</f>
        <v>-65610</v>
      </c>
      <c r="M265" s="62"/>
      <c r="N265" s="62"/>
      <c r="O265" s="62"/>
      <c r="P265" s="62"/>
      <c r="Q265" s="62"/>
      <c r="R265" s="62">
        <f t="shared" si="70"/>
        <v>0</v>
      </c>
      <c r="S265" s="136"/>
      <c r="T265" s="62"/>
      <c r="U265" s="62"/>
      <c r="V265" s="62"/>
      <c r="W265" s="62"/>
      <c r="X265" s="63">
        <f t="shared" si="67"/>
        <v>0</v>
      </c>
      <c r="Y265" s="498">
        <f t="shared" si="71"/>
        <v>0</v>
      </c>
      <c r="Z265" s="161"/>
      <c r="AA265" s="246"/>
    </row>
    <row r="266" spans="1:27" ht="24" customHeight="1" x14ac:dyDescent="0.2">
      <c r="A266" s="425">
        <v>91</v>
      </c>
      <c r="B266" s="311" t="s">
        <v>615</v>
      </c>
      <c r="C266" s="26" t="s">
        <v>616</v>
      </c>
      <c r="D266" s="62"/>
      <c r="E266" s="62"/>
      <c r="F266" s="62"/>
      <c r="G266" s="62"/>
      <c r="H266" s="62"/>
      <c r="I266" s="62"/>
      <c r="J266" s="62"/>
      <c r="K266" s="62">
        <f>-2659</f>
        <v>-2659</v>
      </c>
      <c r="L266" s="62"/>
      <c r="M266" s="62"/>
      <c r="N266" s="62"/>
      <c r="O266" s="62"/>
      <c r="P266" s="62"/>
      <c r="Q266" s="62"/>
      <c r="R266" s="62">
        <f t="shared" si="70"/>
        <v>-2659</v>
      </c>
      <c r="S266" s="136"/>
      <c r="T266" s="62"/>
      <c r="U266" s="62"/>
      <c r="V266" s="62"/>
      <c r="W266" s="62"/>
      <c r="X266" s="63">
        <f t="shared" si="67"/>
        <v>0</v>
      </c>
      <c r="Y266" s="498">
        <f t="shared" si="71"/>
        <v>-2659</v>
      </c>
      <c r="Z266" s="161">
        <f>2659</f>
        <v>2659</v>
      </c>
      <c r="AA266" s="246"/>
    </row>
    <row r="267" spans="1:27" ht="24" customHeight="1" x14ac:dyDescent="0.2">
      <c r="A267" s="425">
        <v>92</v>
      </c>
      <c r="B267" s="311" t="s">
        <v>620</v>
      </c>
      <c r="C267" s="31" t="s">
        <v>619</v>
      </c>
      <c r="D267" s="62"/>
      <c r="E267" s="62"/>
      <c r="F267" s="62"/>
      <c r="G267" s="62"/>
      <c r="H267" s="62"/>
      <c r="I267" s="62"/>
      <c r="J267" s="62"/>
      <c r="K267" s="62">
        <f>-2718</f>
        <v>-2718</v>
      </c>
      <c r="L267" s="62"/>
      <c r="M267" s="62"/>
      <c r="N267" s="62"/>
      <c r="O267" s="62"/>
      <c r="P267" s="62"/>
      <c r="Q267" s="62"/>
      <c r="R267" s="62">
        <f t="shared" si="70"/>
        <v>-2718</v>
      </c>
      <c r="S267" s="136"/>
      <c r="T267" s="62"/>
      <c r="U267" s="62"/>
      <c r="V267" s="62"/>
      <c r="W267" s="62"/>
      <c r="X267" s="63">
        <f t="shared" si="67"/>
        <v>0</v>
      </c>
      <c r="Y267" s="498">
        <f t="shared" si="71"/>
        <v>-2718</v>
      </c>
      <c r="Z267" s="161">
        <f>2718</f>
        <v>2718</v>
      </c>
      <c r="AA267" s="246"/>
    </row>
    <row r="268" spans="1:27" ht="24" customHeight="1" x14ac:dyDescent="0.2">
      <c r="A268" s="425">
        <v>93</v>
      </c>
      <c r="B268" s="312" t="s">
        <v>621</v>
      </c>
      <c r="C268" s="31" t="s">
        <v>622</v>
      </c>
      <c r="D268" s="62"/>
      <c r="E268" s="62"/>
      <c r="F268" s="62">
        <f>18406</f>
        <v>18406</v>
      </c>
      <c r="G268" s="62"/>
      <c r="H268" s="62"/>
      <c r="I268" s="62"/>
      <c r="J268" s="62"/>
      <c r="K268" s="62"/>
      <c r="L268" s="62">
        <f>-18406</f>
        <v>-18406</v>
      </c>
      <c r="M268" s="62"/>
      <c r="N268" s="62"/>
      <c r="O268" s="62"/>
      <c r="P268" s="62"/>
      <c r="Q268" s="62"/>
      <c r="R268" s="62">
        <f t="shared" si="70"/>
        <v>0</v>
      </c>
      <c r="S268" s="136"/>
      <c r="T268" s="62"/>
      <c r="U268" s="62"/>
      <c r="V268" s="62"/>
      <c r="W268" s="62"/>
      <c r="X268" s="63">
        <f t="shared" si="67"/>
        <v>0</v>
      </c>
      <c r="Y268" s="498">
        <f t="shared" si="71"/>
        <v>0</v>
      </c>
      <c r="Z268" s="161"/>
      <c r="AA268" s="246"/>
    </row>
    <row r="269" spans="1:27" ht="24" customHeight="1" x14ac:dyDescent="0.2">
      <c r="A269" s="425">
        <v>94</v>
      </c>
      <c r="B269" s="312" t="s">
        <v>632</v>
      </c>
      <c r="C269" s="31" t="s">
        <v>633</v>
      </c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>
        <f t="shared" si="70"/>
        <v>0</v>
      </c>
      <c r="S269" s="136"/>
      <c r="T269" s="62"/>
      <c r="U269" s="62"/>
      <c r="V269" s="62"/>
      <c r="W269" s="62"/>
      <c r="X269" s="63">
        <f t="shared" ref="X269" si="96">SUM(T269:W269)</f>
        <v>0</v>
      </c>
      <c r="Y269" s="498">
        <f t="shared" ref="Y269" si="97">R269+X269</f>
        <v>0</v>
      </c>
      <c r="Z269" s="161">
        <v>469.5</v>
      </c>
      <c r="AA269" s="246"/>
    </row>
    <row r="270" spans="1:27" ht="24" customHeight="1" x14ac:dyDescent="0.2">
      <c r="A270" s="425">
        <v>95</v>
      </c>
      <c r="B270" s="314" t="s">
        <v>623</v>
      </c>
      <c r="C270" s="31" t="s">
        <v>267</v>
      </c>
      <c r="D270" s="62"/>
      <c r="E270" s="62"/>
      <c r="F270" s="62"/>
      <c r="G270" s="62"/>
      <c r="H270" s="62"/>
      <c r="I270" s="62"/>
      <c r="J270" s="62"/>
      <c r="K270" s="62">
        <f>3</f>
        <v>3</v>
      </c>
      <c r="L270" s="62"/>
      <c r="M270" s="62"/>
      <c r="N270" s="62"/>
      <c r="O270" s="62"/>
      <c r="P270" s="62"/>
      <c r="Q270" s="62"/>
      <c r="R270" s="62">
        <f t="shared" si="70"/>
        <v>3</v>
      </c>
      <c r="S270" s="136"/>
      <c r="T270" s="62"/>
      <c r="U270" s="62"/>
      <c r="V270" s="62"/>
      <c r="W270" s="62"/>
      <c r="X270" s="63">
        <f t="shared" si="67"/>
        <v>0</v>
      </c>
      <c r="Y270" s="498">
        <f t="shared" si="71"/>
        <v>3</v>
      </c>
      <c r="Z270" s="161"/>
      <c r="AA270" s="246"/>
    </row>
    <row r="271" spans="1:27" ht="35.25" customHeight="1" x14ac:dyDescent="0.2">
      <c r="A271" s="425">
        <v>96</v>
      </c>
      <c r="B271" s="314" t="s">
        <v>624</v>
      </c>
      <c r="C271" s="31" t="s">
        <v>628</v>
      </c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>
        <f t="shared" si="70"/>
        <v>0</v>
      </c>
      <c r="S271" s="136"/>
      <c r="T271" s="62"/>
      <c r="U271" s="62"/>
      <c r="V271" s="62"/>
      <c r="W271" s="62"/>
      <c r="X271" s="63">
        <f t="shared" si="67"/>
        <v>0</v>
      </c>
      <c r="Y271" s="498">
        <f t="shared" si="71"/>
        <v>0</v>
      </c>
      <c r="Z271" s="161">
        <f>486.455</f>
        <v>486.45499999999998</v>
      </c>
      <c r="AA271" s="246"/>
    </row>
    <row r="272" spans="1:27" ht="24" customHeight="1" x14ac:dyDescent="0.2">
      <c r="A272" s="425">
        <v>97</v>
      </c>
      <c r="B272" s="313" t="s">
        <v>624</v>
      </c>
      <c r="C272" s="31" t="s">
        <v>629</v>
      </c>
      <c r="D272" s="61"/>
      <c r="E272" s="61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>
        <f t="shared" si="70"/>
        <v>0</v>
      </c>
      <c r="S272" s="136"/>
      <c r="T272" s="62"/>
      <c r="U272" s="62"/>
      <c r="V272" s="62"/>
      <c r="W272" s="62"/>
      <c r="X272" s="63">
        <f t="shared" si="67"/>
        <v>0</v>
      </c>
      <c r="Y272" s="498">
        <f t="shared" si="71"/>
        <v>0</v>
      </c>
      <c r="Z272" s="161">
        <v>1174.0609999999999</v>
      </c>
      <c r="AA272" s="246"/>
    </row>
    <row r="273" spans="1:27" ht="24" customHeight="1" x14ac:dyDescent="0.2">
      <c r="A273" s="425">
        <v>98</v>
      </c>
      <c r="B273" s="313" t="s">
        <v>624</v>
      </c>
      <c r="C273" s="31" t="s">
        <v>635</v>
      </c>
      <c r="D273" s="61"/>
      <c r="E273" s="61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>
        <f t="shared" si="70"/>
        <v>0</v>
      </c>
      <c r="S273" s="136"/>
      <c r="T273" s="62"/>
      <c r="U273" s="62"/>
      <c r="V273" s="62"/>
      <c r="W273" s="62"/>
      <c r="X273" s="63">
        <f t="shared" ref="X273" si="98">SUM(T273:W273)</f>
        <v>0</v>
      </c>
      <c r="Y273" s="498">
        <f t="shared" ref="Y273" si="99">R273+X273</f>
        <v>0</v>
      </c>
      <c r="Z273" s="161">
        <v>47.116999999999997</v>
      </c>
      <c r="AA273" s="246"/>
    </row>
    <row r="274" spans="1:27" ht="35.25" customHeight="1" x14ac:dyDescent="0.2">
      <c r="A274" s="425">
        <v>99</v>
      </c>
      <c r="B274" s="415" t="s">
        <v>630</v>
      </c>
      <c r="C274" s="31" t="s">
        <v>631</v>
      </c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>
        <f t="shared" si="70"/>
        <v>0</v>
      </c>
      <c r="S274" s="136"/>
      <c r="T274" s="62"/>
      <c r="U274" s="62"/>
      <c r="V274" s="62"/>
      <c r="W274" s="62"/>
      <c r="X274" s="63">
        <f t="shared" si="67"/>
        <v>0</v>
      </c>
      <c r="Y274" s="498">
        <f t="shared" si="71"/>
        <v>0</v>
      </c>
      <c r="Z274" s="161">
        <v>7950.7269999999999</v>
      </c>
      <c r="AA274" s="246"/>
    </row>
    <row r="275" spans="1:27" ht="24" customHeight="1" x14ac:dyDescent="0.2">
      <c r="A275" s="425">
        <v>100</v>
      </c>
      <c r="B275" s="415" t="s">
        <v>637</v>
      </c>
      <c r="C275" s="38" t="s">
        <v>484</v>
      </c>
      <c r="D275" s="62"/>
      <c r="E275" s="62"/>
      <c r="F275" s="62">
        <f>1000+270</f>
        <v>1270</v>
      </c>
      <c r="G275" s="62"/>
      <c r="H275" s="62"/>
      <c r="I275" s="62"/>
      <c r="J275" s="62"/>
      <c r="K275" s="62">
        <f>-1270</f>
        <v>-1270</v>
      </c>
      <c r="L275" s="62"/>
      <c r="M275" s="62"/>
      <c r="N275" s="62"/>
      <c r="O275" s="62"/>
      <c r="P275" s="62"/>
      <c r="Q275" s="62"/>
      <c r="R275" s="62">
        <f t="shared" si="70"/>
        <v>0</v>
      </c>
      <c r="S275" s="136"/>
      <c r="T275" s="62"/>
      <c r="U275" s="62"/>
      <c r="V275" s="62"/>
      <c r="W275" s="62"/>
      <c r="X275" s="63">
        <f t="shared" si="67"/>
        <v>0</v>
      </c>
      <c r="Y275" s="498">
        <f t="shared" si="71"/>
        <v>0</v>
      </c>
      <c r="Z275" s="161"/>
      <c r="AA275" s="246"/>
    </row>
    <row r="276" spans="1:27" ht="24" customHeight="1" x14ac:dyDescent="0.2">
      <c r="A276" s="425">
        <v>101</v>
      </c>
      <c r="B276" s="313" t="s">
        <v>639</v>
      </c>
      <c r="C276" s="38" t="s">
        <v>640</v>
      </c>
      <c r="D276" s="62"/>
      <c r="E276" s="62"/>
      <c r="F276" s="62"/>
      <c r="G276" s="62"/>
      <c r="H276" s="62"/>
      <c r="I276" s="62"/>
      <c r="J276" s="62"/>
      <c r="K276" s="62">
        <f>-1179</f>
        <v>-1179</v>
      </c>
      <c r="L276" s="62"/>
      <c r="M276" s="62"/>
      <c r="N276" s="62"/>
      <c r="O276" s="62"/>
      <c r="P276" s="62"/>
      <c r="Q276" s="62"/>
      <c r="R276" s="62">
        <f t="shared" si="70"/>
        <v>-1179</v>
      </c>
      <c r="S276" s="136"/>
      <c r="T276" s="62"/>
      <c r="U276" s="62"/>
      <c r="V276" s="62"/>
      <c r="W276" s="62"/>
      <c r="X276" s="63">
        <f t="shared" ref="X276" si="100">SUM(T276:W276)</f>
        <v>0</v>
      </c>
      <c r="Y276" s="498">
        <f t="shared" ref="Y276" si="101">R276+X276</f>
        <v>-1179</v>
      </c>
      <c r="Z276" s="161">
        <f>1179</f>
        <v>1179</v>
      </c>
      <c r="AA276" s="246"/>
    </row>
    <row r="277" spans="1:27" ht="24" customHeight="1" x14ac:dyDescent="0.2">
      <c r="A277" s="425">
        <v>102</v>
      </c>
      <c r="B277" s="415" t="s">
        <v>638</v>
      </c>
      <c r="C277" s="38" t="s">
        <v>221</v>
      </c>
      <c r="D277" s="62"/>
      <c r="E277" s="62"/>
      <c r="F277" s="62">
        <f>648</f>
        <v>648</v>
      </c>
      <c r="G277" s="62"/>
      <c r="H277" s="62"/>
      <c r="I277" s="62"/>
      <c r="J277" s="62"/>
      <c r="K277" s="62">
        <f>2400</f>
        <v>2400</v>
      </c>
      <c r="L277" s="62"/>
      <c r="M277" s="62"/>
      <c r="N277" s="62"/>
      <c r="O277" s="62"/>
      <c r="P277" s="62"/>
      <c r="Q277" s="62"/>
      <c r="R277" s="62">
        <f t="shared" si="70"/>
        <v>3048</v>
      </c>
      <c r="S277" s="136"/>
      <c r="T277" s="62"/>
      <c r="U277" s="62"/>
      <c r="V277" s="62"/>
      <c r="W277" s="62"/>
      <c r="X277" s="63">
        <f t="shared" si="67"/>
        <v>0</v>
      </c>
      <c r="Y277" s="498">
        <f t="shared" si="71"/>
        <v>3048</v>
      </c>
      <c r="Z277" s="161"/>
      <c r="AA277" s="246"/>
    </row>
    <row r="278" spans="1:27" ht="24" customHeight="1" x14ac:dyDescent="0.2">
      <c r="A278" s="425">
        <v>103</v>
      </c>
      <c r="B278" s="426" t="s">
        <v>641</v>
      </c>
      <c r="C278" s="26" t="s">
        <v>253</v>
      </c>
      <c r="D278" s="62"/>
      <c r="E278" s="62"/>
      <c r="F278" s="62"/>
      <c r="G278" s="62"/>
      <c r="H278" s="62"/>
      <c r="I278" s="62"/>
      <c r="J278" s="62">
        <f>100</f>
        <v>100</v>
      </c>
      <c r="K278" s="62">
        <f>-100</f>
        <v>-100</v>
      </c>
      <c r="L278" s="62"/>
      <c r="M278" s="62"/>
      <c r="N278" s="62"/>
      <c r="O278" s="62"/>
      <c r="P278" s="62"/>
      <c r="Q278" s="62"/>
      <c r="R278" s="62">
        <f t="shared" si="70"/>
        <v>0</v>
      </c>
      <c r="S278" s="136"/>
      <c r="T278" s="62"/>
      <c r="U278" s="62"/>
      <c r="V278" s="62"/>
      <c r="W278" s="62"/>
      <c r="X278" s="63">
        <f t="shared" si="67"/>
        <v>0</v>
      </c>
      <c r="Y278" s="498">
        <f t="shared" si="71"/>
        <v>0</v>
      </c>
      <c r="Z278" s="161"/>
      <c r="AA278" s="246"/>
    </row>
    <row r="279" spans="1:27" ht="24" customHeight="1" x14ac:dyDescent="0.2">
      <c r="A279" s="425">
        <v>104</v>
      </c>
      <c r="B279" s="427" t="s">
        <v>642</v>
      </c>
      <c r="C279" s="38" t="s">
        <v>595</v>
      </c>
      <c r="D279" s="62"/>
      <c r="E279" s="62"/>
      <c r="F279" s="62"/>
      <c r="G279" s="62"/>
      <c r="H279" s="62"/>
      <c r="I279" s="62"/>
      <c r="J279" s="62"/>
      <c r="K279" s="62">
        <f>-360</f>
        <v>-360</v>
      </c>
      <c r="L279" s="62">
        <f>283+77</f>
        <v>360</v>
      </c>
      <c r="M279" s="62"/>
      <c r="N279" s="62"/>
      <c r="O279" s="62"/>
      <c r="P279" s="62"/>
      <c r="Q279" s="62"/>
      <c r="R279" s="62">
        <f t="shared" si="70"/>
        <v>0</v>
      </c>
      <c r="S279" s="136"/>
      <c r="T279" s="62"/>
      <c r="U279" s="62"/>
      <c r="V279" s="62"/>
      <c r="W279" s="62"/>
      <c r="X279" s="63">
        <f t="shared" si="67"/>
        <v>0</v>
      </c>
      <c r="Y279" s="498">
        <f t="shared" si="71"/>
        <v>0</v>
      </c>
      <c r="Z279" s="161"/>
      <c r="AA279" s="246"/>
    </row>
    <row r="280" spans="1:27" ht="24" customHeight="1" x14ac:dyDescent="0.2">
      <c r="A280" s="425">
        <v>105</v>
      </c>
      <c r="B280" s="313" t="s">
        <v>644</v>
      </c>
      <c r="C280" s="38" t="s">
        <v>645</v>
      </c>
      <c r="D280" s="62"/>
      <c r="E280" s="62"/>
      <c r="F280" s="62">
        <f>42+12</f>
        <v>54</v>
      </c>
      <c r="G280" s="62"/>
      <c r="H280" s="62"/>
      <c r="I280" s="62"/>
      <c r="J280" s="62"/>
      <c r="K280" s="62"/>
      <c r="L280" s="62">
        <f>-1135-309+688+186+349+95+56+16</f>
        <v>-54</v>
      </c>
      <c r="M280" s="62"/>
      <c r="N280" s="62"/>
      <c r="O280" s="62"/>
      <c r="P280" s="62"/>
      <c r="Q280" s="62"/>
      <c r="R280" s="62">
        <f t="shared" si="70"/>
        <v>0</v>
      </c>
      <c r="S280" s="136"/>
      <c r="T280" s="62"/>
      <c r="U280" s="62"/>
      <c r="V280" s="62"/>
      <c r="W280" s="62"/>
      <c r="X280" s="63">
        <f t="shared" si="67"/>
        <v>0</v>
      </c>
      <c r="Y280" s="498">
        <f t="shared" si="71"/>
        <v>0</v>
      </c>
      <c r="Z280" s="161"/>
      <c r="AA280" s="246"/>
    </row>
    <row r="281" spans="1:27" ht="24" customHeight="1" x14ac:dyDescent="0.2">
      <c r="A281" s="425">
        <v>106</v>
      </c>
      <c r="B281" s="313" t="s">
        <v>649</v>
      </c>
      <c r="C281" s="31" t="s">
        <v>650</v>
      </c>
      <c r="D281" s="62"/>
      <c r="E281" s="62"/>
      <c r="F281" s="62">
        <f>-6368-1719</f>
        <v>-8087</v>
      </c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>
        <f t="shared" si="70"/>
        <v>-8087</v>
      </c>
      <c r="S281" s="136"/>
      <c r="T281" s="62"/>
      <c r="U281" s="62"/>
      <c r="V281" s="62"/>
      <c r="W281" s="62"/>
      <c r="X281" s="63">
        <f t="shared" ref="X281" si="102">SUM(T281:W281)</f>
        <v>0</v>
      </c>
      <c r="Y281" s="498">
        <f t="shared" ref="Y281" si="103">R281+X281</f>
        <v>-8087</v>
      </c>
      <c r="Z281" s="161">
        <f>8087</f>
        <v>8087</v>
      </c>
      <c r="AA281" s="246"/>
    </row>
    <row r="282" spans="1:27" ht="24" customHeight="1" x14ac:dyDescent="0.2">
      <c r="A282" s="425">
        <v>107</v>
      </c>
      <c r="B282" s="313" t="s">
        <v>646</v>
      </c>
      <c r="C282" s="38" t="s">
        <v>647</v>
      </c>
      <c r="D282" s="62"/>
      <c r="E282" s="62"/>
      <c r="F282" s="62">
        <f>-344</f>
        <v>-344</v>
      </c>
      <c r="G282" s="62"/>
      <c r="H282" s="62"/>
      <c r="I282" s="62"/>
      <c r="J282" s="62"/>
      <c r="K282" s="62"/>
      <c r="L282" s="62">
        <f>344</f>
        <v>344</v>
      </c>
      <c r="M282" s="62"/>
      <c r="N282" s="62"/>
      <c r="O282" s="62"/>
      <c r="P282" s="62"/>
      <c r="Q282" s="62"/>
      <c r="R282" s="62">
        <f t="shared" si="70"/>
        <v>0</v>
      </c>
      <c r="S282" s="136"/>
      <c r="T282" s="62"/>
      <c r="U282" s="62"/>
      <c r="V282" s="62"/>
      <c r="W282" s="62"/>
      <c r="X282" s="63">
        <f t="shared" si="67"/>
        <v>0</v>
      </c>
      <c r="Y282" s="498">
        <f t="shared" si="71"/>
        <v>0</v>
      </c>
      <c r="Z282" s="161"/>
      <c r="AA282" s="246"/>
    </row>
    <row r="283" spans="1:27" ht="24" customHeight="1" x14ac:dyDescent="0.2">
      <c r="A283" s="425">
        <v>108</v>
      </c>
      <c r="B283" s="415" t="s">
        <v>648</v>
      </c>
      <c r="C283" s="38" t="s">
        <v>363</v>
      </c>
      <c r="D283" s="62"/>
      <c r="E283" s="62"/>
      <c r="F283" s="62">
        <f>5276+1425+662+179</f>
        <v>7542</v>
      </c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>
        <f t="shared" si="70"/>
        <v>7542</v>
      </c>
      <c r="S283" s="136"/>
      <c r="T283" s="62"/>
      <c r="U283" s="62"/>
      <c r="V283" s="62"/>
      <c r="W283" s="62"/>
      <c r="X283" s="63">
        <f t="shared" si="67"/>
        <v>0</v>
      </c>
      <c r="Y283" s="498">
        <f t="shared" si="71"/>
        <v>7542</v>
      </c>
      <c r="Z283" s="161"/>
      <c r="AA283" s="246"/>
    </row>
    <row r="284" spans="1:27" ht="24" customHeight="1" x14ac:dyDescent="0.2">
      <c r="A284" s="425">
        <v>109</v>
      </c>
      <c r="B284" s="313" t="s">
        <v>652</v>
      </c>
      <c r="C284" s="38" t="s">
        <v>651</v>
      </c>
      <c r="D284" s="62">
        <f>880</f>
        <v>880</v>
      </c>
      <c r="E284" s="62"/>
      <c r="F284" s="62">
        <f>237.6+6839.203+1846.585</f>
        <v>8923.3880000000008</v>
      </c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>
        <f t="shared" si="70"/>
        <v>9803.3880000000008</v>
      </c>
      <c r="S284" s="136"/>
      <c r="T284" s="62"/>
      <c r="U284" s="62"/>
      <c r="V284" s="62"/>
      <c r="W284" s="62"/>
      <c r="X284" s="63">
        <f t="shared" ref="X284:X309" si="104">SUM(T284:W284)</f>
        <v>0</v>
      </c>
      <c r="Y284" s="498">
        <f t="shared" ref="Y284:Y309" si="105">R284+X284</f>
        <v>9803.3880000000008</v>
      </c>
      <c r="Z284" s="161"/>
      <c r="AA284" s="246"/>
    </row>
    <row r="285" spans="1:27" ht="24" customHeight="1" x14ac:dyDescent="0.2">
      <c r="A285" s="425">
        <v>110</v>
      </c>
      <c r="B285" s="313" t="s">
        <v>653</v>
      </c>
      <c r="C285" s="38" t="s">
        <v>363</v>
      </c>
      <c r="D285" s="62"/>
      <c r="E285" s="62"/>
      <c r="F285" s="62">
        <f>5404+1459+274+74</f>
        <v>7211</v>
      </c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>
        <f t="shared" si="70"/>
        <v>7211</v>
      </c>
      <c r="S285" s="136"/>
      <c r="T285" s="62"/>
      <c r="U285" s="62"/>
      <c r="V285" s="62"/>
      <c r="W285" s="62"/>
      <c r="X285" s="63">
        <f t="shared" si="104"/>
        <v>0</v>
      </c>
      <c r="Y285" s="498">
        <f t="shared" si="105"/>
        <v>7211</v>
      </c>
      <c r="Z285" s="161"/>
      <c r="AA285" s="246"/>
    </row>
    <row r="286" spans="1:27" ht="24" customHeight="1" x14ac:dyDescent="0.2">
      <c r="A286" s="425">
        <v>111</v>
      </c>
      <c r="B286" s="415" t="s">
        <v>654</v>
      </c>
      <c r="C286" s="38" t="s">
        <v>363</v>
      </c>
      <c r="D286" s="62"/>
      <c r="E286" s="62"/>
      <c r="F286" s="62">
        <f>2105+568+178+48</f>
        <v>2899</v>
      </c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>
        <f t="shared" si="70"/>
        <v>2899</v>
      </c>
      <c r="S286" s="136"/>
      <c r="T286" s="62"/>
      <c r="U286" s="62"/>
      <c r="V286" s="62"/>
      <c r="W286" s="62"/>
      <c r="X286" s="63">
        <f t="shared" si="104"/>
        <v>0</v>
      </c>
      <c r="Y286" s="498">
        <f t="shared" si="105"/>
        <v>2899</v>
      </c>
      <c r="Z286" s="161"/>
      <c r="AA286" s="246"/>
    </row>
    <row r="287" spans="1:27" ht="30" customHeight="1" x14ac:dyDescent="0.2">
      <c r="A287" s="425">
        <v>112</v>
      </c>
      <c r="B287" s="428" t="s">
        <v>655</v>
      </c>
      <c r="C287" s="38" t="s">
        <v>656</v>
      </c>
      <c r="D287" s="62">
        <v>0.85799999999999998</v>
      </c>
      <c r="E287" s="62"/>
      <c r="F287" s="62">
        <v>-0.85799999999999998</v>
      </c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>
        <f t="shared" si="70"/>
        <v>0</v>
      </c>
      <c r="S287" s="136"/>
      <c r="T287" s="62"/>
      <c r="U287" s="62"/>
      <c r="V287" s="62"/>
      <c r="W287" s="62"/>
      <c r="X287" s="63">
        <f t="shared" si="104"/>
        <v>0</v>
      </c>
      <c r="Y287" s="498">
        <f t="shared" si="105"/>
        <v>0</v>
      </c>
      <c r="Z287" s="161"/>
      <c r="AA287" s="246"/>
    </row>
    <row r="288" spans="1:27" ht="30" customHeight="1" x14ac:dyDescent="0.2">
      <c r="A288" s="425">
        <v>113</v>
      </c>
      <c r="B288" s="313" t="s">
        <v>657</v>
      </c>
      <c r="C288" s="38" t="s">
        <v>658</v>
      </c>
      <c r="D288" s="62"/>
      <c r="E288" s="62"/>
      <c r="F288" s="62">
        <f>457+124</f>
        <v>581</v>
      </c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>
        <f t="shared" si="70"/>
        <v>581</v>
      </c>
      <c r="S288" s="136"/>
      <c r="T288" s="62"/>
      <c r="U288" s="62"/>
      <c r="V288" s="62"/>
      <c r="W288" s="62"/>
      <c r="X288" s="63">
        <f t="shared" si="104"/>
        <v>0</v>
      </c>
      <c r="Y288" s="498">
        <f t="shared" si="105"/>
        <v>581</v>
      </c>
      <c r="Z288" s="161">
        <f>-581</f>
        <v>-581</v>
      </c>
      <c r="AA288" s="246"/>
    </row>
    <row r="289" spans="1:27" ht="24" customHeight="1" x14ac:dyDescent="0.2">
      <c r="A289" s="425">
        <v>114</v>
      </c>
      <c r="B289" s="313" t="s">
        <v>660</v>
      </c>
      <c r="C289" s="38" t="s">
        <v>661</v>
      </c>
      <c r="D289" s="62"/>
      <c r="E289" s="62"/>
      <c r="F289" s="62"/>
      <c r="G289" s="62"/>
      <c r="H289" s="62"/>
      <c r="I289" s="62"/>
      <c r="J289" s="62"/>
      <c r="K289" s="62">
        <f>-81280</f>
        <v>-81280</v>
      </c>
      <c r="L289" s="62">
        <f>64000+17280</f>
        <v>81280</v>
      </c>
      <c r="M289" s="62"/>
      <c r="N289" s="62"/>
      <c r="O289" s="62"/>
      <c r="P289" s="62"/>
      <c r="Q289" s="62"/>
      <c r="R289" s="62">
        <f t="shared" si="70"/>
        <v>0</v>
      </c>
      <c r="S289" s="136"/>
      <c r="T289" s="62"/>
      <c r="U289" s="62"/>
      <c r="V289" s="62"/>
      <c r="W289" s="62"/>
      <c r="X289" s="63">
        <f t="shared" si="104"/>
        <v>0</v>
      </c>
      <c r="Y289" s="498">
        <f t="shared" si="105"/>
        <v>0</v>
      </c>
      <c r="Z289" s="161"/>
      <c r="AA289" s="246"/>
    </row>
    <row r="290" spans="1:27" ht="24" customHeight="1" x14ac:dyDescent="0.2">
      <c r="A290" s="425">
        <v>115</v>
      </c>
      <c r="B290" s="313" t="s">
        <v>662</v>
      </c>
      <c r="C290" s="38" t="s">
        <v>665</v>
      </c>
      <c r="D290" s="62"/>
      <c r="E290" s="62"/>
      <c r="F290" s="62">
        <f>-48</f>
        <v>-48</v>
      </c>
      <c r="G290" s="62"/>
      <c r="H290" s="62"/>
      <c r="I290" s="62"/>
      <c r="J290" s="62"/>
      <c r="K290" s="62"/>
      <c r="L290" s="62">
        <f>48</f>
        <v>48</v>
      </c>
      <c r="M290" s="62"/>
      <c r="N290" s="62"/>
      <c r="O290" s="62"/>
      <c r="P290" s="62"/>
      <c r="Q290" s="62"/>
      <c r="R290" s="62">
        <f t="shared" si="70"/>
        <v>0</v>
      </c>
      <c r="S290" s="136"/>
      <c r="T290" s="62"/>
      <c r="U290" s="62"/>
      <c r="V290" s="62"/>
      <c r="W290" s="62"/>
      <c r="X290" s="63">
        <f t="shared" si="104"/>
        <v>0</v>
      </c>
      <c r="Y290" s="498">
        <f t="shared" si="105"/>
        <v>0</v>
      </c>
      <c r="Z290" s="161"/>
      <c r="AA290" s="246"/>
    </row>
    <row r="291" spans="1:27" ht="24" customHeight="1" x14ac:dyDescent="0.2">
      <c r="A291" s="425">
        <v>116</v>
      </c>
      <c r="B291" s="313" t="s">
        <v>663</v>
      </c>
      <c r="C291" s="38" t="s">
        <v>664</v>
      </c>
      <c r="D291" s="62"/>
      <c r="E291" s="62"/>
      <c r="F291" s="62">
        <f>-41</f>
        <v>-41</v>
      </c>
      <c r="G291" s="62"/>
      <c r="H291" s="62"/>
      <c r="I291" s="62"/>
      <c r="J291" s="62"/>
      <c r="K291" s="62"/>
      <c r="L291" s="62">
        <f>41</f>
        <v>41</v>
      </c>
      <c r="M291" s="62"/>
      <c r="N291" s="62"/>
      <c r="O291" s="62"/>
      <c r="P291" s="62"/>
      <c r="Q291" s="62"/>
      <c r="R291" s="62">
        <f t="shared" si="70"/>
        <v>0</v>
      </c>
      <c r="S291" s="136"/>
      <c r="T291" s="62"/>
      <c r="U291" s="62"/>
      <c r="V291" s="62"/>
      <c r="W291" s="62"/>
      <c r="X291" s="63">
        <f t="shared" si="104"/>
        <v>0</v>
      </c>
      <c r="Y291" s="498">
        <f t="shared" si="105"/>
        <v>0</v>
      </c>
      <c r="Z291" s="161"/>
      <c r="AA291" s="246"/>
    </row>
    <row r="292" spans="1:27" ht="24" customHeight="1" x14ac:dyDescent="0.2">
      <c r="A292" s="425">
        <v>117</v>
      </c>
      <c r="B292" s="415" t="s">
        <v>666</v>
      </c>
      <c r="C292" s="38" t="s">
        <v>667</v>
      </c>
      <c r="D292" s="62"/>
      <c r="E292" s="62"/>
      <c r="F292" s="62"/>
      <c r="G292" s="62"/>
      <c r="H292" s="62"/>
      <c r="I292" s="62"/>
      <c r="J292" s="62"/>
      <c r="K292" s="62">
        <f>-6000</f>
        <v>-6000</v>
      </c>
      <c r="L292" s="62">
        <f>6000</f>
        <v>6000</v>
      </c>
      <c r="M292" s="62"/>
      <c r="N292" s="62"/>
      <c r="O292" s="62"/>
      <c r="P292" s="62"/>
      <c r="Q292" s="62"/>
      <c r="R292" s="62">
        <f t="shared" si="70"/>
        <v>0</v>
      </c>
      <c r="S292" s="136"/>
      <c r="T292" s="62"/>
      <c r="U292" s="62"/>
      <c r="V292" s="62"/>
      <c r="W292" s="62"/>
      <c r="X292" s="63">
        <f t="shared" si="104"/>
        <v>0</v>
      </c>
      <c r="Y292" s="498">
        <f t="shared" si="105"/>
        <v>0</v>
      </c>
      <c r="Z292" s="161"/>
      <c r="AA292" s="246"/>
    </row>
    <row r="293" spans="1:27" ht="24" customHeight="1" x14ac:dyDescent="0.2">
      <c r="A293" s="425">
        <v>118</v>
      </c>
      <c r="B293" s="313" t="s">
        <v>669</v>
      </c>
      <c r="C293" s="38" t="s">
        <v>668</v>
      </c>
      <c r="D293" s="62"/>
      <c r="E293" s="62"/>
      <c r="F293" s="62">
        <f>-3075-831</f>
        <v>-3906</v>
      </c>
      <c r="G293" s="62"/>
      <c r="H293" s="62"/>
      <c r="I293" s="62"/>
      <c r="J293" s="62"/>
      <c r="K293" s="62"/>
      <c r="L293" s="62"/>
      <c r="M293" s="62">
        <f>3075+831</f>
        <v>3906</v>
      </c>
      <c r="N293" s="62"/>
      <c r="O293" s="62"/>
      <c r="P293" s="62"/>
      <c r="Q293" s="62"/>
      <c r="R293" s="62">
        <f t="shared" si="70"/>
        <v>0</v>
      </c>
      <c r="S293" s="136"/>
      <c r="T293" s="62"/>
      <c r="U293" s="62"/>
      <c r="V293" s="62"/>
      <c r="W293" s="62"/>
      <c r="X293" s="63">
        <f t="shared" si="104"/>
        <v>0</v>
      </c>
      <c r="Y293" s="498">
        <f t="shared" si="105"/>
        <v>0</v>
      </c>
      <c r="Z293" s="161"/>
      <c r="AA293" s="246"/>
    </row>
    <row r="294" spans="1:27" ht="32.25" customHeight="1" x14ac:dyDescent="0.2">
      <c r="A294" s="425">
        <v>119</v>
      </c>
      <c r="B294" s="313" t="s">
        <v>670</v>
      </c>
      <c r="C294" s="38" t="s">
        <v>671</v>
      </c>
      <c r="D294" s="62">
        <f>-1020</f>
        <v>-1020</v>
      </c>
      <c r="E294" s="62">
        <f>-180</f>
        <v>-180</v>
      </c>
      <c r="F294" s="62">
        <f>1200</f>
        <v>1200</v>
      </c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>
        <f t="shared" si="70"/>
        <v>0</v>
      </c>
      <c r="S294" s="136"/>
      <c r="T294" s="62"/>
      <c r="U294" s="62"/>
      <c r="V294" s="62"/>
      <c r="W294" s="62"/>
      <c r="X294" s="63">
        <f t="shared" si="104"/>
        <v>0</v>
      </c>
      <c r="Y294" s="498">
        <f t="shared" si="105"/>
        <v>0</v>
      </c>
      <c r="Z294" s="161"/>
      <c r="AA294" s="246"/>
    </row>
    <row r="295" spans="1:27" ht="24" customHeight="1" x14ac:dyDescent="0.2">
      <c r="A295" s="425">
        <v>120</v>
      </c>
      <c r="B295" s="313" t="s">
        <v>674</v>
      </c>
      <c r="C295" s="38" t="s">
        <v>673</v>
      </c>
      <c r="D295" s="62"/>
      <c r="E295" s="62"/>
      <c r="F295" s="62"/>
      <c r="G295" s="62"/>
      <c r="H295" s="62"/>
      <c r="I295" s="62"/>
      <c r="J295" s="62"/>
      <c r="K295" s="62">
        <v>4</v>
      </c>
      <c r="L295" s="62"/>
      <c r="M295" s="62"/>
      <c r="N295" s="62"/>
      <c r="O295" s="62"/>
      <c r="P295" s="62"/>
      <c r="Q295" s="62"/>
      <c r="R295" s="62">
        <f t="shared" si="70"/>
        <v>4</v>
      </c>
      <c r="S295" s="136"/>
      <c r="T295" s="62"/>
      <c r="U295" s="62"/>
      <c r="V295" s="62"/>
      <c r="W295" s="62"/>
      <c r="X295" s="63">
        <f t="shared" si="104"/>
        <v>0</v>
      </c>
      <c r="Y295" s="498">
        <f t="shared" si="105"/>
        <v>4</v>
      </c>
      <c r="Z295" s="161"/>
      <c r="AA295" s="246"/>
    </row>
    <row r="296" spans="1:27" ht="32.25" customHeight="1" x14ac:dyDescent="0.2">
      <c r="A296" s="425">
        <v>121</v>
      </c>
      <c r="B296" s="313" t="s">
        <v>675</v>
      </c>
      <c r="C296" s="38" t="s">
        <v>676</v>
      </c>
      <c r="D296" s="62"/>
      <c r="E296" s="62"/>
      <c r="F296" s="62">
        <f>-67</f>
        <v>-67</v>
      </c>
      <c r="G296" s="62"/>
      <c r="H296" s="62"/>
      <c r="I296" s="62"/>
      <c r="J296" s="62"/>
      <c r="K296" s="62"/>
      <c r="L296" s="62">
        <f>67</f>
        <v>67</v>
      </c>
      <c r="M296" s="62"/>
      <c r="N296" s="62"/>
      <c r="O296" s="62"/>
      <c r="P296" s="62"/>
      <c r="Q296" s="62"/>
      <c r="R296" s="62">
        <f t="shared" si="70"/>
        <v>0</v>
      </c>
      <c r="S296" s="136"/>
      <c r="T296" s="62"/>
      <c r="U296" s="62"/>
      <c r="V296" s="62"/>
      <c r="W296" s="62"/>
      <c r="X296" s="63">
        <f t="shared" si="104"/>
        <v>0</v>
      </c>
      <c r="Y296" s="498">
        <f t="shared" si="105"/>
        <v>0</v>
      </c>
      <c r="Z296" s="161"/>
      <c r="AA296" s="246"/>
    </row>
    <row r="297" spans="1:27" ht="24" customHeight="1" x14ac:dyDescent="0.2">
      <c r="A297" s="425">
        <v>122</v>
      </c>
      <c r="B297" s="313" t="s">
        <v>677</v>
      </c>
      <c r="C297" s="38" t="s">
        <v>678</v>
      </c>
      <c r="D297" s="62"/>
      <c r="E297" s="62"/>
      <c r="F297" s="62">
        <f>12176+3288</f>
        <v>15464</v>
      </c>
      <c r="G297" s="62"/>
      <c r="H297" s="62"/>
      <c r="I297" s="62"/>
      <c r="J297" s="62"/>
      <c r="K297" s="62">
        <f>-15464</f>
        <v>-15464</v>
      </c>
      <c r="L297" s="62"/>
      <c r="M297" s="62"/>
      <c r="N297" s="62"/>
      <c r="O297" s="62"/>
      <c r="P297" s="62"/>
      <c r="Q297" s="62"/>
      <c r="R297" s="62">
        <f t="shared" si="70"/>
        <v>0</v>
      </c>
      <c r="S297" s="136"/>
      <c r="T297" s="62"/>
      <c r="U297" s="62"/>
      <c r="V297" s="62"/>
      <c r="W297" s="62"/>
      <c r="X297" s="63">
        <f t="shared" si="104"/>
        <v>0</v>
      </c>
      <c r="Y297" s="498">
        <f t="shared" si="105"/>
        <v>0</v>
      </c>
      <c r="Z297" s="161"/>
      <c r="AA297" s="246"/>
    </row>
    <row r="298" spans="1:27" ht="24" customHeight="1" x14ac:dyDescent="0.2">
      <c r="A298" s="425">
        <v>123</v>
      </c>
      <c r="B298" s="313" t="s">
        <v>679</v>
      </c>
      <c r="C298" s="38" t="s">
        <v>680</v>
      </c>
      <c r="D298" s="62"/>
      <c r="E298" s="62"/>
      <c r="F298" s="62"/>
      <c r="G298" s="62"/>
      <c r="H298" s="62"/>
      <c r="I298" s="62"/>
      <c r="J298" s="62"/>
      <c r="K298" s="62">
        <f>-3810</f>
        <v>-3810</v>
      </c>
      <c r="L298" s="62"/>
      <c r="M298" s="62"/>
      <c r="N298" s="62"/>
      <c r="O298" s="62"/>
      <c r="P298" s="62"/>
      <c r="Q298" s="62"/>
      <c r="R298" s="62">
        <f t="shared" si="70"/>
        <v>-3810</v>
      </c>
      <c r="S298" s="136"/>
      <c r="T298" s="62"/>
      <c r="U298" s="62"/>
      <c r="V298" s="62"/>
      <c r="W298" s="62"/>
      <c r="X298" s="63">
        <f t="shared" si="104"/>
        <v>0</v>
      </c>
      <c r="Y298" s="498">
        <f t="shared" si="105"/>
        <v>-3810</v>
      </c>
      <c r="Z298" s="161">
        <v>3810</v>
      </c>
      <c r="AA298" s="246"/>
    </row>
    <row r="299" spans="1:27" ht="24" customHeight="1" x14ac:dyDescent="0.2">
      <c r="A299" s="425">
        <v>124</v>
      </c>
      <c r="B299" s="313" t="s">
        <v>684</v>
      </c>
      <c r="C299" s="38" t="s">
        <v>683</v>
      </c>
      <c r="D299" s="62"/>
      <c r="E299" s="62"/>
      <c r="F299" s="62"/>
      <c r="G299" s="62"/>
      <c r="H299" s="62"/>
      <c r="I299" s="62"/>
      <c r="J299" s="62"/>
      <c r="K299" s="62">
        <f>-376</f>
        <v>-376</v>
      </c>
      <c r="L299" s="62"/>
      <c r="M299" s="62"/>
      <c r="N299" s="62"/>
      <c r="O299" s="62"/>
      <c r="P299" s="62"/>
      <c r="Q299" s="62"/>
      <c r="R299" s="62">
        <f t="shared" si="70"/>
        <v>-376</v>
      </c>
      <c r="S299" s="136"/>
      <c r="T299" s="62"/>
      <c r="U299" s="62"/>
      <c r="V299" s="62"/>
      <c r="W299" s="62"/>
      <c r="X299" s="63">
        <f t="shared" si="104"/>
        <v>0</v>
      </c>
      <c r="Y299" s="498">
        <f t="shared" si="105"/>
        <v>-376</v>
      </c>
      <c r="Z299" s="161">
        <f>376</f>
        <v>376</v>
      </c>
      <c r="AA299" s="246"/>
    </row>
    <row r="300" spans="1:27" ht="24" customHeight="1" x14ac:dyDescent="0.2">
      <c r="A300" s="425">
        <v>125</v>
      </c>
      <c r="B300" s="313" t="s">
        <v>685</v>
      </c>
      <c r="C300" s="38" t="s">
        <v>587</v>
      </c>
      <c r="D300" s="62"/>
      <c r="E300" s="62"/>
      <c r="F300" s="62"/>
      <c r="G300" s="62"/>
      <c r="H300" s="62"/>
      <c r="I300" s="62"/>
      <c r="J300" s="62"/>
      <c r="K300" s="62">
        <f>-4953</f>
        <v>-4953</v>
      </c>
      <c r="L300" s="62">
        <f>3900+1053</f>
        <v>4953</v>
      </c>
      <c r="M300" s="62"/>
      <c r="N300" s="62"/>
      <c r="O300" s="62"/>
      <c r="P300" s="62"/>
      <c r="Q300" s="62"/>
      <c r="R300" s="62">
        <f t="shared" si="70"/>
        <v>0</v>
      </c>
      <c r="S300" s="136"/>
      <c r="T300" s="62"/>
      <c r="U300" s="62"/>
      <c r="V300" s="62"/>
      <c r="W300" s="62"/>
      <c r="X300" s="63">
        <f t="shared" si="104"/>
        <v>0</v>
      </c>
      <c r="Y300" s="498">
        <f t="shared" si="105"/>
        <v>0</v>
      </c>
      <c r="Z300" s="161"/>
      <c r="AA300" s="246"/>
    </row>
    <row r="301" spans="1:27" ht="24" customHeight="1" x14ac:dyDescent="0.2">
      <c r="A301" s="425">
        <v>126</v>
      </c>
      <c r="B301" s="313" t="s">
        <v>686</v>
      </c>
      <c r="C301" s="38" t="s">
        <v>687</v>
      </c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>
        <f t="shared" si="70"/>
        <v>0</v>
      </c>
      <c r="S301" s="136"/>
      <c r="T301" s="62"/>
      <c r="U301" s="62"/>
      <c r="V301" s="62"/>
      <c r="W301" s="62"/>
      <c r="X301" s="63">
        <f t="shared" si="104"/>
        <v>0</v>
      </c>
      <c r="Y301" s="498">
        <f t="shared" si="105"/>
        <v>0</v>
      </c>
      <c r="Z301" s="161">
        <f>47.117</f>
        <v>47.116999999999997</v>
      </c>
      <c r="AA301" s="246"/>
    </row>
    <row r="302" spans="1:27" ht="32.25" customHeight="1" x14ac:dyDescent="0.2">
      <c r="A302" s="425">
        <v>127</v>
      </c>
      <c r="B302" s="313" t="s">
        <v>686</v>
      </c>
      <c r="C302" s="38" t="s">
        <v>693</v>
      </c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>
        <f t="shared" si="70"/>
        <v>0</v>
      </c>
      <c r="S302" s="136"/>
      <c r="T302" s="62"/>
      <c r="U302" s="62"/>
      <c r="V302" s="62"/>
      <c r="W302" s="62"/>
      <c r="X302" s="63">
        <f t="shared" si="104"/>
        <v>0</v>
      </c>
      <c r="Y302" s="498">
        <f t="shared" si="105"/>
        <v>0</v>
      </c>
      <c r="Z302" s="161">
        <f>483.513</f>
        <v>483.51299999999998</v>
      </c>
      <c r="AA302" s="246"/>
    </row>
    <row r="303" spans="1:27" ht="24" customHeight="1" x14ac:dyDescent="0.2">
      <c r="A303" s="425">
        <v>128</v>
      </c>
      <c r="B303" s="313" t="s">
        <v>686</v>
      </c>
      <c r="C303" s="38" t="s">
        <v>694</v>
      </c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>
        <f t="shared" si="70"/>
        <v>0</v>
      </c>
      <c r="S303" s="136"/>
      <c r="T303" s="62"/>
      <c r="U303" s="62"/>
      <c r="V303" s="62"/>
      <c r="W303" s="62"/>
      <c r="X303" s="63">
        <f t="shared" si="104"/>
        <v>0</v>
      </c>
      <c r="Y303" s="498">
        <f t="shared" si="105"/>
        <v>0</v>
      </c>
      <c r="Z303" s="161">
        <v>1174.2929999999999</v>
      </c>
      <c r="AA303" s="246"/>
    </row>
    <row r="304" spans="1:27" ht="32.25" customHeight="1" x14ac:dyDescent="0.2">
      <c r="A304" s="425">
        <v>129</v>
      </c>
      <c r="B304" s="313" t="s">
        <v>695</v>
      </c>
      <c r="C304" s="38" t="s">
        <v>696</v>
      </c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>
        <f t="shared" si="70"/>
        <v>0</v>
      </c>
      <c r="S304" s="136"/>
      <c r="T304" s="62"/>
      <c r="U304" s="62"/>
      <c r="V304" s="62"/>
      <c r="W304" s="62"/>
      <c r="X304" s="63">
        <f t="shared" si="104"/>
        <v>0</v>
      </c>
      <c r="Y304" s="498">
        <f t="shared" ref="Y304" si="106">R304+X304</f>
        <v>0</v>
      </c>
      <c r="Z304" s="161">
        <f>7969.026</f>
        <v>7969.0259999999998</v>
      </c>
      <c r="AA304" s="246"/>
    </row>
    <row r="305" spans="1:27" ht="24" customHeight="1" x14ac:dyDescent="0.2">
      <c r="A305" s="425">
        <v>130</v>
      </c>
      <c r="B305" s="434" t="s">
        <v>689</v>
      </c>
      <c r="C305" s="38" t="s">
        <v>690</v>
      </c>
      <c r="D305" s="62"/>
      <c r="E305" s="62"/>
      <c r="F305" s="62"/>
      <c r="G305" s="62"/>
      <c r="H305" s="62"/>
      <c r="I305" s="62"/>
      <c r="J305" s="62"/>
      <c r="K305" s="62">
        <f>136.68</f>
        <v>136.68</v>
      </c>
      <c r="L305" s="62"/>
      <c r="M305" s="62"/>
      <c r="N305" s="62"/>
      <c r="O305" s="62"/>
      <c r="P305" s="62"/>
      <c r="Q305" s="62"/>
      <c r="R305" s="62">
        <f t="shared" si="70"/>
        <v>136.68</v>
      </c>
      <c r="S305" s="136"/>
      <c r="T305" s="62"/>
      <c r="U305" s="62"/>
      <c r="V305" s="62"/>
      <c r="W305" s="62"/>
      <c r="X305" s="63">
        <f t="shared" si="104"/>
        <v>0</v>
      </c>
      <c r="Y305" s="498">
        <f t="shared" si="105"/>
        <v>136.68</v>
      </c>
      <c r="Z305" s="161"/>
      <c r="AA305" s="246"/>
    </row>
    <row r="306" spans="1:27" ht="24" customHeight="1" x14ac:dyDescent="0.2">
      <c r="A306" s="425">
        <v>131</v>
      </c>
      <c r="B306" s="437" t="s">
        <v>691</v>
      </c>
      <c r="C306" s="38" t="s">
        <v>692</v>
      </c>
      <c r="D306" s="62"/>
      <c r="E306" s="62"/>
      <c r="F306" s="62">
        <f>279+76</f>
        <v>355</v>
      </c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>
        <f t="shared" si="70"/>
        <v>355</v>
      </c>
      <c r="S306" s="136"/>
      <c r="T306" s="62"/>
      <c r="U306" s="62"/>
      <c r="V306" s="62"/>
      <c r="W306" s="62"/>
      <c r="X306" s="63">
        <f t="shared" si="104"/>
        <v>0</v>
      </c>
      <c r="Y306" s="498">
        <f t="shared" si="105"/>
        <v>355</v>
      </c>
      <c r="Z306" s="161"/>
      <c r="AA306" s="246"/>
    </row>
    <row r="307" spans="1:27" ht="24" customHeight="1" x14ac:dyDescent="0.2">
      <c r="A307" s="425">
        <v>132</v>
      </c>
      <c r="B307" s="313" t="s">
        <v>699</v>
      </c>
      <c r="C307" s="38" t="s">
        <v>465</v>
      </c>
      <c r="D307" s="62"/>
      <c r="E307" s="62"/>
      <c r="F307" s="62"/>
      <c r="G307" s="62"/>
      <c r="H307" s="62"/>
      <c r="I307" s="62"/>
      <c r="J307" s="62">
        <f>200</f>
        <v>200</v>
      </c>
      <c r="K307" s="62">
        <f>-200</f>
        <v>-200</v>
      </c>
      <c r="L307" s="62"/>
      <c r="M307" s="62"/>
      <c r="N307" s="62"/>
      <c r="O307" s="62"/>
      <c r="P307" s="62"/>
      <c r="Q307" s="62"/>
      <c r="R307" s="62">
        <f t="shared" si="70"/>
        <v>0</v>
      </c>
      <c r="S307" s="136"/>
      <c r="T307" s="62"/>
      <c r="U307" s="62"/>
      <c r="V307" s="62"/>
      <c r="W307" s="62"/>
      <c r="X307" s="63">
        <f t="shared" si="104"/>
        <v>0</v>
      </c>
      <c r="Y307" s="498">
        <f t="shared" si="105"/>
        <v>0</v>
      </c>
      <c r="Z307" s="161"/>
      <c r="AA307" s="246"/>
    </row>
    <row r="308" spans="1:27" ht="24" customHeight="1" x14ac:dyDescent="0.2">
      <c r="A308" s="425">
        <v>133</v>
      </c>
      <c r="B308" s="313" t="s">
        <v>700</v>
      </c>
      <c r="C308" s="38" t="s">
        <v>701</v>
      </c>
      <c r="D308" s="62"/>
      <c r="E308" s="62"/>
      <c r="F308" s="62">
        <f>15000+4050+35000+9450+24000+6480</f>
        <v>93980</v>
      </c>
      <c r="G308" s="62"/>
      <c r="H308" s="62"/>
      <c r="I308" s="62"/>
      <c r="J308" s="62"/>
      <c r="K308" s="62">
        <f>-93980</f>
        <v>-93980</v>
      </c>
      <c r="L308" s="62"/>
      <c r="M308" s="62"/>
      <c r="N308" s="62"/>
      <c r="O308" s="62"/>
      <c r="P308" s="62"/>
      <c r="Q308" s="62"/>
      <c r="R308" s="62">
        <f t="shared" si="70"/>
        <v>0</v>
      </c>
      <c r="S308" s="136"/>
      <c r="T308" s="62"/>
      <c r="U308" s="62"/>
      <c r="V308" s="62"/>
      <c r="W308" s="62"/>
      <c r="X308" s="63">
        <f t="shared" si="104"/>
        <v>0</v>
      </c>
      <c r="Y308" s="498">
        <f t="shared" si="105"/>
        <v>0</v>
      </c>
      <c r="Z308" s="161"/>
      <c r="AA308" s="246"/>
    </row>
    <row r="309" spans="1:27" ht="24" customHeight="1" x14ac:dyDescent="0.2">
      <c r="A309" s="425">
        <v>134</v>
      </c>
      <c r="B309" s="313" t="s">
        <v>702</v>
      </c>
      <c r="C309" s="38" t="s">
        <v>703</v>
      </c>
      <c r="D309" s="62">
        <f>33</f>
        <v>33</v>
      </c>
      <c r="E309" s="62"/>
      <c r="F309" s="62">
        <f>-33-9+9</f>
        <v>-33</v>
      </c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>
        <f t="shared" si="70"/>
        <v>0</v>
      </c>
      <c r="S309" s="136"/>
      <c r="T309" s="62"/>
      <c r="U309" s="62"/>
      <c r="V309" s="62"/>
      <c r="W309" s="62"/>
      <c r="X309" s="63">
        <f t="shared" si="104"/>
        <v>0</v>
      </c>
      <c r="Y309" s="498">
        <f t="shared" si="105"/>
        <v>0</v>
      </c>
      <c r="Z309" s="161"/>
      <c r="AA309" s="246"/>
    </row>
    <row r="310" spans="1:27" ht="24" customHeight="1" x14ac:dyDescent="0.2">
      <c r="A310" s="425">
        <v>135</v>
      </c>
      <c r="B310" s="313" t="s">
        <v>704</v>
      </c>
      <c r="C310" s="38" t="s">
        <v>253</v>
      </c>
      <c r="D310" s="62"/>
      <c r="E310" s="62"/>
      <c r="F310" s="62"/>
      <c r="G310" s="62"/>
      <c r="H310" s="62"/>
      <c r="I310" s="62"/>
      <c r="J310" s="62">
        <f>50</f>
        <v>50</v>
      </c>
      <c r="K310" s="62">
        <f>-50</f>
        <v>-50</v>
      </c>
      <c r="L310" s="62"/>
      <c r="M310" s="62"/>
      <c r="N310" s="62"/>
      <c r="O310" s="62"/>
      <c r="P310" s="62"/>
      <c r="Q310" s="62"/>
      <c r="R310" s="62">
        <f t="shared" si="70"/>
        <v>0</v>
      </c>
      <c r="S310" s="136"/>
      <c r="T310" s="62"/>
      <c r="U310" s="62"/>
      <c r="V310" s="62"/>
      <c r="W310" s="62"/>
      <c r="X310" s="63">
        <f t="shared" ref="X310:X325" si="107">SUM(T310:W310)</f>
        <v>0</v>
      </c>
      <c r="Y310" s="498">
        <f t="shared" ref="Y310:Y325" si="108">R310+X310</f>
        <v>0</v>
      </c>
      <c r="Z310" s="161"/>
      <c r="AA310" s="246"/>
    </row>
    <row r="311" spans="1:27" ht="24" customHeight="1" x14ac:dyDescent="0.2">
      <c r="A311" s="425">
        <v>136</v>
      </c>
      <c r="B311" s="415" t="s">
        <v>705</v>
      </c>
      <c r="C311" s="38" t="s">
        <v>706</v>
      </c>
      <c r="D311" s="62"/>
      <c r="E311" s="62"/>
      <c r="F311" s="62"/>
      <c r="G311" s="62"/>
      <c r="H311" s="62"/>
      <c r="I311" s="62"/>
      <c r="J311" s="62"/>
      <c r="K311" s="62">
        <f>-25817</f>
        <v>-25817</v>
      </c>
      <c r="L311" s="62"/>
      <c r="M311" s="62"/>
      <c r="N311" s="62"/>
      <c r="O311" s="62"/>
      <c r="P311" s="62"/>
      <c r="Q311" s="62"/>
      <c r="R311" s="62">
        <f t="shared" si="70"/>
        <v>-25817</v>
      </c>
      <c r="S311" s="136"/>
      <c r="T311" s="62"/>
      <c r="U311" s="62"/>
      <c r="V311" s="62"/>
      <c r="W311" s="62"/>
      <c r="X311" s="63">
        <f t="shared" si="107"/>
        <v>0</v>
      </c>
      <c r="Y311" s="498">
        <f t="shared" si="108"/>
        <v>-25817</v>
      </c>
      <c r="Z311" s="161">
        <f>25817</f>
        <v>25817</v>
      </c>
      <c r="AA311" s="246"/>
    </row>
    <row r="312" spans="1:27" ht="24" customHeight="1" x14ac:dyDescent="0.2">
      <c r="A312" s="425">
        <v>137</v>
      </c>
      <c r="B312" s="415" t="s">
        <v>713</v>
      </c>
      <c r="C312" s="38" t="s">
        <v>714</v>
      </c>
      <c r="D312" s="62"/>
      <c r="E312" s="62"/>
      <c r="F312" s="62"/>
      <c r="G312" s="62"/>
      <c r="H312" s="62"/>
      <c r="I312" s="62"/>
      <c r="J312" s="62"/>
      <c r="K312" s="62">
        <f>-559</f>
        <v>-559</v>
      </c>
      <c r="L312" s="62">
        <f>559</f>
        <v>559</v>
      </c>
      <c r="M312" s="62"/>
      <c r="N312" s="62"/>
      <c r="O312" s="62"/>
      <c r="P312" s="62"/>
      <c r="Q312" s="62"/>
      <c r="R312" s="62">
        <f t="shared" si="70"/>
        <v>0</v>
      </c>
      <c r="S312" s="136"/>
      <c r="T312" s="62"/>
      <c r="U312" s="62"/>
      <c r="V312" s="62"/>
      <c r="W312" s="62"/>
      <c r="X312" s="63">
        <f t="shared" si="107"/>
        <v>0</v>
      </c>
      <c r="Y312" s="498">
        <f t="shared" si="108"/>
        <v>0</v>
      </c>
      <c r="Z312" s="161"/>
      <c r="AA312" s="246"/>
    </row>
    <row r="313" spans="1:27" ht="24" customHeight="1" x14ac:dyDescent="0.2">
      <c r="A313" s="425">
        <v>138</v>
      </c>
      <c r="B313" s="313" t="s">
        <v>709</v>
      </c>
      <c r="C313" s="38" t="s">
        <v>710</v>
      </c>
      <c r="D313" s="62"/>
      <c r="E313" s="62"/>
      <c r="F313" s="62"/>
      <c r="G313" s="62"/>
      <c r="H313" s="62"/>
      <c r="I313" s="62"/>
      <c r="J313" s="62"/>
      <c r="K313" s="62">
        <f>2418.8</f>
        <v>2418.8000000000002</v>
      </c>
      <c r="L313" s="62"/>
      <c r="M313" s="62"/>
      <c r="N313" s="62"/>
      <c r="O313" s="62"/>
      <c r="P313" s="62"/>
      <c r="Q313" s="62"/>
      <c r="R313" s="62">
        <f t="shared" si="70"/>
        <v>2418.8000000000002</v>
      </c>
      <c r="S313" s="136"/>
      <c r="T313" s="62"/>
      <c r="U313" s="62"/>
      <c r="V313" s="62"/>
      <c r="W313" s="62"/>
      <c r="X313" s="63">
        <f t="shared" si="107"/>
        <v>0</v>
      </c>
      <c r="Y313" s="498">
        <f t="shared" si="108"/>
        <v>2418.8000000000002</v>
      </c>
      <c r="Z313" s="161"/>
      <c r="AA313" s="246"/>
    </row>
    <row r="314" spans="1:27" ht="24" customHeight="1" x14ac:dyDescent="0.2">
      <c r="A314" s="425">
        <v>139</v>
      </c>
      <c r="B314" s="415" t="s">
        <v>711</v>
      </c>
      <c r="C314" s="38" t="s">
        <v>712</v>
      </c>
      <c r="D314" s="62"/>
      <c r="E314" s="62"/>
      <c r="F314" s="62">
        <f>12000+3240+200</f>
        <v>15440</v>
      </c>
      <c r="G314" s="62"/>
      <c r="H314" s="62"/>
      <c r="I314" s="62"/>
      <c r="J314" s="62"/>
      <c r="K314" s="62">
        <f>-15440</f>
        <v>-15440</v>
      </c>
      <c r="L314" s="62"/>
      <c r="M314" s="62"/>
      <c r="N314" s="62"/>
      <c r="O314" s="62"/>
      <c r="P314" s="62"/>
      <c r="Q314" s="62"/>
      <c r="R314" s="62">
        <f t="shared" si="70"/>
        <v>0</v>
      </c>
      <c r="S314" s="136"/>
      <c r="T314" s="62"/>
      <c r="U314" s="62"/>
      <c r="V314" s="62"/>
      <c r="W314" s="62"/>
      <c r="X314" s="63">
        <f t="shared" si="107"/>
        <v>0</v>
      </c>
      <c r="Y314" s="498">
        <f t="shared" si="108"/>
        <v>0</v>
      </c>
      <c r="Z314" s="161"/>
      <c r="AA314" s="246"/>
    </row>
    <row r="315" spans="1:27" ht="24" customHeight="1" x14ac:dyDescent="0.2">
      <c r="A315" s="425">
        <v>140</v>
      </c>
      <c r="B315" s="415" t="s">
        <v>717</v>
      </c>
      <c r="C315" s="38" t="s">
        <v>718</v>
      </c>
      <c r="D315" s="62"/>
      <c r="E315" s="62"/>
      <c r="F315" s="62"/>
      <c r="G315" s="62"/>
      <c r="H315" s="62"/>
      <c r="I315" s="62"/>
      <c r="J315" s="62">
        <v>828</v>
      </c>
      <c r="K315" s="62">
        <v>-828</v>
      </c>
      <c r="L315" s="62"/>
      <c r="M315" s="62"/>
      <c r="N315" s="62"/>
      <c r="O315" s="62"/>
      <c r="P315" s="62"/>
      <c r="Q315" s="62"/>
      <c r="R315" s="62">
        <f t="shared" si="70"/>
        <v>0</v>
      </c>
      <c r="S315" s="136"/>
      <c r="T315" s="62"/>
      <c r="U315" s="62"/>
      <c r="V315" s="62"/>
      <c r="W315" s="62"/>
      <c r="X315" s="63">
        <f t="shared" ref="X315:X321" si="109">SUM(T315:W315)</f>
        <v>0</v>
      </c>
      <c r="Y315" s="498">
        <f t="shared" ref="Y315:Y321" si="110">R315+X315</f>
        <v>0</v>
      </c>
      <c r="Z315" s="161"/>
      <c r="AA315" s="246"/>
    </row>
    <row r="316" spans="1:27" ht="24" customHeight="1" x14ac:dyDescent="0.2">
      <c r="A316" s="425">
        <v>141</v>
      </c>
      <c r="B316" s="415" t="s">
        <v>719</v>
      </c>
      <c r="C316" s="38" t="s">
        <v>720</v>
      </c>
      <c r="D316" s="62"/>
      <c r="E316" s="62"/>
      <c r="F316" s="62">
        <f>2900+783</f>
        <v>3683</v>
      </c>
      <c r="G316" s="62"/>
      <c r="H316" s="62"/>
      <c r="I316" s="62"/>
      <c r="J316" s="62"/>
      <c r="K316" s="62">
        <v>-3683</v>
      </c>
      <c r="L316" s="62"/>
      <c r="M316" s="62"/>
      <c r="N316" s="62"/>
      <c r="O316" s="62"/>
      <c r="P316" s="62"/>
      <c r="Q316" s="62"/>
      <c r="R316" s="62">
        <f t="shared" si="70"/>
        <v>0</v>
      </c>
      <c r="S316" s="136"/>
      <c r="T316" s="62"/>
      <c r="U316" s="62"/>
      <c r="V316" s="62"/>
      <c r="W316" s="62"/>
      <c r="X316" s="63">
        <f t="shared" si="109"/>
        <v>0</v>
      </c>
      <c r="Y316" s="498">
        <f t="shared" si="110"/>
        <v>0</v>
      </c>
      <c r="Z316" s="161"/>
      <c r="AA316" s="246"/>
    </row>
    <row r="317" spans="1:27" ht="24" customHeight="1" x14ac:dyDescent="0.2">
      <c r="A317" s="425">
        <v>142</v>
      </c>
      <c r="B317" s="415" t="s">
        <v>721</v>
      </c>
      <c r="C317" s="38" t="s">
        <v>465</v>
      </c>
      <c r="D317" s="62"/>
      <c r="E317" s="62"/>
      <c r="F317" s="62"/>
      <c r="G317" s="62"/>
      <c r="H317" s="62"/>
      <c r="I317" s="62"/>
      <c r="J317" s="62">
        <v>97</v>
      </c>
      <c r="K317" s="62">
        <v>-97</v>
      </c>
      <c r="L317" s="62"/>
      <c r="M317" s="62"/>
      <c r="N317" s="62"/>
      <c r="O317" s="62"/>
      <c r="P317" s="62"/>
      <c r="Q317" s="62"/>
      <c r="R317" s="62">
        <f t="shared" si="70"/>
        <v>0</v>
      </c>
      <c r="S317" s="136"/>
      <c r="T317" s="62"/>
      <c r="U317" s="62"/>
      <c r="V317" s="62"/>
      <c r="W317" s="62"/>
      <c r="X317" s="63">
        <f t="shared" si="109"/>
        <v>0</v>
      </c>
      <c r="Y317" s="498">
        <f t="shared" si="110"/>
        <v>0</v>
      </c>
      <c r="Z317" s="161"/>
      <c r="AA317" s="246"/>
    </row>
    <row r="318" spans="1:27" ht="24" customHeight="1" x14ac:dyDescent="0.2">
      <c r="A318" s="425">
        <v>143</v>
      </c>
      <c r="B318" s="415" t="s">
        <v>715</v>
      </c>
      <c r="C318" s="38" t="s">
        <v>716</v>
      </c>
      <c r="D318" s="62"/>
      <c r="E318" s="62"/>
      <c r="F318" s="62">
        <v>-3593.2370000000001</v>
      </c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>
        <f t="shared" si="70"/>
        <v>-3593.2370000000001</v>
      </c>
      <c r="S318" s="136"/>
      <c r="T318" s="62"/>
      <c r="U318" s="62"/>
      <c r="V318" s="62"/>
      <c r="W318" s="62"/>
      <c r="X318" s="63">
        <f t="shared" ref="X318" si="111">SUM(T318:W318)</f>
        <v>0</v>
      </c>
      <c r="Y318" s="498">
        <f t="shared" ref="Y318" si="112">R318+X318</f>
        <v>-3593.2370000000001</v>
      </c>
      <c r="Z318" s="161">
        <f>3593.237</f>
        <v>3593.2370000000001</v>
      </c>
      <c r="AA318" s="246"/>
    </row>
    <row r="319" spans="1:27" ht="24" customHeight="1" x14ac:dyDescent="0.2">
      <c r="A319" s="425">
        <v>144</v>
      </c>
      <c r="B319" s="415" t="s">
        <v>722</v>
      </c>
      <c r="C319" s="38" t="s">
        <v>723</v>
      </c>
      <c r="D319" s="62"/>
      <c r="E319" s="62"/>
      <c r="F319" s="62">
        <f>2250+810</f>
        <v>3060</v>
      </c>
      <c r="G319" s="62"/>
      <c r="H319" s="62"/>
      <c r="I319" s="62"/>
      <c r="J319" s="62">
        <v>-3060</v>
      </c>
      <c r="K319" s="62"/>
      <c r="L319" s="62"/>
      <c r="M319" s="62"/>
      <c r="N319" s="62"/>
      <c r="O319" s="62"/>
      <c r="P319" s="62"/>
      <c r="Q319" s="62"/>
      <c r="R319" s="62">
        <f t="shared" si="70"/>
        <v>0</v>
      </c>
      <c r="S319" s="136"/>
      <c r="T319" s="62"/>
      <c r="U319" s="62"/>
      <c r="V319" s="62"/>
      <c r="W319" s="62"/>
      <c r="X319" s="63">
        <f t="shared" si="109"/>
        <v>0</v>
      </c>
      <c r="Y319" s="498">
        <f t="shared" si="110"/>
        <v>0</v>
      </c>
      <c r="Z319" s="161"/>
      <c r="AA319" s="246"/>
    </row>
    <row r="320" spans="1:27" ht="24" customHeight="1" x14ac:dyDescent="0.2">
      <c r="A320" s="425">
        <v>145</v>
      </c>
      <c r="B320" s="415" t="s">
        <v>724</v>
      </c>
      <c r="C320" s="38" t="s">
        <v>701</v>
      </c>
      <c r="D320" s="62"/>
      <c r="E320" s="62"/>
      <c r="F320" s="62">
        <f>67195+18144</f>
        <v>85339</v>
      </c>
      <c r="G320" s="62"/>
      <c r="H320" s="62"/>
      <c r="I320" s="62"/>
      <c r="J320" s="62"/>
      <c r="K320" s="62">
        <v>-85339</v>
      </c>
      <c r="L320" s="62"/>
      <c r="M320" s="62"/>
      <c r="N320" s="62"/>
      <c r="O320" s="62"/>
      <c r="P320" s="62"/>
      <c r="Q320" s="62"/>
      <c r="R320" s="62">
        <f t="shared" si="70"/>
        <v>0</v>
      </c>
      <c r="S320" s="136"/>
      <c r="T320" s="62"/>
      <c r="U320" s="62"/>
      <c r="V320" s="62"/>
      <c r="W320" s="62"/>
      <c r="X320" s="63">
        <f t="shared" si="109"/>
        <v>0</v>
      </c>
      <c r="Y320" s="498">
        <f t="shared" si="110"/>
        <v>0</v>
      </c>
      <c r="Z320" s="161"/>
      <c r="AA320" s="246"/>
    </row>
    <row r="321" spans="1:27" ht="24" customHeight="1" x14ac:dyDescent="0.2">
      <c r="A321" s="425">
        <v>146</v>
      </c>
      <c r="B321" s="415" t="s">
        <v>725</v>
      </c>
      <c r="C321" s="38" t="s">
        <v>726</v>
      </c>
      <c r="D321" s="62"/>
      <c r="E321" s="62"/>
      <c r="F321" s="62"/>
      <c r="G321" s="62"/>
      <c r="H321" s="62"/>
      <c r="I321" s="62"/>
      <c r="J321" s="62"/>
      <c r="K321" s="62">
        <v>-762</v>
      </c>
      <c r="L321" s="62"/>
      <c r="M321" s="62"/>
      <c r="N321" s="62"/>
      <c r="O321" s="62"/>
      <c r="P321" s="62"/>
      <c r="Q321" s="62"/>
      <c r="R321" s="62">
        <f t="shared" si="70"/>
        <v>-762</v>
      </c>
      <c r="S321" s="136"/>
      <c r="T321" s="62"/>
      <c r="U321" s="62"/>
      <c r="V321" s="62"/>
      <c r="W321" s="62"/>
      <c r="X321" s="63">
        <f t="shared" si="109"/>
        <v>0</v>
      </c>
      <c r="Y321" s="498">
        <f t="shared" si="110"/>
        <v>-762</v>
      </c>
      <c r="Z321" s="161">
        <v>762</v>
      </c>
      <c r="AA321" s="246"/>
    </row>
    <row r="322" spans="1:27" ht="24" customHeight="1" x14ac:dyDescent="0.2">
      <c r="A322" s="425">
        <v>147</v>
      </c>
      <c r="B322" s="415" t="s">
        <v>728</v>
      </c>
      <c r="C322" s="38" t="s">
        <v>729</v>
      </c>
      <c r="D322" s="62">
        <v>240</v>
      </c>
      <c r="E322" s="62">
        <v>42</v>
      </c>
      <c r="F322" s="62"/>
      <c r="G322" s="62"/>
      <c r="H322" s="62"/>
      <c r="I322" s="62"/>
      <c r="J322" s="62"/>
      <c r="K322" s="62">
        <v>-282</v>
      </c>
      <c r="L322" s="62"/>
      <c r="M322" s="62"/>
      <c r="N322" s="62"/>
      <c r="O322" s="62"/>
      <c r="P322" s="62"/>
      <c r="Q322" s="62"/>
      <c r="R322" s="62">
        <f t="shared" si="70"/>
        <v>0</v>
      </c>
      <c r="S322" s="136"/>
      <c r="T322" s="62"/>
      <c r="U322" s="62"/>
      <c r="V322" s="62"/>
      <c r="W322" s="62"/>
      <c r="X322" s="63">
        <f t="shared" si="107"/>
        <v>0</v>
      </c>
      <c r="Y322" s="498">
        <f t="shared" si="108"/>
        <v>0</v>
      </c>
      <c r="Z322" s="161"/>
      <c r="AA322" s="246"/>
    </row>
    <row r="323" spans="1:27" ht="24" customHeight="1" x14ac:dyDescent="0.2">
      <c r="A323" s="425">
        <v>148</v>
      </c>
      <c r="B323" s="415" t="s">
        <v>730</v>
      </c>
      <c r="C323" s="38" t="s">
        <v>731</v>
      </c>
      <c r="D323" s="62"/>
      <c r="E323" s="62"/>
      <c r="F323" s="62"/>
      <c r="G323" s="62"/>
      <c r="H323" s="62"/>
      <c r="I323" s="62"/>
      <c r="J323" s="62"/>
      <c r="K323" s="62">
        <v>-17556</v>
      </c>
      <c r="L323" s="62"/>
      <c r="M323" s="62"/>
      <c r="N323" s="62"/>
      <c r="O323" s="62"/>
      <c r="P323" s="62"/>
      <c r="Q323" s="62"/>
      <c r="R323" s="62">
        <f t="shared" si="70"/>
        <v>-17556</v>
      </c>
      <c r="S323" s="136"/>
      <c r="T323" s="62"/>
      <c r="U323" s="62"/>
      <c r="V323" s="62"/>
      <c r="W323" s="62"/>
      <c r="X323" s="63">
        <f t="shared" si="107"/>
        <v>0</v>
      </c>
      <c r="Y323" s="498">
        <f t="shared" si="108"/>
        <v>-17556</v>
      </c>
      <c r="Z323" s="161">
        <v>17556</v>
      </c>
      <c r="AA323" s="246"/>
    </row>
    <row r="324" spans="1:27" ht="24" customHeight="1" x14ac:dyDescent="0.2">
      <c r="A324" s="425">
        <v>149</v>
      </c>
      <c r="B324" s="313" t="s">
        <v>733</v>
      </c>
      <c r="C324" s="38" t="s">
        <v>734</v>
      </c>
      <c r="D324" s="62"/>
      <c r="E324" s="62"/>
      <c r="F324" s="62">
        <f>39+11</f>
        <v>50</v>
      </c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>
        <f t="shared" si="70"/>
        <v>50</v>
      </c>
      <c r="S324" s="136"/>
      <c r="T324" s="62"/>
      <c r="U324" s="62"/>
      <c r="V324" s="62"/>
      <c r="W324" s="62"/>
      <c r="X324" s="63">
        <f t="shared" si="107"/>
        <v>0</v>
      </c>
      <c r="Y324" s="498">
        <f t="shared" si="108"/>
        <v>50</v>
      </c>
      <c r="Z324" s="161"/>
      <c r="AA324" s="246"/>
    </row>
    <row r="325" spans="1:27" ht="24" customHeight="1" x14ac:dyDescent="0.2">
      <c r="A325" s="425">
        <v>150</v>
      </c>
      <c r="B325" s="313" t="s">
        <v>735</v>
      </c>
      <c r="C325" s="38" t="s">
        <v>736</v>
      </c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>
        <f t="shared" si="70"/>
        <v>0</v>
      </c>
      <c r="S325" s="136"/>
      <c r="T325" s="62"/>
      <c r="U325" s="62"/>
      <c r="V325" s="62"/>
      <c r="W325" s="62"/>
      <c r="X325" s="63">
        <f t="shared" si="107"/>
        <v>0</v>
      </c>
      <c r="Y325" s="498">
        <f t="shared" si="108"/>
        <v>0</v>
      </c>
      <c r="Z325" s="161">
        <v>47.118000000000002</v>
      </c>
      <c r="AA325" s="246"/>
    </row>
    <row r="326" spans="1:27" ht="33.75" customHeight="1" x14ac:dyDescent="0.2">
      <c r="A326" s="425">
        <v>151</v>
      </c>
      <c r="B326" s="310" t="s">
        <v>735</v>
      </c>
      <c r="C326" s="26" t="s">
        <v>741</v>
      </c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>
        <f t="shared" si="70"/>
        <v>0</v>
      </c>
      <c r="S326" s="136"/>
      <c r="T326" s="62"/>
      <c r="U326" s="62"/>
      <c r="V326" s="62"/>
      <c r="W326" s="62"/>
      <c r="X326" s="63">
        <f t="shared" si="67"/>
        <v>0</v>
      </c>
      <c r="Y326" s="498">
        <f t="shared" si="71"/>
        <v>0</v>
      </c>
      <c r="Z326" s="161">
        <v>481.517</v>
      </c>
      <c r="AA326" s="246"/>
    </row>
    <row r="327" spans="1:27" ht="33.75" customHeight="1" x14ac:dyDescent="0.2">
      <c r="A327" s="425">
        <v>152</v>
      </c>
      <c r="B327" s="438" t="s">
        <v>735</v>
      </c>
      <c r="C327" s="38" t="s">
        <v>742</v>
      </c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>
        <f t="shared" si="70"/>
        <v>0</v>
      </c>
      <c r="S327" s="136"/>
      <c r="T327" s="62"/>
      <c r="U327" s="62"/>
      <c r="V327" s="62"/>
      <c r="W327" s="62"/>
      <c r="X327" s="63">
        <f t="shared" ref="X327" si="113">SUM(T327:W327)</f>
        <v>0</v>
      </c>
      <c r="Y327" s="498">
        <f t="shared" ref="Y327" si="114">R327+X327</f>
        <v>0</v>
      </c>
      <c r="Z327" s="161">
        <v>1146.922</v>
      </c>
      <c r="AA327" s="246"/>
    </row>
    <row r="328" spans="1:27" ht="33.75" customHeight="1" x14ac:dyDescent="0.2">
      <c r="A328" s="425">
        <v>153</v>
      </c>
      <c r="B328" s="438" t="s">
        <v>743</v>
      </c>
      <c r="C328" s="38" t="s">
        <v>696</v>
      </c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>
        <f t="shared" si="70"/>
        <v>0</v>
      </c>
      <c r="S328" s="136"/>
      <c r="T328" s="62"/>
      <c r="U328" s="62"/>
      <c r="V328" s="62"/>
      <c r="W328" s="62"/>
      <c r="X328" s="63">
        <f t="shared" ref="X328" si="115">SUM(T328:W328)</f>
        <v>0</v>
      </c>
      <c r="Y328" s="498">
        <f t="shared" ref="Y328" si="116">R328+X328</f>
        <v>0</v>
      </c>
      <c r="Z328" s="161">
        <v>8085.9809999999998</v>
      </c>
      <c r="AA328" s="246"/>
    </row>
    <row r="329" spans="1:27" ht="39" customHeight="1" x14ac:dyDescent="0.2">
      <c r="A329" s="425">
        <v>154</v>
      </c>
      <c r="B329" s="415" t="s">
        <v>738</v>
      </c>
      <c r="C329" s="38" t="s">
        <v>739</v>
      </c>
      <c r="D329" s="62"/>
      <c r="E329" s="62"/>
      <c r="F329" s="62"/>
      <c r="G329" s="62"/>
      <c r="H329" s="62"/>
      <c r="I329" s="62"/>
      <c r="J329" s="62"/>
      <c r="K329" s="62">
        <v>2922</v>
      </c>
      <c r="L329" s="62"/>
      <c r="M329" s="62"/>
      <c r="N329" s="62"/>
      <c r="O329" s="62"/>
      <c r="P329" s="62"/>
      <c r="Q329" s="62"/>
      <c r="R329" s="62">
        <f t="shared" si="70"/>
        <v>2922</v>
      </c>
      <c r="S329" s="136"/>
      <c r="T329" s="62"/>
      <c r="U329" s="62"/>
      <c r="V329" s="62"/>
      <c r="W329" s="62"/>
      <c r="X329" s="63">
        <f t="shared" si="67"/>
        <v>0</v>
      </c>
      <c r="Y329" s="498">
        <f t="shared" si="71"/>
        <v>2922</v>
      </c>
      <c r="Z329" s="161">
        <v>-2922</v>
      </c>
      <c r="AA329" s="246"/>
    </row>
    <row r="330" spans="1:27" ht="39" customHeight="1" x14ac:dyDescent="0.2">
      <c r="A330" s="425">
        <v>155</v>
      </c>
      <c r="B330" s="415" t="s">
        <v>745</v>
      </c>
      <c r="C330" s="26" t="s">
        <v>746</v>
      </c>
      <c r="D330" s="62"/>
      <c r="E330" s="62"/>
      <c r="F330" s="62"/>
      <c r="G330" s="62"/>
      <c r="H330" s="62"/>
      <c r="I330" s="62"/>
      <c r="J330" s="62"/>
      <c r="K330" s="62"/>
      <c r="L330" s="62">
        <v>-7620</v>
      </c>
      <c r="M330" s="62">
        <v>7620</v>
      </c>
      <c r="N330" s="62"/>
      <c r="O330" s="62"/>
      <c r="P330" s="62"/>
      <c r="Q330" s="62"/>
      <c r="R330" s="62">
        <f t="shared" si="70"/>
        <v>0</v>
      </c>
      <c r="S330" s="136"/>
      <c r="T330" s="62"/>
      <c r="U330" s="62"/>
      <c r="V330" s="62"/>
      <c r="W330" s="62"/>
      <c r="X330" s="63">
        <f t="shared" si="67"/>
        <v>0</v>
      </c>
      <c r="Y330" s="119">
        <f t="shared" si="71"/>
        <v>0</v>
      </c>
      <c r="Z330" s="161"/>
      <c r="AA330" s="246"/>
    </row>
    <row r="331" spans="1:27" ht="39" customHeight="1" x14ac:dyDescent="0.2">
      <c r="A331" s="425">
        <v>156</v>
      </c>
      <c r="B331" s="415" t="s">
        <v>749</v>
      </c>
      <c r="C331" s="408" t="s">
        <v>748</v>
      </c>
      <c r="D331" s="62"/>
      <c r="E331" s="62"/>
      <c r="F331" s="62">
        <v>7540</v>
      </c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>
        <f t="shared" si="70"/>
        <v>7540</v>
      </c>
      <c r="S331" s="136"/>
      <c r="T331" s="62"/>
      <c r="U331" s="62"/>
      <c r="V331" s="62"/>
      <c r="W331" s="62"/>
      <c r="X331" s="63">
        <f t="shared" si="67"/>
        <v>0</v>
      </c>
      <c r="Y331" s="119">
        <f t="shared" si="71"/>
        <v>7540</v>
      </c>
      <c r="Z331" s="161"/>
      <c r="AA331" s="246"/>
    </row>
    <row r="332" spans="1:27" ht="24" customHeight="1" x14ac:dyDescent="0.2">
      <c r="A332" s="425">
        <v>157</v>
      </c>
      <c r="B332" s="415" t="s">
        <v>750</v>
      </c>
      <c r="C332" s="38" t="s">
        <v>221</v>
      </c>
      <c r="D332" s="62"/>
      <c r="E332" s="62"/>
      <c r="F332" s="62">
        <v>216</v>
      </c>
      <c r="G332" s="62"/>
      <c r="H332" s="62"/>
      <c r="I332" s="62"/>
      <c r="J332" s="62"/>
      <c r="K332" s="62">
        <v>800</v>
      </c>
      <c r="L332" s="62"/>
      <c r="M332" s="62"/>
      <c r="N332" s="62"/>
      <c r="O332" s="62"/>
      <c r="P332" s="62"/>
      <c r="Q332" s="62"/>
      <c r="R332" s="62">
        <f t="shared" si="70"/>
        <v>1016</v>
      </c>
      <c r="S332" s="136"/>
      <c r="T332" s="62"/>
      <c r="U332" s="62"/>
      <c r="V332" s="62"/>
      <c r="W332" s="62"/>
      <c r="X332" s="63">
        <f t="shared" ref="X332:X334" si="117">SUM(T332:W332)</f>
        <v>0</v>
      </c>
      <c r="Y332" s="498">
        <f t="shared" ref="Y332:Y334" si="118">R332+X332</f>
        <v>1016</v>
      </c>
      <c r="Z332" s="161"/>
      <c r="AA332" s="246"/>
    </row>
    <row r="333" spans="1:27" ht="33" x14ac:dyDescent="0.2">
      <c r="A333" s="425">
        <v>158</v>
      </c>
      <c r="B333" s="313" t="s">
        <v>751</v>
      </c>
      <c r="C333" s="408" t="s">
        <v>752</v>
      </c>
      <c r="D333" s="62"/>
      <c r="E333" s="62"/>
      <c r="F333" s="62"/>
      <c r="G333" s="62"/>
      <c r="H333" s="62"/>
      <c r="I333" s="62"/>
      <c r="J333" s="62"/>
      <c r="K333" s="62"/>
      <c r="L333" s="62"/>
      <c r="M333" s="62">
        <v>96</v>
      </c>
      <c r="N333" s="62"/>
      <c r="O333" s="62"/>
      <c r="P333" s="62"/>
      <c r="Q333" s="62"/>
      <c r="R333" s="62">
        <f t="shared" si="70"/>
        <v>96</v>
      </c>
      <c r="S333" s="136"/>
      <c r="T333" s="62"/>
      <c r="U333" s="62"/>
      <c r="V333" s="62"/>
      <c r="W333" s="62"/>
      <c r="X333" s="63">
        <f t="shared" si="117"/>
        <v>0</v>
      </c>
      <c r="Y333" s="119">
        <f t="shared" si="118"/>
        <v>96</v>
      </c>
      <c r="Z333" s="161"/>
      <c r="AA333" s="246"/>
    </row>
    <row r="334" spans="1:27" ht="39" customHeight="1" x14ac:dyDescent="0.2">
      <c r="A334" s="425">
        <v>159</v>
      </c>
      <c r="B334" s="415" t="s">
        <v>753</v>
      </c>
      <c r="C334" s="408" t="s">
        <v>754</v>
      </c>
      <c r="D334" s="62"/>
      <c r="E334" s="62"/>
      <c r="F334" s="62"/>
      <c r="G334" s="62"/>
      <c r="H334" s="62"/>
      <c r="I334" s="62">
        <v>-426.87400000000002</v>
      </c>
      <c r="J334" s="62"/>
      <c r="K334" s="62"/>
      <c r="L334" s="62"/>
      <c r="M334" s="62"/>
      <c r="N334" s="62"/>
      <c r="O334" s="62"/>
      <c r="P334" s="62"/>
      <c r="Q334" s="62"/>
      <c r="R334" s="62">
        <f t="shared" si="70"/>
        <v>-426.87400000000002</v>
      </c>
      <c r="S334" s="136"/>
      <c r="T334" s="62"/>
      <c r="U334" s="62"/>
      <c r="V334" s="62"/>
      <c r="W334" s="62"/>
      <c r="X334" s="63">
        <f t="shared" si="117"/>
        <v>0</v>
      </c>
      <c r="Y334" s="119">
        <f t="shared" si="118"/>
        <v>-426.87400000000002</v>
      </c>
      <c r="Z334" s="161">
        <v>426.87400000000002</v>
      </c>
      <c r="AA334" s="246"/>
    </row>
    <row r="335" spans="1:27" ht="39" customHeight="1" x14ac:dyDescent="0.2">
      <c r="A335" s="425">
        <v>160</v>
      </c>
      <c r="B335" s="415" t="s">
        <v>755</v>
      </c>
      <c r="C335" s="408" t="s">
        <v>754</v>
      </c>
      <c r="D335" s="62"/>
      <c r="E335" s="62"/>
      <c r="F335" s="62">
        <v>-1931</v>
      </c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>
        <f t="shared" si="70"/>
        <v>-1931</v>
      </c>
      <c r="S335" s="136"/>
      <c r="T335" s="62"/>
      <c r="U335" s="62"/>
      <c r="V335" s="62"/>
      <c r="W335" s="62"/>
      <c r="X335" s="63">
        <f t="shared" ref="X335:X336" si="119">SUM(T335:W335)</f>
        <v>0</v>
      </c>
      <c r="Y335" s="119">
        <f t="shared" ref="Y335:Y336" si="120">R335+X335</f>
        <v>-1931</v>
      </c>
      <c r="Z335" s="161">
        <v>1931</v>
      </c>
      <c r="AA335" s="246"/>
    </row>
    <row r="336" spans="1:27" ht="33" x14ac:dyDescent="0.2">
      <c r="A336" s="425">
        <v>161</v>
      </c>
      <c r="B336" s="415" t="s">
        <v>756</v>
      </c>
      <c r="C336" s="408" t="s">
        <v>761</v>
      </c>
      <c r="D336" s="62"/>
      <c r="E336" s="62"/>
      <c r="F336" s="62">
        <v>-736.58199999999999</v>
      </c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>
        <f t="shared" si="70"/>
        <v>-736.58199999999999</v>
      </c>
      <c r="S336" s="136"/>
      <c r="T336" s="62"/>
      <c r="U336" s="62"/>
      <c r="V336" s="62"/>
      <c r="W336" s="62"/>
      <c r="X336" s="63">
        <f t="shared" si="119"/>
        <v>0</v>
      </c>
      <c r="Y336" s="119">
        <f t="shared" si="120"/>
        <v>-736.58199999999999</v>
      </c>
      <c r="Z336" s="161">
        <v>736.58199999999999</v>
      </c>
      <c r="AA336" s="246"/>
    </row>
    <row r="337" spans="1:28" ht="24" customHeight="1" x14ac:dyDescent="0.2">
      <c r="A337" s="425">
        <v>162</v>
      </c>
      <c r="B337" s="415" t="s">
        <v>757</v>
      </c>
      <c r="C337" s="38" t="s">
        <v>431</v>
      </c>
      <c r="D337" s="62"/>
      <c r="E337" s="62"/>
      <c r="F337" s="62">
        <v>114</v>
      </c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>
        <f t="shared" si="70"/>
        <v>114</v>
      </c>
      <c r="S337" s="136"/>
      <c r="T337" s="62"/>
      <c r="U337" s="62"/>
      <c r="V337" s="62"/>
      <c r="W337" s="62"/>
      <c r="X337" s="63">
        <f t="shared" ref="X337:X338" si="121">SUM(T337:W337)</f>
        <v>0</v>
      </c>
      <c r="Y337" s="498">
        <f t="shared" ref="Y337:Y338" si="122">R337+X337</f>
        <v>114</v>
      </c>
      <c r="Z337" s="161"/>
      <c r="AA337" s="246"/>
    </row>
    <row r="338" spans="1:28" ht="33" x14ac:dyDescent="0.2">
      <c r="A338" s="425">
        <v>163</v>
      </c>
      <c r="B338" s="440" t="s">
        <v>758</v>
      </c>
      <c r="C338" s="106" t="s">
        <v>759</v>
      </c>
      <c r="D338" s="62"/>
      <c r="E338" s="62"/>
      <c r="F338" s="62">
        <v>3175</v>
      </c>
      <c r="G338" s="62"/>
      <c r="H338" s="62"/>
      <c r="I338" s="62"/>
      <c r="J338" s="62"/>
      <c r="K338" s="62">
        <v>-3175</v>
      </c>
      <c r="L338" s="62"/>
      <c r="M338" s="62"/>
      <c r="N338" s="62"/>
      <c r="O338" s="62"/>
      <c r="P338" s="62"/>
      <c r="Q338" s="62"/>
      <c r="R338" s="62">
        <f t="shared" si="70"/>
        <v>0</v>
      </c>
      <c r="S338" s="136"/>
      <c r="T338" s="62"/>
      <c r="U338" s="62"/>
      <c r="V338" s="62"/>
      <c r="W338" s="62"/>
      <c r="X338" s="63">
        <f t="shared" si="121"/>
        <v>0</v>
      </c>
      <c r="Y338" s="119">
        <f t="shared" si="122"/>
        <v>0</v>
      </c>
      <c r="Z338" s="161"/>
      <c r="AA338" s="246"/>
    </row>
    <row r="339" spans="1:28" ht="33" x14ac:dyDescent="0.2">
      <c r="A339" s="425">
        <v>164</v>
      </c>
      <c r="B339" s="441" t="s">
        <v>760</v>
      </c>
      <c r="C339" s="106" t="s">
        <v>748</v>
      </c>
      <c r="D339" s="62"/>
      <c r="E339" s="62"/>
      <c r="F339" s="62">
        <v>7210</v>
      </c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>
        <f t="shared" si="70"/>
        <v>7210</v>
      </c>
      <c r="S339" s="136"/>
      <c r="T339" s="62"/>
      <c r="U339" s="62"/>
      <c r="V339" s="62"/>
      <c r="W339" s="62"/>
      <c r="X339" s="63">
        <f t="shared" si="67"/>
        <v>0</v>
      </c>
      <c r="Y339" s="498">
        <f t="shared" si="71"/>
        <v>7210</v>
      </c>
      <c r="Z339" s="161"/>
      <c r="AA339" s="246"/>
    </row>
    <row r="340" spans="1:28" ht="33" x14ac:dyDescent="0.2">
      <c r="A340" s="425">
        <v>165</v>
      </c>
      <c r="B340" s="313" t="s">
        <v>762</v>
      </c>
      <c r="C340" s="38" t="s">
        <v>763</v>
      </c>
      <c r="D340" s="62"/>
      <c r="E340" s="62"/>
      <c r="F340" s="62">
        <v>1541</v>
      </c>
      <c r="G340" s="62"/>
      <c r="H340" s="62"/>
      <c r="I340" s="62"/>
      <c r="J340" s="62"/>
      <c r="K340" s="62">
        <v>-1541</v>
      </c>
      <c r="L340" s="62"/>
      <c r="M340" s="62"/>
      <c r="N340" s="62"/>
      <c r="O340" s="62"/>
      <c r="P340" s="62"/>
      <c r="Q340" s="62"/>
      <c r="R340" s="62">
        <f t="shared" si="70"/>
        <v>0</v>
      </c>
      <c r="S340" s="136"/>
      <c r="T340" s="62"/>
      <c r="U340" s="62"/>
      <c r="V340" s="62"/>
      <c r="W340" s="62"/>
      <c r="X340" s="63">
        <f t="shared" ref="X340:X341" si="123">SUM(T340:W340)</f>
        <v>0</v>
      </c>
      <c r="Y340" s="498">
        <f t="shared" ref="Y340:Y341" si="124">R340+X340</f>
        <v>0</v>
      </c>
      <c r="Z340" s="161"/>
      <c r="AA340" s="246"/>
    </row>
    <row r="341" spans="1:28" ht="33" x14ac:dyDescent="0.2">
      <c r="A341" s="425">
        <v>166</v>
      </c>
      <c r="B341" s="313" t="s">
        <v>764</v>
      </c>
      <c r="C341" s="408" t="s">
        <v>754</v>
      </c>
      <c r="D341" s="62"/>
      <c r="E341" s="62"/>
      <c r="F341" s="62">
        <v>-215.899</v>
      </c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>
        <f t="shared" si="70"/>
        <v>-215.899</v>
      </c>
      <c r="S341" s="136"/>
      <c r="T341" s="62"/>
      <c r="U341" s="62"/>
      <c r="V341" s="62"/>
      <c r="W341" s="62"/>
      <c r="X341" s="63">
        <f t="shared" si="123"/>
        <v>0</v>
      </c>
      <c r="Y341" s="498">
        <f t="shared" si="124"/>
        <v>-215.899</v>
      </c>
      <c r="Z341" s="161">
        <v>215.899</v>
      </c>
      <c r="AA341" s="246"/>
    </row>
    <row r="342" spans="1:28" x14ac:dyDescent="0.2">
      <c r="A342" s="425"/>
      <c r="B342" s="313"/>
      <c r="C342" s="10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42"/>
      <c r="Y342" s="186"/>
      <c r="Z342" s="275"/>
      <c r="AA342" s="246"/>
    </row>
    <row r="343" spans="1:28" ht="24" hidden="1" customHeight="1" x14ac:dyDescent="0.2">
      <c r="A343" s="425"/>
      <c r="B343" s="313"/>
      <c r="C343" s="38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>
        <f t="shared" si="70"/>
        <v>0</v>
      </c>
      <c r="S343" s="136"/>
      <c r="T343" s="136"/>
      <c r="U343" s="136"/>
      <c r="V343" s="136"/>
      <c r="W343" s="136"/>
      <c r="X343" s="142">
        <f t="shared" ref="X343" si="125">SUM(T343:W343)</f>
        <v>0</v>
      </c>
      <c r="Y343" s="186">
        <f t="shared" ref="Y343" si="126">R343+X343</f>
        <v>0</v>
      </c>
      <c r="Z343" s="275"/>
      <c r="AA343" s="246"/>
    </row>
    <row r="344" spans="1:28" ht="24" hidden="1" customHeight="1" x14ac:dyDescent="0.2">
      <c r="A344" s="70"/>
      <c r="B344" s="28"/>
      <c r="C344" s="38" t="s">
        <v>43</v>
      </c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>
        <f t="shared" si="70"/>
        <v>0</v>
      </c>
      <c r="S344" s="136"/>
      <c r="T344" s="136"/>
      <c r="U344" s="136"/>
      <c r="V344" s="136"/>
      <c r="W344" s="136"/>
      <c r="X344" s="142">
        <f t="shared" ref="X344:X350" si="127">SUM(T344:W344)</f>
        <v>0</v>
      </c>
      <c r="Y344" s="186">
        <f t="shared" ref="Y344:Y350" si="128">R344+X344</f>
        <v>0</v>
      </c>
      <c r="Z344" s="275"/>
      <c r="AA344" s="246"/>
    </row>
    <row r="345" spans="1:28" ht="17.25" customHeight="1" thickBot="1" x14ac:dyDescent="0.25">
      <c r="A345" s="70"/>
      <c r="B345" s="86"/>
      <c r="C345" s="87"/>
      <c r="D345" s="88"/>
      <c r="E345" s="88"/>
      <c r="F345" s="62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9"/>
      <c r="Y345" s="249"/>
      <c r="Z345" s="331"/>
      <c r="AA345" s="238"/>
    </row>
    <row r="346" spans="1:28" ht="24" customHeight="1" thickTop="1" thickBot="1" x14ac:dyDescent="0.25">
      <c r="A346" s="39"/>
      <c r="B346" s="91" t="s">
        <v>127</v>
      </c>
      <c r="C346" s="40" t="s">
        <v>19</v>
      </c>
      <c r="D346" s="502">
        <f t="shared" ref="D346:Q346" si="129">SUM(D176:D345)</f>
        <v>-15640.235999999999</v>
      </c>
      <c r="E346" s="502">
        <f t="shared" si="129"/>
        <v>-3209.9859999999999</v>
      </c>
      <c r="F346" s="502">
        <f t="shared" si="129"/>
        <v>522579.80399999995</v>
      </c>
      <c r="G346" s="502">
        <f t="shared" si="129"/>
        <v>0</v>
      </c>
      <c r="H346" s="502">
        <f t="shared" si="129"/>
        <v>0</v>
      </c>
      <c r="I346" s="502">
        <f t="shared" si="129"/>
        <v>10273.126</v>
      </c>
      <c r="J346" s="502">
        <f t="shared" si="129"/>
        <v>-20116</v>
      </c>
      <c r="K346" s="502">
        <f t="shared" si="129"/>
        <v>-867458.21099999989</v>
      </c>
      <c r="L346" s="502">
        <f t="shared" si="129"/>
        <v>380929</v>
      </c>
      <c r="M346" s="502">
        <f t="shared" si="129"/>
        <v>16010</v>
      </c>
      <c r="N346" s="502">
        <f t="shared" si="129"/>
        <v>0</v>
      </c>
      <c r="O346" s="502">
        <f t="shared" si="129"/>
        <v>0</v>
      </c>
      <c r="P346" s="502">
        <f t="shared" si="129"/>
        <v>0</v>
      </c>
      <c r="Q346" s="502">
        <f t="shared" si="129"/>
        <v>4113</v>
      </c>
      <c r="R346" s="502">
        <f>SUM(D346:Q346)</f>
        <v>27480.497000000032</v>
      </c>
      <c r="S346" s="315"/>
      <c r="T346" s="502">
        <f>SUM(T176:T345)</f>
        <v>0</v>
      </c>
      <c r="U346" s="502">
        <f>SUM(U176:U345)</f>
        <v>0</v>
      </c>
      <c r="V346" s="502">
        <f>SUM(V176:V345)</f>
        <v>0</v>
      </c>
      <c r="W346" s="502">
        <f>SUM(W176:W345)</f>
        <v>0</v>
      </c>
      <c r="X346" s="503">
        <f t="shared" si="127"/>
        <v>0</v>
      </c>
      <c r="Y346" s="503">
        <f t="shared" si="128"/>
        <v>27480.497000000032</v>
      </c>
      <c r="Z346" s="504">
        <f>SUM(Z176:Z345)</f>
        <v>196568.174</v>
      </c>
      <c r="AA346" s="247"/>
    </row>
    <row r="347" spans="1:28" ht="16.5" hidden="1" customHeight="1" thickTop="1" x14ac:dyDescent="0.2">
      <c r="A347" s="70"/>
      <c r="B347" s="28"/>
      <c r="C347" s="38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>
        <f t="shared" si="70"/>
        <v>0</v>
      </c>
      <c r="S347" s="136"/>
      <c r="T347" s="136"/>
      <c r="U347" s="136"/>
      <c r="V347" s="136"/>
      <c r="W347" s="136"/>
      <c r="X347" s="142">
        <f t="shared" si="127"/>
        <v>0</v>
      </c>
      <c r="Y347" s="186">
        <f t="shared" si="128"/>
        <v>0</v>
      </c>
      <c r="Z347" s="275"/>
      <c r="AA347" s="246"/>
    </row>
    <row r="348" spans="1:28" ht="17.25" hidden="1" customHeight="1" thickBot="1" x14ac:dyDescent="0.25">
      <c r="A348" s="70"/>
      <c r="B348" s="28"/>
      <c r="C348" s="38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>
        <f t="shared" ref="R348:R350" si="130">SUM(D348:Q348)</f>
        <v>0</v>
      </c>
      <c r="S348" s="136"/>
      <c r="T348" s="136"/>
      <c r="U348" s="136"/>
      <c r="V348" s="136"/>
      <c r="W348" s="136"/>
      <c r="X348" s="142">
        <f t="shared" si="127"/>
        <v>0</v>
      </c>
      <c r="Y348" s="186">
        <f t="shared" si="128"/>
        <v>0</v>
      </c>
      <c r="Z348" s="275"/>
      <c r="AA348" s="246"/>
    </row>
    <row r="349" spans="1:28" ht="18.75" hidden="1" customHeight="1" thickTop="1" thickBot="1" x14ac:dyDescent="0.25">
      <c r="A349" s="90"/>
      <c r="B349" s="92" t="s">
        <v>39</v>
      </c>
      <c r="C349" s="40"/>
      <c r="D349" s="143">
        <f t="shared" ref="D349:Q349" si="131">SUM(D347:D347)</f>
        <v>0</v>
      </c>
      <c r="E349" s="143">
        <f t="shared" si="131"/>
        <v>0</v>
      </c>
      <c r="F349" s="143">
        <f t="shared" si="131"/>
        <v>0</v>
      </c>
      <c r="G349" s="143">
        <f t="shared" si="131"/>
        <v>0</v>
      </c>
      <c r="H349" s="143">
        <f t="shared" si="131"/>
        <v>0</v>
      </c>
      <c r="I349" s="143">
        <f t="shared" si="131"/>
        <v>0</v>
      </c>
      <c r="J349" s="143">
        <f t="shared" si="131"/>
        <v>0</v>
      </c>
      <c r="K349" s="143">
        <f t="shared" si="131"/>
        <v>0</v>
      </c>
      <c r="L349" s="143">
        <f t="shared" si="131"/>
        <v>0</v>
      </c>
      <c r="M349" s="143">
        <f t="shared" si="131"/>
        <v>0</v>
      </c>
      <c r="N349" s="143">
        <f t="shared" si="131"/>
        <v>0</v>
      </c>
      <c r="O349" s="143">
        <f t="shared" si="131"/>
        <v>0</v>
      </c>
      <c r="P349" s="143">
        <f t="shared" si="131"/>
        <v>0</v>
      </c>
      <c r="Q349" s="143">
        <f t="shared" si="131"/>
        <v>0</v>
      </c>
      <c r="R349" s="143">
        <f t="shared" si="130"/>
        <v>0</v>
      </c>
      <c r="S349" s="143"/>
      <c r="T349" s="143">
        <f>SUM(T347:T347)</f>
        <v>0</v>
      </c>
      <c r="U349" s="143">
        <f>SUM(U347:U347)</f>
        <v>0</v>
      </c>
      <c r="V349" s="143">
        <f>SUM(V347:V347)</f>
        <v>0</v>
      </c>
      <c r="W349" s="143">
        <f>SUM(W347:W347)</f>
        <v>0</v>
      </c>
      <c r="X349" s="144">
        <f t="shared" si="127"/>
        <v>0</v>
      </c>
      <c r="Y349" s="144">
        <f t="shared" si="128"/>
        <v>0</v>
      </c>
      <c r="Z349" s="392">
        <f>SUM(Z347:Z347)</f>
        <v>0</v>
      </c>
      <c r="AA349" s="247"/>
    </row>
    <row r="350" spans="1:28" ht="24" customHeight="1" thickTop="1" thickBot="1" x14ac:dyDescent="0.25">
      <c r="A350" s="39"/>
      <c r="B350" s="91" t="s">
        <v>127</v>
      </c>
      <c r="C350" s="40" t="s">
        <v>103</v>
      </c>
      <c r="D350" s="204">
        <f t="shared" ref="D350:Q350" si="132">D174+D346+D349</f>
        <v>140779.764</v>
      </c>
      <c r="E350" s="204">
        <f t="shared" si="132"/>
        <v>29135.013999999999</v>
      </c>
      <c r="F350" s="204">
        <f t="shared" si="132"/>
        <v>5917752.585</v>
      </c>
      <c r="G350" s="204">
        <f t="shared" si="132"/>
        <v>224581</v>
      </c>
      <c r="H350" s="204">
        <f t="shared" si="132"/>
        <v>308609</v>
      </c>
      <c r="I350" s="204">
        <f t="shared" si="132"/>
        <v>78944.126000000004</v>
      </c>
      <c r="J350" s="204">
        <f t="shared" si="132"/>
        <v>976520</v>
      </c>
      <c r="K350" s="204">
        <f t="shared" si="132"/>
        <v>1766453.7890000001</v>
      </c>
      <c r="L350" s="204">
        <f t="shared" si="132"/>
        <v>10568064</v>
      </c>
      <c r="M350" s="204">
        <f t="shared" si="132"/>
        <v>506057</v>
      </c>
      <c r="N350" s="204">
        <f t="shared" si="132"/>
        <v>100000</v>
      </c>
      <c r="O350" s="204">
        <f t="shared" si="132"/>
        <v>3000</v>
      </c>
      <c r="P350" s="204">
        <f t="shared" si="132"/>
        <v>0</v>
      </c>
      <c r="Q350" s="204">
        <f t="shared" si="132"/>
        <v>638249</v>
      </c>
      <c r="R350" s="204">
        <f t="shared" si="130"/>
        <v>21258145.278000001</v>
      </c>
      <c r="S350" s="204"/>
      <c r="T350" s="204">
        <f>T174+T346+T349</f>
        <v>0</v>
      </c>
      <c r="U350" s="204">
        <f>U174+U346+U349</f>
        <v>0</v>
      </c>
      <c r="V350" s="204">
        <f>V174+V346+V349</f>
        <v>56742</v>
      </c>
      <c r="W350" s="204">
        <f>W174+W346+W349</f>
        <v>0</v>
      </c>
      <c r="X350" s="204">
        <f t="shared" si="127"/>
        <v>56742</v>
      </c>
      <c r="Y350" s="204">
        <f t="shared" si="128"/>
        <v>21314887.278000001</v>
      </c>
      <c r="Z350" s="211">
        <f>Z174+Z346+Z349</f>
        <v>9076163.1720000003</v>
      </c>
      <c r="AA350" s="245"/>
      <c r="AB350" s="73">
        <f>Y350+Z350</f>
        <v>30391050.450000003</v>
      </c>
    </row>
    <row r="351" spans="1:28" ht="17.25" thickTop="1" x14ac:dyDescent="0.25"/>
  </sheetData>
  <mergeCells count="8">
    <mergeCell ref="AJ14:AK14"/>
    <mergeCell ref="A2:Z2"/>
    <mergeCell ref="A4:Z4"/>
    <mergeCell ref="D7:Z7"/>
    <mergeCell ref="AJ9:AK9"/>
    <mergeCell ref="D8:K8"/>
    <mergeCell ref="L8:Q8"/>
    <mergeCell ref="T8:W8"/>
  </mergeCells>
  <phoneticPr fontId="3" type="noConversion"/>
  <printOptions horizontalCentered="1"/>
  <pageMargins left="0" right="0" top="0.35433070866141736" bottom="0.39370078740157483" header="0.19685039370078741" footer="0.15748031496062992"/>
  <pageSetup paperSize="9" scale="40" firstPageNumber="0" orientation="landscape" horizontalDpi="300" verticalDpi="300" r:id="rId1"/>
  <headerFooter alignWithMargins="0">
    <oddFooter>&amp;C2. sz. melléklet 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9"/>
  <sheetViews>
    <sheetView zoomScale="75" zoomScaleNormal="75" workbookViewId="0">
      <selection activeCell="X1" sqref="X1"/>
    </sheetView>
  </sheetViews>
  <sheetFormatPr defaultRowHeight="16.5" x14ac:dyDescent="0.25"/>
  <cols>
    <col min="1" max="1" width="6.28515625" style="1" customWidth="1"/>
    <col min="2" max="2" width="12.7109375" style="1" hidden="1" customWidth="1"/>
    <col min="3" max="3" width="57.7109375" style="2" customWidth="1"/>
    <col min="4" max="14" width="12.7109375" style="2" customWidth="1"/>
    <col min="15" max="15" width="15.7109375" style="2" customWidth="1"/>
    <col min="16" max="16" width="1.85546875" style="2" customWidth="1"/>
    <col min="17" max="17" width="11.28515625" style="2" customWidth="1"/>
    <col min="18" max="18" width="11.85546875" style="2" customWidth="1"/>
    <col min="19" max="19" width="11.28515625" style="2" customWidth="1"/>
    <col min="20" max="20" width="10" style="2" customWidth="1"/>
    <col min="21" max="21" width="15.7109375" style="2" customWidth="1"/>
    <col min="22" max="22" width="1.85546875" style="2" customWidth="1"/>
    <col min="23" max="23" width="15.7109375" style="2" customWidth="1"/>
    <col min="24" max="24" width="17.140625" style="2" customWidth="1"/>
    <col min="25" max="25" width="11" style="2" customWidth="1"/>
    <col min="26" max="26" width="10.7109375" style="2" customWidth="1"/>
    <col min="27" max="32" width="9.140625" style="2"/>
    <col min="33" max="34" width="10.7109375" style="2" customWidth="1"/>
    <col min="35" max="35" width="10.28515625" style="2" customWidth="1"/>
    <col min="36" max="36" width="10" style="2" customWidth="1"/>
    <col min="37" max="37" width="10.28515625" style="2" customWidth="1"/>
    <col min="38" max="38" width="10.7109375" style="2" customWidth="1"/>
    <col min="39" max="39" width="10.5703125" style="2" customWidth="1"/>
    <col min="40" max="43" width="9.140625" style="2"/>
    <col min="44" max="44" width="11" style="2" customWidth="1"/>
    <col min="45" max="16384" width="9.140625" style="2"/>
  </cols>
  <sheetData>
    <row r="1" spans="1:38" ht="20.25" customHeight="1" x14ac:dyDescent="0.25">
      <c r="V1" s="3"/>
      <c r="W1" s="152"/>
      <c r="X1" s="152" t="s">
        <v>58</v>
      </c>
    </row>
    <row r="2" spans="1:38" ht="30" customHeight="1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</row>
    <row r="3" spans="1:38" ht="30" customHeight="1" x14ac:dyDescent="0.3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38" ht="50.1" customHeight="1" x14ac:dyDescent="0.3">
      <c r="A4" s="528" t="s">
        <v>767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</row>
    <row r="5" spans="1:38" ht="24.9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8" ht="17.2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 t="s">
        <v>1</v>
      </c>
    </row>
    <row r="7" spans="1:38" ht="18" customHeight="1" x14ac:dyDescent="0.25">
      <c r="A7" s="409"/>
      <c r="B7" s="7"/>
      <c r="C7" s="8"/>
      <c r="D7" s="507" t="s">
        <v>72</v>
      </c>
      <c r="E7" s="508"/>
      <c r="F7" s="509"/>
      <c r="G7" s="257"/>
      <c r="H7" s="258"/>
      <c r="I7" s="259" t="s">
        <v>4</v>
      </c>
      <c r="J7" s="510" t="s">
        <v>80</v>
      </c>
      <c r="K7" s="511"/>
      <c r="L7" s="257"/>
      <c r="M7" s="260" t="s">
        <v>81</v>
      </c>
      <c r="N7" s="261"/>
      <c r="O7" s="262" t="s">
        <v>88</v>
      </c>
      <c r="P7" s="257"/>
      <c r="Q7" s="512" t="s">
        <v>90</v>
      </c>
      <c r="R7" s="513"/>
      <c r="S7" s="513"/>
      <c r="T7" s="514"/>
      <c r="U7" s="263" t="s">
        <v>99</v>
      </c>
      <c r="V7" s="481"/>
      <c r="W7" s="9" t="s">
        <v>2</v>
      </c>
      <c r="X7" s="482"/>
    </row>
    <row r="8" spans="1:38" x14ac:dyDescent="0.25">
      <c r="A8" s="10"/>
      <c r="B8" s="11"/>
      <c r="C8" s="12" t="s">
        <v>3</v>
      </c>
      <c r="D8" s="14" t="s">
        <v>73</v>
      </c>
      <c r="E8" s="12" t="s">
        <v>74</v>
      </c>
      <c r="F8" s="4" t="s">
        <v>75</v>
      </c>
      <c r="G8" s="15" t="s">
        <v>82</v>
      </c>
      <c r="H8" s="15" t="s">
        <v>5</v>
      </c>
      <c r="I8" s="15" t="s">
        <v>15</v>
      </c>
      <c r="J8" s="12" t="s">
        <v>6</v>
      </c>
      <c r="K8" s="12" t="s">
        <v>83</v>
      </c>
      <c r="L8" s="253" t="s">
        <v>62</v>
      </c>
      <c r="M8" s="12" t="s">
        <v>84</v>
      </c>
      <c r="N8" s="15" t="s">
        <v>4</v>
      </c>
      <c r="O8" s="254" t="s">
        <v>89</v>
      </c>
      <c r="P8" s="15"/>
      <c r="Q8" s="15" t="s">
        <v>91</v>
      </c>
      <c r="R8" s="15" t="s">
        <v>92</v>
      </c>
      <c r="S8" s="15" t="s">
        <v>166</v>
      </c>
      <c r="T8" s="15" t="s">
        <v>4</v>
      </c>
      <c r="U8" s="255" t="s">
        <v>100</v>
      </c>
      <c r="V8" s="251"/>
      <c r="W8" s="13" t="s">
        <v>7</v>
      </c>
      <c r="X8" s="218" t="s">
        <v>68</v>
      </c>
    </row>
    <row r="9" spans="1:38" x14ac:dyDescent="0.25">
      <c r="A9" s="16" t="s">
        <v>8</v>
      </c>
      <c r="B9" s="12"/>
      <c r="C9" s="12" t="s">
        <v>9</v>
      </c>
      <c r="D9" s="15" t="s">
        <v>15</v>
      </c>
      <c r="E9" s="12" t="s">
        <v>76</v>
      </c>
      <c r="F9" s="4" t="s">
        <v>47</v>
      </c>
      <c r="G9" s="15" t="s">
        <v>10</v>
      </c>
      <c r="H9" s="12" t="s">
        <v>10</v>
      </c>
      <c r="I9" s="12" t="s">
        <v>11</v>
      </c>
      <c r="J9" s="12" t="s">
        <v>11</v>
      </c>
      <c r="K9" s="12" t="s">
        <v>47</v>
      </c>
      <c r="L9" s="212" t="s">
        <v>63</v>
      </c>
      <c r="M9" s="15" t="s">
        <v>85</v>
      </c>
      <c r="N9" s="15" t="s">
        <v>64</v>
      </c>
      <c r="O9" s="254" t="s">
        <v>10</v>
      </c>
      <c r="P9" s="15"/>
      <c r="Q9" s="15" t="s">
        <v>93</v>
      </c>
      <c r="R9" s="15" t="s">
        <v>94</v>
      </c>
      <c r="S9" s="15" t="s">
        <v>167</v>
      </c>
      <c r="T9" s="15" t="s">
        <v>128</v>
      </c>
      <c r="U9" s="255" t="s">
        <v>10</v>
      </c>
      <c r="V9" s="252"/>
      <c r="W9" s="13" t="s">
        <v>12</v>
      </c>
      <c r="X9" s="218" t="s">
        <v>69</v>
      </c>
    </row>
    <row r="10" spans="1:38" x14ac:dyDescent="0.25">
      <c r="A10" s="10"/>
      <c r="B10" s="11"/>
      <c r="C10" s="12" t="s">
        <v>13</v>
      </c>
      <c r="D10" s="15" t="s">
        <v>77</v>
      </c>
      <c r="E10" s="12" t="s">
        <v>78</v>
      </c>
      <c r="F10" s="4" t="s">
        <v>79</v>
      </c>
      <c r="G10" s="15"/>
      <c r="H10" s="12"/>
      <c r="I10" s="12" t="s">
        <v>61</v>
      </c>
      <c r="J10" s="12" t="s">
        <v>86</v>
      </c>
      <c r="K10" s="12" t="s">
        <v>79</v>
      </c>
      <c r="L10" s="12" t="s">
        <v>10</v>
      </c>
      <c r="M10" s="15" t="s">
        <v>29</v>
      </c>
      <c r="N10" s="15" t="s">
        <v>87</v>
      </c>
      <c r="O10" s="254" t="s">
        <v>12</v>
      </c>
      <c r="P10" s="15"/>
      <c r="Q10" s="15" t="s">
        <v>95</v>
      </c>
      <c r="R10" s="15" t="s">
        <v>96</v>
      </c>
      <c r="S10" s="15" t="s">
        <v>168</v>
      </c>
      <c r="T10" s="15" t="s">
        <v>129</v>
      </c>
      <c r="U10" s="255" t="s">
        <v>12</v>
      </c>
      <c r="V10" s="252"/>
      <c r="W10" s="17" t="s">
        <v>102</v>
      </c>
      <c r="X10" s="219" t="s">
        <v>70</v>
      </c>
    </row>
    <row r="11" spans="1:38" x14ac:dyDescent="0.25">
      <c r="A11" s="10"/>
      <c r="B11" s="11"/>
      <c r="C11" s="12"/>
      <c r="D11" s="15"/>
      <c r="E11" s="12" t="s">
        <v>16</v>
      </c>
      <c r="F11" s="4" t="s">
        <v>60</v>
      </c>
      <c r="G11" s="15"/>
      <c r="H11" s="12"/>
      <c r="I11" s="12" t="s">
        <v>17</v>
      </c>
      <c r="J11" s="12" t="s">
        <v>38</v>
      </c>
      <c r="K11" s="12" t="s">
        <v>60</v>
      </c>
      <c r="L11" s="12"/>
      <c r="M11" s="18" t="s">
        <v>14</v>
      </c>
      <c r="N11" s="18" t="s">
        <v>17</v>
      </c>
      <c r="O11" s="4" t="s">
        <v>98</v>
      </c>
      <c r="P11" s="18"/>
      <c r="Q11" s="15" t="s">
        <v>16</v>
      </c>
      <c r="R11" s="18" t="s">
        <v>97</v>
      </c>
      <c r="S11" s="18" t="s">
        <v>169</v>
      </c>
      <c r="T11" s="18" t="s">
        <v>10</v>
      </c>
      <c r="U11" s="18" t="s">
        <v>101</v>
      </c>
      <c r="V11" s="19"/>
      <c r="W11" s="13"/>
      <c r="X11" s="219" t="s">
        <v>47</v>
      </c>
    </row>
    <row r="12" spans="1:38" hidden="1" x14ac:dyDescent="0.25">
      <c r="A12" s="93"/>
      <c r="B12" s="94"/>
      <c r="C12" s="95"/>
      <c r="D12" s="14" t="s">
        <v>148</v>
      </c>
      <c r="E12" s="95" t="s">
        <v>149</v>
      </c>
      <c r="F12" s="96" t="s">
        <v>150</v>
      </c>
      <c r="G12" s="14" t="s">
        <v>151</v>
      </c>
      <c r="H12" s="95" t="s">
        <v>152</v>
      </c>
      <c r="I12" s="95" t="s">
        <v>153</v>
      </c>
      <c r="J12" s="95" t="s">
        <v>154</v>
      </c>
      <c r="K12" s="104" t="s">
        <v>155</v>
      </c>
      <c r="L12" s="95" t="s">
        <v>156</v>
      </c>
      <c r="M12" s="97" t="s">
        <v>157</v>
      </c>
      <c r="N12" s="98" t="s">
        <v>158</v>
      </c>
      <c r="O12" s="96"/>
      <c r="P12" s="18"/>
      <c r="Q12" s="14" t="s">
        <v>159</v>
      </c>
      <c r="R12" s="98" t="s">
        <v>160</v>
      </c>
      <c r="S12" s="98" t="s">
        <v>161</v>
      </c>
      <c r="T12" s="95" t="s">
        <v>162</v>
      </c>
      <c r="U12" s="14"/>
      <c r="V12" s="99"/>
      <c r="W12" s="265"/>
      <c r="X12" s="190"/>
    </row>
    <row r="13" spans="1:38" ht="20.25" customHeight="1" x14ac:dyDescent="0.2">
      <c r="A13" s="155">
        <v>1</v>
      </c>
      <c r="B13" s="168"/>
      <c r="C13" s="168">
        <v>2</v>
      </c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  <c r="M13" s="168">
        <v>12</v>
      </c>
      <c r="N13" s="168">
        <v>13</v>
      </c>
      <c r="O13" s="168">
        <v>14</v>
      </c>
      <c r="P13" s="168"/>
      <c r="Q13" s="168">
        <v>15</v>
      </c>
      <c r="R13" s="168">
        <v>16</v>
      </c>
      <c r="S13" s="168">
        <v>17</v>
      </c>
      <c r="T13" s="168">
        <v>18</v>
      </c>
      <c r="U13" s="168">
        <v>19</v>
      </c>
      <c r="V13" s="169"/>
      <c r="W13" s="170">
        <v>20</v>
      </c>
      <c r="X13" s="191">
        <v>21</v>
      </c>
    </row>
    <row r="14" spans="1:38" ht="22.5" hidden="1" customHeight="1" x14ac:dyDescent="0.25">
      <c r="A14" s="20"/>
      <c r="B14" s="21"/>
      <c r="C14" s="22" t="s">
        <v>42</v>
      </c>
      <c r="D14" s="23">
        <v>0</v>
      </c>
      <c r="E14" s="23">
        <v>0</v>
      </c>
      <c r="F14" s="23">
        <v>0</v>
      </c>
      <c r="G14" s="23">
        <v>1665</v>
      </c>
      <c r="H14" s="23">
        <v>9955</v>
      </c>
      <c r="I14" s="135">
        <v>0</v>
      </c>
      <c r="J14" s="23">
        <v>0</v>
      </c>
      <c r="K14" s="23">
        <v>0</v>
      </c>
      <c r="L14" s="23">
        <v>0</v>
      </c>
      <c r="M14" s="23">
        <v>1500</v>
      </c>
      <c r="N14" s="23">
        <v>0</v>
      </c>
      <c r="O14" s="264">
        <f>SUM(D14:N14)</f>
        <v>13120</v>
      </c>
      <c r="P14" s="23"/>
      <c r="Q14" s="23">
        <v>0</v>
      </c>
      <c r="R14" s="23">
        <v>0</v>
      </c>
      <c r="S14" s="23">
        <v>0</v>
      </c>
      <c r="T14" s="23">
        <v>0</v>
      </c>
      <c r="U14" s="264">
        <f>SUM(Q14:T14)</f>
        <v>0</v>
      </c>
      <c r="V14" s="134"/>
      <c r="W14" s="120">
        <f>O14+U14</f>
        <v>13120</v>
      </c>
      <c r="X14" s="192">
        <v>3992978</v>
      </c>
    </row>
    <row r="15" spans="1:38" ht="20.100000000000001" hidden="1" customHeight="1" x14ac:dyDescent="0.25">
      <c r="A15" s="137"/>
      <c r="B15" s="117"/>
      <c r="C15" s="26" t="s">
        <v>67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122"/>
      <c r="W15" s="184">
        <f>O15+U15</f>
        <v>0</v>
      </c>
      <c r="X15" s="193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60"/>
    </row>
    <row r="16" spans="1:38" ht="20.100000000000001" hidden="1" customHeight="1" x14ac:dyDescent="0.25">
      <c r="A16" s="137"/>
      <c r="B16" s="25" t="s">
        <v>65</v>
      </c>
      <c r="C16" s="22" t="s">
        <v>18</v>
      </c>
      <c r="D16" s="132">
        <f t="shared" ref="D16:W16" si="0">SUM(D14:D15)</f>
        <v>0</v>
      </c>
      <c r="E16" s="132">
        <f t="shared" si="0"/>
        <v>0</v>
      </c>
      <c r="F16" s="132">
        <f t="shared" si="0"/>
        <v>0</v>
      </c>
      <c r="G16" s="132">
        <f t="shared" si="0"/>
        <v>1665</v>
      </c>
      <c r="H16" s="132">
        <f t="shared" si="0"/>
        <v>9955</v>
      </c>
      <c r="I16" s="132">
        <f t="shared" si="0"/>
        <v>0</v>
      </c>
      <c r="J16" s="132">
        <f t="shared" si="0"/>
        <v>0</v>
      </c>
      <c r="K16" s="132">
        <f t="shared" si="0"/>
        <v>0</v>
      </c>
      <c r="L16" s="132">
        <f t="shared" si="0"/>
        <v>0</v>
      </c>
      <c r="M16" s="132">
        <f t="shared" si="0"/>
        <v>1500</v>
      </c>
      <c r="N16" s="132">
        <f t="shared" si="0"/>
        <v>0</v>
      </c>
      <c r="O16" s="276">
        <f t="shared" si="0"/>
        <v>13120</v>
      </c>
      <c r="P16" s="132"/>
      <c r="Q16" s="132">
        <f>SUM(Q14:Q15)</f>
        <v>0</v>
      </c>
      <c r="R16" s="132">
        <f>SUM(R14:R15)</f>
        <v>0</v>
      </c>
      <c r="S16" s="132">
        <f>SUM(S14:S15)</f>
        <v>0</v>
      </c>
      <c r="T16" s="132">
        <f t="shared" si="0"/>
        <v>0</v>
      </c>
      <c r="U16" s="132">
        <f t="shared" si="0"/>
        <v>0</v>
      </c>
      <c r="V16" s="132"/>
      <c r="W16" s="185">
        <f t="shared" si="0"/>
        <v>13120</v>
      </c>
      <c r="X16" s="194">
        <f>SUM(X14:X15)</f>
        <v>3992978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</row>
    <row r="17" spans="1:38" ht="30" hidden="1" customHeight="1" x14ac:dyDescent="0.25">
      <c r="A17" s="70"/>
      <c r="B17" s="117"/>
      <c r="C17" s="26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>
        <f t="shared" ref="O17:O31" si="1">SUM(D17:N17)</f>
        <v>0</v>
      </c>
      <c r="P17" s="62"/>
      <c r="Q17" s="62"/>
      <c r="R17" s="62"/>
      <c r="S17" s="62"/>
      <c r="T17" s="62"/>
      <c r="U17" s="62"/>
      <c r="V17" s="139"/>
      <c r="W17" s="186"/>
      <c r="X17" s="232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</row>
    <row r="18" spans="1:38" ht="30" hidden="1" customHeight="1" x14ac:dyDescent="0.25">
      <c r="A18" s="70">
        <v>1</v>
      </c>
      <c r="B18" s="117" t="s">
        <v>284</v>
      </c>
      <c r="C18" s="26" t="s">
        <v>224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>
        <f t="shared" si="1"/>
        <v>0</v>
      </c>
      <c r="P18" s="62"/>
      <c r="Q18" s="62"/>
      <c r="R18" s="62"/>
      <c r="S18" s="62"/>
      <c r="T18" s="62"/>
      <c r="U18" s="62"/>
      <c r="V18" s="139"/>
      <c r="W18" s="186">
        <f t="shared" ref="W18:W31" si="2">O18+U18</f>
        <v>0</v>
      </c>
      <c r="X18" s="232">
        <v>150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</row>
    <row r="19" spans="1:38" ht="30" hidden="1" customHeight="1" x14ac:dyDescent="0.25">
      <c r="A19" s="70">
        <v>2</v>
      </c>
      <c r="B19" s="345" t="s">
        <v>234</v>
      </c>
      <c r="C19" s="26" t="s">
        <v>233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>
        <f t="shared" si="1"/>
        <v>0</v>
      </c>
      <c r="P19" s="62"/>
      <c r="Q19" s="62"/>
      <c r="R19" s="62"/>
      <c r="S19" s="62"/>
      <c r="T19" s="62"/>
      <c r="U19" s="62"/>
      <c r="V19" s="139"/>
      <c r="W19" s="186">
        <f t="shared" si="2"/>
        <v>0</v>
      </c>
      <c r="X19" s="232">
        <v>101.69499999999999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</row>
    <row r="20" spans="1:38" ht="30" hidden="1" customHeight="1" x14ac:dyDescent="0.25">
      <c r="A20" s="70">
        <v>3</v>
      </c>
      <c r="B20" s="177" t="s">
        <v>229</v>
      </c>
      <c r="C20" s="26" t="s">
        <v>228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139"/>
      <c r="W20" s="186">
        <f t="shared" si="2"/>
        <v>0</v>
      </c>
      <c r="X20" s="232">
        <v>1563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0"/>
    </row>
    <row r="21" spans="1:38" ht="30" hidden="1" customHeight="1" x14ac:dyDescent="0.25">
      <c r="A21" s="70">
        <v>4</v>
      </c>
      <c r="B21" s="177" t="s">
        <v>238</v>
      </c>
      <c r="C21" s="30" t="s">
        <v>237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P21" s="62"/>
      <c r="Q21" s="62"/>
      <c r="R21" s="62"/>
      <c r="S21" s="62"/>
      <c r="T21" s="62"/>
      <c r="U21" s="62">
        <f t="shared" ref="U21:U31" si="3">SUM(Q21:T21)</f>
        <v>0</v>
      </c>
      <c r="V21" s="139"/>
      <c r="W21" s="186">
        <f t="shared" si="2"/>
        <v>0</v>
      </c>
      <c r="X21" s="232">
        <f>-124</f>
        <v>-124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</row>
    <row r="22" spans="1:38" ht="30" hidden="1" customHeight="1" x14ac:dyDescent="0.25">
      <c r="A22" s="70">
        <v>5</v>
      </c>
      <c r="B22" s="177" t="s">
        <v>285</v>
      </c>
      <c r="C22" s="30" t="s">
        <v>286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>
        <f t="shared" si="1"/>
        <v>0</v>
      </c>
      <c r="P22" s="62"/>
      <c r="Q22" s="62"/>
      <c r="R22" s="62"/>
      <c r="S22" s="62"/>
      <c r="T22" s="62"/>
      <c r="U22" s="62">
        <f t="shared" si="3"/>
        <v>0</v>
      </c>
      <c r="V22" s="139"/>
      <c r="W22" s="186">
        <f t="shared" si="2"/>
        <v>0</v>
      </c>
      <c r="X22" s="232">
        <f>129.418</f>
        <v>129.41800000000001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</row>
    <row r="23" spans="1:38" ht="30" hidden="1" customHeight="1" x14ac:dyDescent="0.25">
      <c r="A23" s="70">
        <v>6</v>
      </c>
      <c r="B23" s="177" t="s">
        <v>316</v>
      </c>
      <c r="C23" s="30" t="s">
        <v>315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>
        <f t="shared" si="1"/>
        <v>0</v>
      </c>
      <c r="P23" s="62"/>
      <c r="Q23" s="62"/>
      <c r="R23" s="62"/>
      <c r="S23" s="62"/>
      <c r="T23" s="62"/>
      <c r="U23" s="62">
        <f t="shared" si="3"/>
        <v>0</v>
      </c>
      <c r="V23" s="139"/>
      <c r="W23" s="186">
        <f t="shared" si="2"/>
        <v>0</v>
      </c>
      <c r="X23" s="232">
        <f>3556</f>
        <v>3556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0"/>
    </row>
    <row r="24" spans="1:38" ht="30" hidden="1" customHeight="1" x14ac:dyDescent="0.25">
      <c r="A24" s="70">
        <v>7</v>
      </c>
      <c r="B24" s="177" t="s">
        <v>354</v>
      </c>
      <c r="C24" s="30" t="s">
        <v>353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>
        <f t="shared" si="1"/>
        <v>0</v>
      </c>
      <c r="P24" s="62"/>
      <c r="Q24" s="62"/>
      <c r="R24" s="62"/>
      <c r="S24" s="62"/>
      <c r="T24" s="62"/>
      <c r="U24" s="62">
        <f t="shared" si="3"/>
        <v>0</v>
      </c>
      <c r="V24" s="139"/>
      <c r="W24" s="186">
        <f t="shared" si="2"/>
        <v>0</v>
      </c>
      <c r="X24" s="232">
        <f>6200</f>
        <v>6200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0"/>
    </row>
    <row r="25" spans="1:38" ht="30" hidden="1" customHeight="1" x14ac:dyDescent="0.25">
      <c r="A25" s="70">
        <v>8</v>
      </c>
      <c r="B25" s="177" t="s">
        <v>359</v>
      </c>
      <c r="C25" s="277" t="s">
        <v>357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>
        <f t="shared" si="1"/>
        <v>0</v>
      </c>
      <c r="P25" s="62"/>
      <c r="Q25" s="62"/>
      <c r="R25" s="62"/>
      <c r="S25" s="62"/>
      <c r="T25" s="62"/>
      <c r="U25" s="62">
        <f t="shared" si="3"/>
        <v>0</v>
      </c>
      <c r="V25" s="139"/>
      <c r="W25" s="186">
        <f t="shared" si="2"/>
        <v>0</v>
      </c>
      <c r="X25" s="232">
        <f>-1397</f>
        <v>-1397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0"/>
    </row>
    <row r="26" spans="1:38" ht="30" hidden="1" customHeight="1" x14ac:dyDescent="0.25">
      <c r="A26" s="70">
        <v>9</v>
      </c>
      <c r="B26" s="177" t="s">
        <v>366</v>
      </c>
      <c r="C26" s="30" t="s">
        <v>365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>
        <f t="shared" si="1"/>
        <v>0</v>
      </c>
      <c r="P26" s="62"/>
      <c r="Q26" s="62"/>
      <c r="R26" s="62"/>
      <c r="S26" s="62"/>
      <c r="T26" s="62"/>
      <c r="U26" s="62">
        <f t="shared" si="3"/>
        <v>0</v>
      </c>
      <c r="V26" s="139"/>
      <c r="W26" s="186">
        <f t="shared" si="2"/>
        <v>0</v>
      </c>
      <c r="X26" s="232">
        <f>45.53</f>
        <v>45.53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0"/>
    </row>
    <row r="27" spans="1:38" ht="30" hidden="1" customHeight="1" x14ac:dyDescent="0.25">
      <c r="A27" s="70">
        <v>10</v>
      </c>
      <c r="B27" s="177" t="s">
        <v>396</v>
      </c>
      <c r="C27" s="30" t="s">
        <v>395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>
        <f t="shared" si="1"/>
        <v>0</v>
      </c>
      <c r="P27" s="62"/>
      <c r="Q27" s="62"/>
      <c r="R27" s="62"/>
      <c r="S27" s="62"/>
      <c r="T27" s="62"/>
      <c r="U27" s="62">
        <f t="shared" si="3"/>
        <v>0</v>
      </c>
      <c r="V27" s="139"/>
      <c r="W27" s="186">
        <f t="shared" si="2"/>
        <v>0</v>
      </c>
      <c r="X27" s="232">
        <f>-3674</f>
        <v>-3674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60"/>
    </row>
    <row r="28" spans="1:38" ht="30" hidden="1" customHeight="1" x14ac:dyDescent="0.25">
      <c r="A28" s="70">
        <v>11</v>
      </c>
      <c r="B28" s="413" t="s">
        <v>417</v>
      </c>
      <c r="C28" s="30" t="s">
        <v>416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>
        <f t="shared" si="1"/>
        <v>0</v>
      </c>
      <c r="P28" s="62"/>
      <c r="Q28" s="62"/>
      <c r="R28" s="62"/>
      <c r="S28" s="62"/>
      <c r="T28" s="62"/>
      <c r="U28" s="62">
        <f t="shared" si="3"/>
        <v>0</v>
      </c>
      <c r="V28" s="139"/>
      <c r="W28" s="186">
        <f t="shared" si="2"/>
        <v>0</v>
      </c>
      <c r="X28" s="232">
        <f>21228</f>
        <v>21228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</row>
    <row r="29" spans="1:38" ht="30" hidden="1" customHeight="1" x14ac:dyDescent="0.25">
      <c r="A29" s="70"/>
      <c r="B29" s="177"/>
      <c r="C29" s="30" t="s">
        <v>418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>
        <f t="shared" si="1"/>
        <v>0</v>
      </c>
      <c r="P29" s="62"/>
      <c r="Q29" s="62"/>
      <c r="R29" s="62"/>
      <c r="S29" s="62"/>
      <c r="T29" s="62"/>
      <c r="U29" s="62">
        <f t="shared" si="3"/>
        <v>0</v>
      </c>
      <c r="V29" s="139"/>
      <c r="W29" s="186">
        <f t="shared" si="2"/>
        <v>0</v>
      </c>
      <c r="X29" s="232">
        <f>116388</f>
        <v>116388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</row>
    <row r="30" spans="1:38" ht="30" hidden="1" customHeight="1" x14ac:dyDescent="0.25">
      <c r="A30" s="70"/>
      <c r="B30" s="177"/>
      <c r="C30" s="30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139"/>
      <c r="W30" s="186"/>
      <c r="X30" s="232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0"/>
    </row>
    <row r="31" spans="1:38" ht="30" hidden="1" customHeight="1" x14ac:dyDescent="0.25">
      <c r="A31" s="70"/>
      <c r="B31" s="118"/>
      <c r="C31" s="2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>
        <f t="shared" si="1"/>
        <v>0</v>
      </c>
      <c r="P31" s="62"/>
      <c r="Q31" s="62"/>
      <c r="R31" s="62"/>
      <c r="S31" s="62"/>
      <c r="T31" s="62"/>
      <c r="U31" s="62">
        <f t="shared" si="3"/>
        <v>0</v>
      </c>
      <c r="V31" s="139"/>
      <c r="W31" s="186">
        <f t="shared" si="2"/>
        <v>0</v>
      </c>
      <c r="X31" s="232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</row>
    <row r="32" spans="1:38" ht="9.9499999999999993" hidden="1" customHeight="1" x14ac:dyDescent="0.25">
      <c r="A32" s="70"/>
      <c r="B32" s="118"/>
      <c r="C32" s="2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139"/>
      <c r="W32" s="186"/>
      <c r="X32" s="232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</row>
    <row r="33" spans="1:38" ht="30" hidden="1" customHeight="1" x14ac:dyDescent="0.25">
      <c r="A33" s="163" t="s">
        <v>53</v>
      </c>
      <c r="B33" s="160"/>
      <c r="C33" s="164" t="s">
        <v>51</v>
      </c>
      <c r="D33" s="62">
        <f t="shared" ref="D33:O33" si="4">SUM(D17:D32)</f>
        <v>0</v>
      </c>
      <c r="E33" s="62">
        <f t="shared" si="4"/>
        <v>0</v>
      </c>
      <c r="F33" s="62">
        <f t="shared" si="4"/>
        <v>0</v>
      </c>
      <c r="G33" s="62">
        <f t="shared" si="4"/>
        <v>0</v>
      </c>
      <c r="H33" s="62">
        <f t="shared" si="4"/>
        <v>0</v>
      </c>
      <c r="I33" s="62">
        <f t="shared" si="4"/>
        <v>0</v>
      </c>
      <c r="J33" s="62">
        <f t="shared" si="4"/>
        <v>0</v>
      </c>
      <c r="K33" s="62">
        <f t="shared" si="4"/>
        <v>0</v>
      </c>
      <c r="L33" s="62">
        <f t="shared" si="4"/>
        <v>0</v>
      </c>
      <c r="M33" s="62">
        <f t="shared" si="4"/>
        <v>0</v>
      </c>
      <c r="N33" s="62">
        <f t="shared" si="4"/>
        <v>0</v>
      </c>
      <c r="O33" s="62">
        <f t="shared" si="4"/>
        <v>0</v>
      </c>
      <c r="P33" s="62"/>
      <c r="Q33" s="62"/>
      <c r="R33" s="62"/>
      <c r="S33" s="62">
        <f>SUM(S17:S32)</f>
        <v>0</v>
      </c>
      <c r="T33" s="62">
        <f>SUM(T17:T32)</f>
        <v>0</v>
      </c>
      <c r="U33" s="62">
        <f>SUM(U17:U32)</f>
        <v>0</v>
      </c>
      <c r="V33" s="161"/>
      <c r="W33" s="411">
        <f>O33+U33</f>
        <v>0</v>
      </c>
      <c r="X33" s="410">
        <f>SUM(X17:X32)</f>
        <v>144166.64300000001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</row>
    <row r="34" spans="1:38" ht="9.9499999999999993" hidden="1" customHeight="1" x14ac:dyDescent="0.25">
      <c r="A34" s="70"/>
      <c r="B34" s="118"/>
      <c r="C34" s="26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139"/>
      <c r="W34" s="186"/>
      <c r="X34" s="232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</row>
    <row r="35" spans="1:38" ht="30" hidden="1" customHeight="1" x14ac:dyDescent="0.25">
      <c r="A35" s="70"/>
      <c r="B35" s="177" t="s">
        <v>241</v>
      </c>
      <c r="C35" s="408" t="s">
        <v>240</v>
      </c>
      <c r="D35" s="279"/>
      <c r="E35" s="279"/>
      <c r="F35" s="142"/>
      <c r="G35" s="279">
        <f>100</f>
        <v>100</v>
      </c>
      <c r="H35" s="387"/>
      <c r="I35" s="279"/>
      <c r="J35" s="279"/>
      <c r="K35" s="279"/>
      <c r="L35" s="279"/>
      <c r="M35" s="279"/>
      <c r="N35" s="279"/>
      <c r="O35" s="142">
        <f t="shared" ref="O35:O38" si="5">SUM(D35:N35)</f>
        <v>100</v>
      </c>
      <c r="P35" s="279"/>
      <c r="Q35" s="279"/>
      <c r="R35" s="279"/>
      <c r="S35" s="279"/>
      <c r="T35" s="279"/>
      <c r="U35" s="279">
        <f t="shared" ref="U35:U38" si="6">SUM(Q35:T35)</f>
        <v>0</v>
      </c>
      <c r="V35" s="139"/>
      <c r="W35" s="186">
        <f t="shared" ref="W35:W38" si="7">O35+U35</f>
        <v>100</v>
      </c>
      <c r="X35" s="232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</row>
    <row r="36" spans="1:38" ht="30" hidden="1" customHeight="1" x14ac:dyDescent="0.25">
      <c r="A36" s="70"/>
      <c r="B36" s="177" t="s">
        <v>297</v>
      </c>
      <c r="C36" s="408" t="s">
        <v>298</v>
      </c>
      <c r="D36" s="279"/>
      <c r="E36" s="279"/>
      <c r="F36" s="142"/>
      <c r="G36" s="279"/>
      <c r="H36" s="387">
        <f>153+42</f>
        <v>195</v>
      </c>
      <c r="I36" s="279"/>
      <c r="J36" s="279"/>
      <c r="K36" s="279"/>
      <c r="L36" s="279"/>
      <c r="M36" s="279"/>
      <c r="N36" s="279"/>
      <c r="O36" s="142">
        <f t="shared" si="5"/>
        <v>195</v>
      </c>
      <c r="P36" s="279"/>
      <c r="Q36" s="279"/>
      <c r="R36" s="279"/>
      <c r="S36" s="279"/>
      <c r="T36" s="279"/>
      <c r="U36" s="279">
        <f t="shared" si="6"/>
        <v>0</v>
      </c>
      <c r="V36" s="139"/>
      <c r="W36" s="186">
        <f t="shared" si="7"/>
        <v>195</v>
      </c>
      <c r="X36" s="232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</row>
    <row r="37" spans="1:38" ht="30" hidden="1" customHeight="1" x14ac:dyDescent="0.25">
      <c r="A37" s="70"/>
      <c r="B37" s="177" t="s">
        <v>299</v>
      </c>
      <c r="C37" s="408" t="s">
        <v>300</v>
      </c>
      <c r="D37" s="279"/>
      <c r="E37" s="279"/>
      <c r="F37" s="142"/>
      <c r="G37" s="279"/>
      <c r="H37" s="387">
        <f>1+50</f>
        <v>51</v>
      </c>
      <c r="I37" s="279"/>
      <c r="J37" s="279"/>
      <c r="K37" s="279"/>
      <c r="L37" s="279"/>
      <c r="M37" s="279"/>
      <c r="N37" s="279"/>
      <c r="O37" s="142">
        <f t="shared" si="5"/>
        <v>51</v>
      </c>
      <c r="P37" s="279"/>
      <c r="Q37" s="279"/>
      <c r="R37" s="279"/>
      <c r="S37" s="279"/>
      <c r="T37" s="279"/>
      <c r="U37" s="279">
        <f t="shared" si="6"/>
        <v>0</v>
      </c>
      <c r="V37" s="139"/>
      <c r="W37" s="186">
        <f t="shared" si="7"/>
        <v>51</v>
      </c>
      <c r="X37" s="232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</row>
    <row r="38" spans="1:38" ht="30" hidden="1" customHeight="1" x14ac:dyDescent="0.25">
      <c r="A38" s="70"/>
      <c r="B38" s="177" t="s">
        <v>301</v>
      </c>
      <c r="C38" s="408" t="s">
        <v>302</v>
      </c>
      <c r="D38" s="279"/>
      <c r="E38" s="279"/>
      <c r="F38" s="142"/>
      <c r="G38" s="279"/>
      <c r="H38" s="387">
        <f>43</f>
        <v>43</v>
      </c>
      <c r="I38" s="279"/>
      <c r="J38" s="279"/>
      <c r="K38" s="279"/>
      <c r="L38" s="279"/>
      <c r="M38" s="279"/>
      <c r="N38" s="279"/>
      <c r="O38" s="142">
        <f t="shared" si="5"/>
        <v>43</v>
      </c>
      <c r="P38" s="279"/>
      <c r="Q38" s="279"/>
      <c r="R38" s="279"/>
      <c r="S38" s="279"/>
      <c r="T38" s="279"/>
      <c r="U38" s="279">
        <f t="shared" si="6"/>
        <v>0</v>
      </c>
      <c r="V38" s="139"/>
      <c r="W38" s="186">
        <f t="shared" si="7"/>
        <v>43</v>
      </c>
      <c r="X38" s="232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</row>
    <row r="39" spans="1:38" ht="30" hidden="1" customHeight="1" x14ac:dyDescent="0.25">
      <c r="A39" s="70" t="s">
        <v>71</v>
      </c>
      <c r="B39" s="177" t="s">
        <v>303</v>
      </c>
      <c r="C39" s="106" t="s">
        <v>304</v>
      </c>
      <c r="D39" s="279"/>
      <c r="E39" s="279"/>
      <c r="F39" s="142"/>
      <c r="G39" s="279">
        <f>45</f>
        <v>45</v>
      </c>
      <c r="H39" s="387"/>
      <c r="I39" s="279"/>
      <c r="J39" s="279"/>
      <c r="K39" s="279"/>
      <c r="L39" s="279"/>
      <c r="M39" s="279"/>
      <c r="N39" s="279"/>
      <c r="O39" s="142">
        <f>SUM(D39:N39)</f>
        <v>45</v>
      </c>
      <c r="P39" s="279"/>
      <c r="Q39" s="279"/>
      <c r="R39" s="279"/>
      <c r="S39" s="279"/>
      <c r="T39" s="279"/>
      <c r="U39" s="279">
        <f>SUM(Q39:T39)</f>
        <v>0</v>
      </c>
      <c r="V39" s="139"/>
      <c r="W39" s="186">
        <f>O39+U39</f>
        <v>45</v>
      </c>
      <c r="X39" s="232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</row>
    <row r="40" spans="1:38" ht="30" hidden="1" customHeight="1" x14ac:dyDescent="0.25">
      <c r="A40" s="70" t="s">
        <v>71</v>
      </c>
      <c r="B40" s="177" t="s">
        <v>305</v>
      </c>
      <c r="C40" s="106" t="s">
        <v>306</v>
      </c>
      <c r="D40" s="279"/>
      <c r="E40" s="279"/>
      <c r="F40" s="142"/>
      <c r="G40" s="279"/>
      <c r="H40" s="387">
        <f>10+10</f>
        <v>20</v>
      </c>
      <c r="I40" s="279"/>
      <c r="J40" s="279"/>
      <c r="K40" s="279"/>
      <c r="L40" s="279"/>
      <c r="M40" s="279"/>
      <c r="N40" s="279"/>
      <c r="O40" s="142">
        <f>SUM(D40:N40)</f>
        <v>20</v>
      </c>
      <c r="P40" s="279"/>
      <c r="Q40" s="279"/>
      <c r="R40" s="279"/>
      <c r="S40" s="279"/>
      <c r="T40" s="279"/>
      <c r="U40" s="279">
        <f>SUM(Q40:T40)</f>
        <v>0</v>
      </c>
      <c r="V40" s="139"/>
      <c r="W40" s="186">
        <f>O40+U40</f>
        <v>20</v>
      </c>
      <c r="X40" s="232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</row>
    <row r="41" spans="1:38" ht="30" hidden="1" customHeight="1" x14ac:dyDescent="0.25">
      <c r="A41" s="70" t="s">
        <v>71</v>
      </c>
      <c r="B41" s="345" t="s">
        <v>373</v>
      </c>
      <c r="C41" s="38" t="s">
        <v>374</v>
      </c>
      <c r="D41" s="279"/>
      <c r="E41" s="279"/>
      <c r="F41" s="387"/>
      <c r="G41" s="279">
        <f>50</f>
        <v>50</v>
      </c>
      <c r="H41" s="279"/>
      <c r="I41" s="279"/>
      <c r="J41" s="279"/>
      <c r="K41" s="279"/>
      <c r="L41" s="279"/>
      <c r="M41" s="279"/>
      <c r="N41" s="279"/>
      <c r="O41" s="279">
        <f>SUM(D41:N41)</f>
        <v>50</v>
      </c>
      <c r="P41" s="279"/>
      <c r="Q41" s="279"/>
      <c r="R41" s="142"/>
      <c r="S41" s="279"/>
      <c r="T41" s="279"/>
      <c r="U41" s="142">
        <f>SUM(Q41:T41)</f>
        <v>0</v>
      </c>
      <c r="V41" s="139"/>
      <c r="W41" s="186">
        <f>O41+U41</f>
        <v>50</v>
      </c>
      <c r="X41" s="232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</row>
    <row r="42" spans="1:38" ht="30" hidden="1" customHeight="1" x14ac:dyDescent="0.25">
      <c r="A42" s="70" t="s">
        <v>71</v>
      </c>
      <c r="B42" s="345" t="s">
        <v>375</v>
      </c>
      <c r="C42" s="26" t="s">
        <v>376</v>
      </c>
      <c r="D42" s="279"/>
      <c r="E42" s="279"/>
      <c r="F42" s="279"/>
      <c r="G42" s="279"/>
      <c r="H42" s="279"/>
      <c r="I42" s="279"/>
      <c r="J42" s="279"/>
      <c r="K42" s="279"/>
      <c r="L42" s="279">
        <f>50</f>
        <v>50</v>
      </c>
      <c r="M42" s="279"/>
      <c r="N42" s="279"/>
      <c r="O42" s="279">
        <f>SUM(D42:N42)</f>
        <v>50</v>
      </c>
      <c r="P42" s="279"/>
      <c r="Q42" s="279"/>
      <c r="R42" s="279"/>
      <c r="S42" s="279"/>
      <c r="T42" s="279"/>
      <c r="U42" s="279">
        <f>SUM(Q42:T42)</f>
        <v>0</v>
      </c>
      <c r="V42" s="139"/>
      <c r="W42" s="186">
        <f>O42+U42</f>
        <v>50</v>
      </c>
      <c r="X42" s="232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</row>
    <row r="43" spans="1:38" ht="30" hidden="1" customHeight="1" x14ac:dyDescent="0.25">
      <c r="A43" s="70" t="s">
        <v>71</v>
      </c>
      <c r="B43" s="177" t="s">
        <v>377</v>
      </c>
      <c r="C43" s="26" t="s">
        <v>378</v>
      </c>
      <c r="D43" s="279"/>
      <c r="E43" s="279"/>
      <c r="F43" s="279"/>
      <c r="G43" s="279"/>
      <c r="H43" s="279">
        <f>10</f>
        <v>10</v>
      </c>
      <c r="I43" s="279"/>
      <c r="J43" s="279"/>
      <c r="K43" s="279"/>
      <c r="L43" s="279"/>
      <c r="M43" s="279"/>
      <c r="N43" s="279"/>
      <c r="O43" s="279">
        <f t="shared" ref="O43:O48" si="8">SUM(D43:N43)</f>
        <v>10</v>
      </c>
      <c r="P43" s="279"/>
      <c r="Q43" s="279"/>
      <c r="R43" s="279"/>
      <c r="S43" s="279"/>
      <c r="T43" s="279"/>
      <c r="U43" s="279">
        <f t="shared" ref="U43:U48" si="9">SUM(Q43:T43)</f>
        <v>0</v>
      </c>
      <c r="V43" s="139"/>
      <c r="W43" s="186">
        <f t="shared" ref="W43:W48" si="10">O43+U43</f>
        <v>10</v>
      </c>
      <c r="X43" s="232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</row>
    <row r="44" spans="1:38" ht="30" hidden="1" customHeight="1" x14ac:dyDescent="0.25">
      <c r="A44" s="70" t="s">
        <v>71</v>
      </c>
      <c r="B44" s="413" t="s">
        <v>413</v>
      </c>
      <c r="C44" s="26" t="s">
        <v>414</v>
      </c>
      <c r="D44" s="279"/>
      <c r="E44" s="279"/>
      <c r="F44" s="279">
        <f>16585.308</f>
        <v>16585.308000000001</v>
      </c>
      <c r="G44" s="279"/>
      <c r="H44" s="279"/>
      <c r="I44" s="279"/>
      <c r="J44" s="279"/>
      <c r="K44" s="279"/>
      <c r="L44" s="279"/>
      <c r="M44" s="279"/>
      <c r="N44" s="279"/>
      <c r="O44" s="279">
        <f t="shared" si="8"/>
        <v>16585.308000000001</v>
      </c>
      <c r="P44" s="279"/>
      <c r="Q44" s="279"/>
      <c r="R44" s="279"/>
      <c r="S44" s="279"/>
      <c r="T44" s="279"/>
      <c r="U44" s="279">
        <f t="shared" si="9"/>
        <v>0</v>
      </c>
      <c r="V44" s="139"/>
      <c r="W44" s="186">
        <f t="shared" si="10"/>
        <v>16585.308000000001</v>
      </c>
      <c r="X44" s="232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</row>
    <row r="45" spans="1:38" ht="30" hidden="1" customHeight="1" x14ac:dyDescent="0.25">
      <c r="A45" s="70"/>
      <c r="B45" s="118"/>
      <c r="C45" s="26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>
        <f t="shared" si="8"/>
        <v>0</v>
      </c>
      <c r="P45" s="279"/>
      <c r="Q45" s="279"/>
      <c r="R45" s="279"/>
      <c r="S45" s="279"/>
      <c r="T45" s="279"/>
      <c r="U45" s="279">
        <f t="shared" si="9"/>
        <v>0</v>
      </c>
      <c r="V45" s="139"/>
      <c r="W45" s="186">
        <f t="shared" si="10"/>
        <v>0</v>
      </c>
      <c r="X45" s="232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</row>
    <row r="46" spans="1:38" ht="30" hidden="1" customHeight="1" x14ac:dyDescent="0.25">
      <c r="A46" s="70"/>
      <c r="B46" s="118"/>
      <c r="C46" s="26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>
        <f t="shared" si="8"/>
        <v>0</v>
      </c>
      <c r="P46" s="279"/>
      <c r="Q46" s="279"/>
      <c r="R46" s="279"/>
      <c r="S46" s="279"/>
      <c r="T46" s="279"/>
      <c r="U46" s="279">
        <f t="shared" si="9"/>
        <v>0</v>
      </c>
      <c r="V46" s="139"/>
      <c r="W46" s="186">
        <f t="shared" si="10"/>
        <v>0</v>
      </c>
      <c r="X46" s="232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</row>
    <row r="47" spans="1:38" ht="30" hidden="1" customHeight="1" x14ac:dyDescent="0.25">
      <c r="A47" s="70"/>
      <c r="B47" s="118"/>
      <c r="C47" s="26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>
        <f t="shared" si="8"/>
        <v>0</v>
      </c>
      <c r="P47" s="279"/>
      <c r="Q47" s="279"/>
      <c r="R47" s="279"/>
      <c r="S47" s="279"/>
      <c r="T47" s="279"/>
      <c r="U47" s="279">
        <f t="shared" si="9"/>
        <v>0</v>
      </c>
      <c r="V47" s="139"/>
      <c r="W47" s="186">
        <f t="shared" si="10"/>
        <v>0</v>
      </c>
      <c r="X47" s="232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</row>
    <row r="48" spans="1:38" ht="30" hidden="1" customHeight="1" x14ac:dyDescent="0.25">
      <c r="A48" s="70"/>
      <c r="B48" s="118"/>
      <c r="C48" s="26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>
        <f t="shared" si="8"/>
        <v>0</v>
      </c>
      <c r="P48" s="279"/>
      <c r="Q48" s="279"/>
      <c r="R48" s="279"/>
      <c r="S48" s="279"/>
      <c r="T48" s="279"/>
      <c r="U48" s="279">
        <f t="shared" si="9"/>
        <v>0</v>
      </c>
      <c r="V48" s="139"/>
      <c r="W48" s="186">
        <f t="shared" si="10"/>
        <v>0</v>
      </c>
      <c r="X48" s="232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</row>
    <row r="49" spans="1:38" ht="9.9499999999999993" hidden="1" customHeight="1" x14ac:dyDescent="0.25">
      <c r="A49" s="70"/>
      <c r="B49" s="118"/>
      <c r="C49" s="26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139"/>
      <c r="W49" s="186"/>
      <c r="X49" s="232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0"/>
    </row>
    <row r="50" spans="1:38" ht="30" hidden="1" customHeight="1" x14ac:dyDescent="0.25">
      <c r="A50" s="163" t="s">
        <v>54</v>
      </c>
      <c r="B50" s="160"/>
      <c r="C50" s="164" t="s">
        <v>52</v>
      </c>
      <c r="D50" s="279">
        <f>SUM(D35:D49)</f>
        <v>0</v>
      </c>
      <c r="E50" s="279">
        <f>SUM(E35:E49)</f>
        <v>0</v>
      </c>
      <c r="F50" s="279">
        <f t="shared" ref="F50:O50" si="11">SUM(F35:F49)</f>
        <v>16585.308000000001</v>
      </c>
      <c r="G50" s="279">
        <f t="shared" si="11"/>
        <v>195</v>
      </c>
      <c r="H50" s="279">
        <f t="shared" si="11"/>
        <v>319</v>
      </c>
      <c r="I50" s="279">
        <f t="shared" si="11"/>
        <v>0</v>
      </c>
      <c r="J50" s="279">
        <f t="shared" si="11"/>
        <v>0</v>
      </c>
      <c r="K50" s="279">
        <f t="shared" si="11"/>
        <v>0</v>
      </c>
      <c r="L50" s="279">
        <f t="shared" si="11"/>
        <v>50</v>
      </c>
      <c r="M50" s="279">
        <f t="shared" si="11"/>
        <v>0</v>
      </c>
      <c r="N50" s="279">
        <f t="shared" si="11"/>
        <v>0</v>
      </c>
      <c r="O50" s="279">
        <f t="shared" si="11"/>
        <v>17149.308000000001</v>
      </c>
      <c r="P50" s="279"/>
      <c r="Q50" s="279"/>
      <c r="R50" s="279"/>
      <c r="S50" s="279">
        <f>SUM(S35:S49)</f>
        <v>0</v>
      </c>
      <c r="T50" s="279">
        <f t="shared" ref="T50:U50" si="12">SUM(T35:T49)</f>
        <v>0</v>
      </c>
      <c r="U50" s="279">
        <f t="shared" si="12"/>
        <v>0</v>
      </c>
      <c r="V50" s="161"/>
      <c r="W50" s="187">
        <f>O50+U50</f>
        <v>17149.308000000001</v>
      </c>
      <c r="X50" s="232">
        <f>SUM(X35:X49)</f>
        <v>0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</row>
    <row r="51" spans="1:38" ht="20.100000000000001" hidden="1" customHeight="1" thickBot="1" x14ac:dyDescent="0.3">
      <c r="A51" s="58"/>
      <c r="B51" s="100"/>
      <c r="C51" s="26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123"/>
      <c r="W51" s="188"/>
      <c r="X51" s="193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</row>
    <row r="52" spans="1:38" ht="24.95" hidden="1" customHeight="1" thickTop="1" thickBot="1" x14ac:dyDescent="0.3">
      <c r="A52" s="32"/>
      <c r="B52" s="33"/>
      <c r="C52" s="40" t="s">
        <v>55</v>
      </c>
      <c r="D52" s="34">
        <f t="shared" ref="D52:F52" si="13">D33+D50</f>
        <v>0</v>
      </c>
      <c r="E52" s="34">
        <f t="shared" si="13"/>
        <v>0</v>
      </c>
      <c r="F52" s="34">
        <f t="shared" si="13"/>
        <v>16585.308000000001</v>
      </c>
      <c r="G52" s="34">
        <f>G33+G50</f>
        <v>195</v>
      </c>
      <c r="H52" s="34">
        <f t="shared" ref="H52:O52" si="14">H33+H50</f>
        <v>319</v>
      </c>
      <c r="I52" s="34">
        <f t="shared" si="14"/>
        <v>0</v>
      </c>
      <c r="J52" s="34">
        <f t="shared" si="14"/>
        <v>0</v>
      </c>
      <c r="K52" s="34">
        <f t="shared" si="14"/>
        <v>0</v>
      </c>
      <c r="L52" s="34">
        <f t="shared" si="14"/>
        <v>50</v>
      </c>
      <c r="M52" s="34">
        <f t="shared" si="14"/>
        <v>0</v>
      </c>
      <c r="N52" s="34">
        <f t="shared" si="14"/>
        <v>0</v>
      </c>
      <c r="O52" s="34">
        <f t="shared" si="14"/>
        <v>17149.308000000001</v>
      </c>
      <c r="P52" s="34"/>
      <c r="Q52" s="34">
        <f>Q33+Q50</f>
        <v>0</v>
      </c>
      <c r="R52" s="34">
        <f>R33+R50</f>
        <v>0</v>
      </c>
      <c r="S52" s="34">
        <f>S33+S50</f>
        <v>0</v>
      </c>
      <c r="T52" s="34">
        <f>T33+T50</f>
        <v>0</v>
      </c>
      <c r="U52" s="34">
        <f>U33+U50</f>
        <v>0</v>
      </c>
      <c r="V52" s="162"/>
      <c r="W52" s="189">
        <f>W33+W50</f>
        <v>17149.308000000001</v>
      </c>
      <c r="X52" s="35">
        <f>X33+X50</f>
        <v>144166.64300000001</v>
      </c>
    </row>
    <row r="53" spans="1:38" ht="24.95" hidden="1" customHeight="1" thickTop="1" thickBot="1" x14ac:dyDescent="0.3">
      <c r="A53" s="32"/>
      <c r="B53" s="33"/>
      <c r="C53" s="40" t="s">
        <v>103</v>
      </c>
      <c r="D53" s="159">
        <f t="shared" ref="D53:O53" si="15">D16+D52</f>
        <v>0</v>
      </c>
      <c r="E53" s="159">
        <f t="shared" si="15"/>
        <v>0</v>
      </c>
      <c r="F53" s="159">
        <f t="shared" si="15"/>
        <v>16585.308000000001</v>
      </c>
      <c r="G53" s="159">
        <f t="shared" si="15"/>
        <v>1860</v>
      </c>
      <c r="H53" s="159">
        <f t="shared" si="15"/>
        <v>10274</v>
      </c>
      <c r="I53" s="159">
        <f t="shared" si="15"/>
        <v>0</v>
      </c>
      <c r="J53" s="159">
        <f t="shared" si="15"/>
        <v>0</v>
      </c>
      <c r="K53" s="159">
        <f t="shared" si="15"/>
        <v>0</v>
      </c>
      <c r="L53" s="159">
        <f t="shared" si="15"/>
        <v>50</v>
      </c>
      <c r="M53" s="159">
        <f t="shared" si="15"/>
        <v>1500</v>
      </c>
      <c r="N53" s="34">
        <f t="shared" si="15"/>
        <v>0</v>
      </c>
      <c r="O53" s="34">
        <f t="shared" si="15"/>
        <v>30269.308000000001</v>
      </c>
      <c r="P53" s="34"/>
      <c r="Q53" s="34">
        <f>Q16+Q52</f>
        <v>0</v>
      </c>
      <c r="R53" s="34">
        <f>R16+R52</f>
        <v>0</v>
      </c>
      <c r="S53" s="34">
        <f>S16+S52</f>
        <v>0</v>
      </c>
      <c r="T53" s="34">
        <f>T16+T52</f>
        <v>0</v>
      </c>
      <c r="U53" s="34">
        <f>U16+U52</f>
        <v>0</v>
      </c>
      <c r="V53" s="34"/>
      <c r="W53" s="189">
        <f>O53+U53</f>
        <v>30269.308000000001</v>
      </c>
      <c r="X53" s="183">
        <f>X16+X52</f>
        <v>4137144.6430000002</v>
      </c>
    </row>
    <row r="54" spans="1:38" ht="15" hidden="1" customHeight="1" thickTop="1" thickBot="1" x14ac:dyDescent="0.3">
      <c r="A54" s="32"/>
      <c r="B54" s="33"/>
      <c r="C54" s="40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34"/>
      <c r="O54" s="34"/>
      <c r="P54" s="34"/>
      <c r="Q54" s="34"/>
      <c r="R54" s="34"/>
      <c r="S54" s="34"/>
      <c r="T54" s="34"/>
      <c r="U54" s="34"/>
      <c r="V54" s="34"/>
      <c r="W54" s="189"/>
      <c r="X54" s="183"/>
    </row>
    <row r="55" spans="1:38" ht="24.95" hidden="1" customHeight="1" thickTop="1" thickBot="1" x14ac:dyDescent="0.3">
      <c r="A55" s="32"/>
      <c r="B55" s="33"/>
      <c r="C55" s="216" t="s">
        <v>164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34"/>
      <c r="O55" s="34">
        <f>SUM(D55:N55)</f>
        <v>0</v>
      </c>
      <c r="P55" s="34"/>
      <c r="Q55" s="34"/>
      <c r="R55" s="393">
        <f>1325+5398+65+64+294+191+1016+17044+458+40074+635+8194+653+508+144721.39</f>
        <v>220640.39</v>
      </c>
      <c r="S55" s="366"/>
      <c r="T55" s="34"/>
      <c r="U55" s="394">
        <f>SUM(Q55:T55)</f>
        <v>220640.39</v>
      </c>
      <c r="V55" s="34"/>
      <c r="W55" s="189">
        <f>O55+U55</f>
        <v>220640.39</v>
      </c>
      <c r="X55" s="183"/>
    </row>
    <row r="56" spans="1:38" ht="15" hidden="1" customHeight="1" thickTop="1" thickBot="1" x14ac:dyDescent="0.3">
      <c r="A56" s="32"/>
      <c r="B56" s="33"/>
      <c r="C56" s="216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34"/>
      <c r="O56" s="34"/>
      <c r="P56" s="34"/>
      <c r="Q56" s="34"/>
      <c r="R56" s="34"/>
      <c r="S56" s="34"/>
      <c r="T56" s="34"/>
      <c r="U56" s="34"/>
      <c r="V56" s="34"/>
      <c r="W56" s="189"/>
      <c r="X56" s="183"/>
    </row>
    <row r="57" spans="1:38" ht="24.95" hidden="1" customHeight="1" thickTop="1" thickBot="1" x14ac:dyDescent="0.3">
      <c r="A57" s="32"/>
      <c r="B57" s="33"/>
      <c r="C57" s="216" t="s">
        <v>50</v>
      </c>
      <c r="D57" s="159"/>
      <c r="E57" s="159"/>
      <c r="F57" s="159"/>
      <c r="G57" s="159"/>
      <c r="H57" s="159"/>
      <c r="I57" s="159"/>
      <c r="J57" s="159"/>
      <c r="K57" s="159"/>
      <c r="L57" s="159"/>
      <c r="M57" s="34"/>
      <c r="N57" s="34"/>
      <c r="O57" s="34">
        <f>SUM(D57:N57)</f>
        <v>0</v>
      </c>
      <c r="P57" s="34"/>
      <c r="Q57" s="34"/>
      <c r="R57" s="34"/>
      <c r="S57" s="34"/>
      <c r="T57" s="34"/>
      <c r="U57" s="34">
        <f>SUM(Q57:T57)</f>
        <v>0</v>
      </c>
      <c r="V57" s="159"/>
      <c r="W57" s="189">
        <f>O57+U57</f>
        <v>0</v>
      </c>
      <c r="X57" s="183"/>
    </row>
    <row r="58" spans="1:38" ht="15" hidden="1" customHeight="1" thickTop="1" thickBot="1" x14ac:dyDescent="0.3">
      <c r="A58" s="32"/>
      <c r="B58" s="33"/>
      <c r="C58" s="216"/>
      <c r="D58" s="159"/>
      <c r="E58" s="159"/>
      <c r="F58" s="159"/>
      <c r="G58" s="159"/>
      <c r="H58" s="159"/>
      <c r="I58" s="159"/>
      <c r="J58" s="159"/>
      <c r="K58" s="159"/>
      <c r="L58" s="159"/>
      <c r="M58" s="34"/>
      <c r="N58" s="34"/>
      <c r="O58" s="34"/>
      <c r="P58" s="34"/>
      <c r="Q58" s="34"/>
      <c r="R58" s="34"/>
      <c r="S58" s="34"/>
      <c r="T58" s="34"/>
      <c r="U58" s="34"/>
      <c r="V58" s="159"/>
      <c r="W58" s="189"/>
      <c r="X58" s="183"/>
    </row>
    <row r="59" spans="1:38" ht="30" hidden="1" customHeight="1" thickTop="1" thickBot="1" x14ac:dyDescent="0.3">
      <c r="A59" s="32"/>
      <c r="B59" s="175" t="s">
        <v>122</v>
      </c>
      <c r="C59" s="40" t="s">
        <v>165</v>
      </c>
      <c r="D59" s="34">
        <f t="shared" ref="D59:U59" si="16">D53+D55+D57</f>
        <v>0</v>
      </c>
      <c r="E59" s="34">
        <f t="shared" si="16"/>
        <v>0</v>
      </c>
      <c r="F59" s="34">
        <f t="shared" si="16"/>
        <v>16585.308000000001</v>
      </c>
      <c r="G59" s="34">
        <f t="shared" si="16"/>
        <v>1860</v>
      </c>
      <c r="H59" s="34">
        <f t="shared" si="16"/>
        <v>10274</v>
      </c>
      <c r="I59" s="34">
        <f t="shared" si="16"/>
        <v>0</v>
      </c>
      <c r="J59" s="34">
        <f t="shared" si="16"/>
        <v>0</v>
      </c>
      <c r="K59" s="34">
        <f t="shared" si="16"/>
        <v>0</v>
      </c>
      <c r="L59" s="34">
        <f t="shared" si="16"/>
        <v>50</v>
      </c>
      <c r="M59" s="34">
        <f t="shared" si="16"/>
        <v>1500</v>
      </c>
      <c r="N59" s="34">
        <f t="shared" si="16"/>
        <v>0</v>
      </c>
      <c r="O59" s="34">
        <f t="shared" si="16"/>
        <v>30269.308000000001</v>
      </c>
      <c r="P59" s="34"/>
      <c r="Q59" s="34">
        <f t="shared" si="16"/>
        <v>0</v>
      </c>
      <c r="R59" s="34">
        <f t="shared" si="16"/>
        <v>220640.39</v>
      </c>
      <c r="S59" s="34">
        <f t="shared" si="16"/>
        <v>0</v>
      </c>
      <c r="T59" s="34">
        <f t="shared" si="16"/>
        <v>0</v>
      </c>
      <c r="U59" s="34">
        <f t="shared" si="16"/>
        <v>220640.39</v>
      </c>
      <c r="V59" s="159"/>
      <c r="W59" s="189">
        <f>W53+W55+W57</f>
        <v>250909.698</v>
      </c>
      <c r="X59" s="183">
        <f>X53+X55</f>
        <v>4137144.6430000002</v>
      </c>
    </row>
    <row r="60" spans="1:38" ht="24.95" customHeight="1" x14ac:dyDescent="0.25">
      <c r="A60" s="20"/>
      <c r="B60" s="21"/>
      <c r="C60" s="22" t="s">
        <v>18</v>
      </c>
      <c r="D60" s="23">
        <f t="shared" ref="D60:L60" si="17">D59</f>
        <v>0</v>
      </c>
      <c r="E60" s="23">
        <f t="shared" si="17"/>
        <v>0</v>
      </c>
      <c r="F60" s="23">
        <f t="shared" si="17"/>
        <v>16585.308000000001</v>
      </c>
      <c r="G60" s="23">
        <f t="shared" si="17"/>
        <v>1860</v>
      </c>
      <c r="H60" s="23">
        <f t="shared" si="17"/>
        <v>10274</v>
      </c>
      <c r="I60" s="23">
        <f t="shared" si="17"/>
        <v>0</v>
      </c>
      <c r="J60" s="23">
        <f t="shared" si="17"/>
        <v>0</v>
      </c>
      <c r="K60" s="23">
        <f t="shared" si="17"/>
        <v>0</v>
      </c>
      <c r="L60" s="23">
        <f t="shared" si="17"/>
        <v>50</v>
      </c>
      <c r="M60" s="23">
        <f t="shared" ref="M60:U60" si="18">M59</f>
        <v>1500</v>
      </c>
      <c r="N60" s="23">
        <f t="shared" si="18"/>
        <v>0</v>
      </c>
      <c r="O60" s="23">
        <f t="shared" si="18"/>
        <v>30269.308000000001</v>
      </c>
      <c r="P60" s="23"/>
      <c r="Q60" s="23">
        <f>Q59</f>
        <v>0</v>
      </c>
      <c r="R60" s="23">
        <f>R59</f>
        <v>220640.39</v>
      </c>
      <c r="S60" s="23">
        <f t="shared" si="18"/>
        <v>0</v>
      </c>
      <c r="T60" s="23">
        <f t="shared" si="18"/>
        <v>0</v>
      </c>
      <c r="U60" s="23">
        <f t="shared" si="18"/>
        <v>220640.39</v>
      </c>
      <c r="V60" s="23"/>
      <c r="W60" s="505">
        <f>O60+U60</f>
        <v>250909.698</v>
      </c>
      <c r="X60" s="195">
        <f>X59</f>
        <v>4137144.6430000002</v>
      </c>
    </row>
    <row r="61" spans="1:38" ht="24.95" customHeight="1" x14ac:dyDescent="0.25">
      <c r="A61" s="323"/>
      <c r="B61" s="324"/>
      <c r="C61" s="325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8"/>
      <c r="W61" s="326"/>
      <c r="X61" s="327"/>
    </row>
    <row r="62" spans="1:38" ht="30" customHeight="1" x14ac:dyDescent="0.2">
      <c r="A62" s="37">
        <v>1</v>
      </c>
      <c r="B62" s="150" t="s">
        <v>433</v>
      </c>
      <c r="C62" s="30" t="s">
        <v>432</v>
      </c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328">
        <f t="shared" ref="O62:O85" si="19">SUM(D62:N62)</f>
        <v>0</v>
      </c>
      <c r="P62" s="227"/>
      <c r="Q62" s="227"/>
      <c r="R62" s="227"/>
      <c r="S62" s="227"/>
      <c r="T62" s="227"/>
      <c r="U62" s="328">
        <f t="shared" ref="U62:U85" si="20">SUM(Q62:T62)</f>
        <v>0</v>
      </c>
      <c r="V62" s="228"/>
      <c r="W62" s="196">
        <f t="shared" ref="W62:W85" si="21">O62+U62</f>
        <v>0</v>
      </c>
      <c r="X62" s="197">
        <f>5467</f>
        <v>5467</v>
      </c>
    </row>
    <row r="63" spans="1:38" ht="30" customHeight="1" x14ac:dyDescent="0.2">
      <c r="A63" s="37">
        <v>2</v>
      </c>
      <c r="B63" s="150" t="s">
        <v>435</v>
      </c>
      <c r="C63" s="30" t="s">
        <v>432</v>
      </c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328">
        <f t="shared" ref="O63" si="22">SUM(D63:N63)</f>
        <v>0</v>
      </c>
      <c r="P63" s="227"/>
      <c r="Q63" s="227"/>
      <c r="R63" s="227"/>
      <c r="S63" s="227"/>
      <c r="T63" s="227"/>
      <c r="U63" s="328">
        <f t="shared" ref="U63" si="23">SUM(Q63:T63)</f>
        <v>0</v>
      </c>
      <c r="V63" s="228"/>
      <c r="W63" s="196">
        <f t="shared" ref="W63" si="24">O63+U63</f>
        <v>0</v>
      </c>
      <c r="X63" s="197">
        <v>1125</v>
      </c>
    </row>
    <row r="64" spans="1:38" ht="30" customHeight="1" x14ac:dyDescent="0.2">
      <c r="A64" s="37">
        <v>3</v>
      </c>
      <c r="B64" s="150" t="s">
        <v>436</v>
      </c>
      <c r="C64" s="38" t="s">
        <v>437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>
        <f t="shared" si="19"/>
        <v>0</v>
      </c>
      <c r="P64" s="181"/>
      <c r="Q64" s="181"/>
      <c r="R64" s="181"/>
      <c r="S64" s="181"/>
      <c r="T64" s="181"/>
      <c r="U64" s="181">
        <f t="shared" si="20"/>
        <v>0</v>
      </c>
      <c r="V64" s="182"/>
      <c r="W64" s="196">
        <f t="shared" si="21"/>
        <v>0</v>
      </c>
      <c r="X64" s="197">
        <f>953</f>
        <v>953</v>
      </c>
    </row>
    <row r="65" spans="1:24" ht="30" customHeight="1" x14ac:dyDescent="0.2">
      <c r="A65" s="37">
        <v>4</v>
      </c>
      <c r="B65" s="150" t="s">
        <v>442</v>
      </c>
      <c r="C65" s="38" t="s">
        <v>432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>
        <f t="shared" si="19"/>
        <v>0</v>
      </c>
      <c r="P65" s="181"/>
      <c r="Q65" s="181"/>
      <c r="R65" s="181"/>
      <c r="S65" s="181"/>
      <c r="T65" s="181"/>
      <c r="U65" s="181">
        <f t="shared" si="20"/>
        <v>0</v>
      </c>
      <c r="V65" s="182"/>
      <c r="W65" s="196">
        <f t="shared" si="21"/>
        <v>0</v>
      </c>
      <c r="X65" s="197">
        <f>2300</f>
        <v>2300</v>
      </c>
    </row>
    <row r="66" spans="1:24" ht="30" customHeight="1" x14ac:dyDescent="0.2">
      <c r="A66" s="37">
        <v>5</v>
      </c>
      <c r="B66" s="150" t="s">
        <v>462</v>
      </c>
      <c r="C66" s="38" t="s">
        <v>458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>
        <f t="shared" si="19"/>
        <v>0</v>
      </c>
      <c r="P66" s="181"/>
      <c r="Q66" s="181"/>
      <c r="R66" s="181"/>
      <c r="S66" s="181"/>
      <c r="T66" s="181"/>
      <c r="U66" s="181">
        <f t="shared" si="20"/>
        <v>0</v>
      </c>
      <c r="V66" s="182"/>
      <c r="W66" s="196">
        <f t="shared" si="21"/>
        <v>0</v>
      </c>
      <c r="X66" s="197">
        <f>46.605</f>
        <v>46.604999999999997</v>
      </c>
    </row>
    <row r="67" spans="1:24" ht="30" customHeight="1" x14ac:dyDescent="0.2">
      <c r="A67" s="37">
        <v>6</v>
      </c>
      <c r="B67" s="150" t="s">
        <v>492</v>
      </c>
      <c r="C67" s="38" t="s">
        <v>491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>
        <f t="shared" si="19"/>
        <v>0</v>
      </c>
      <c r="P67" s="181"/>
      <c r="Q67" s="181"/>
      <c r="R67" s="181"/>
      <c r="S67" s="181"/>
      <c r="T67" s="181"/>
      <c r="U67" s="181">
        <f t="shared" si="20"/>
        <v>0</v>
      </c>
      <c r="V67" s="182"/>
      <c r="W67" s="196">
        <f t="shared" si="21"/>
        <v>0</v>
      </c>
      <c r="X67" s="197">
        <v>46.604999999999997</v>
      </c>
    </row>
    <row r="68" spans="1:24" ht="30" customHeight="1" x14ac:dyDescent="0.2">
      <c r="A68" s="37">
        <v>7</v>
      </c>
      <c r="B68" s="419" t="s">
        <v>507</v>
      </c>
      <c r="C68" s="38" t="s">
        <v>434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>
        <f t="shared" si="19"/>
        <v>0</v>
      </c>
      <c r="P68" s="181"/>
      <c r="Q68" s="181"/>
      <c r="R68" s="181"/>
      <c r="S68" s="181"/>
      <c r="T68" s="181"/>
      <c r="U68" s="181">
        <f t="shared" si="20"/>
        <v>0</v>
      </c>
      <c r="V68" s="182"/>
      <c r="W68" s="196">
        <f t="shared" si="21"/>
        <v>0</v>
      </c>
      <c r="X68" s="197">
        <f>527</f>
        <v>527</v>
      </c>
    </row>
    <row r="69" spans="1:24" ht="30" customHeight="1" x14ac:dyDescent="0.2">
      <c r="A69" s="37">
        <v>8</v>
      </c>
      <c r="B69" s="150" t="s">
        <v>578</v>
      </c>
      <c r="C69" s="38" t="s">
        <v>579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>
        <f t="shared" si="19"/>
        <v>0</v>
      </c>
      <c r="P69" s="181"/>
      <c r="Q69" s="181"/>
      <c r="R69" s="181"/>
      <c r="S69" s="181"/>
      <c r="T69" s="181"/>
      <c r="U69" s="181">
        <f t="shared" si="20"/>
        <v>0</v>
      </c>
      <c r="V69" s="182"/>
      <c r="W69" s="196">
        <f t="shared" si="21"/>
        <v>0</v>
      </c>
      <c r="X69" s="197">
        <v>46.844000000000001</v>
      </c>
    </row>
    <row r="70" spans="1:24" ht="30" customHeight="1" x14ac:dyDescent="0.2">
      <c r="A70" s="37">
        <v>9</v>
      </c>
      <c r="B70" s="150" t="s">
        <v>606</v>
      </c>
      <c r="C70" s="38" t="s">
        <v>605</v>
      </c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>
        <f t="shared" si="19"/>
        <v>0</v>
      </c>
      <c r="P70" s="181"/>
      <c r="Q70" s="181"/>
      <c r="R70" s="181"/>
      <c r="S70" s="181"/>
      <c r="T70" s="181"/>
      <c r="U70" s="181">
        <f t="shared" si="20"/>
        <v>0</v>
      </c>
      <c r="V70" s="182"/>
      <c r="W70" s="196">
        <f t="shared" si="21"/>
        <v>0</v>
      </c>
      <c r="X70" s="197">
        <f>2000</f>
        <v>2000</v>
      </c>
    </row>
    <row r="71" spans="1:24" ht="30" customHeight="1" x14ac:dyDescent="0.2">
      <c r="A71" s="37">
        <v>10</v>
      </c>
      <c r="B71" s="150" t="s">
        <v>609</v>
      </c>
      <c r="C71" s="38" t="s">
        <v>607</v>
      </c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>
        <f t="shared" si="19"/>
        <v>0</v>
      </c>
      <c r="P71" s="181"/>
      <c r="Q71" s="181"/>
      <c r="R71" s="181"/>
      <c r="S71" s="181"/>
      <c r="T71" s="181"/>
      <c r="U71" s="181">
        <f t="shared" si="20"/>
        <v>0</v>
      </c>
      <c r="V71" s="182"/>
      <c r="W71" s="196">
        <f t="shared" si="21"/>
        <v>0</v>
      </c>
      <c r="X71" s="197">
        <f>2539</f>
        <v>2539</v>
      </c>
    </row>
    <row r="72" spans="1:24" ht="30" customHeight="1" x14ac:dyDescent="0.2">
      <c r="A72" s="37">
        <v>11</v>
      </c>
      <c r="B72" s="150" t="s">
        <v>610</v>
      </c>
      <c r="C72" s="38" t="s">
        <v>611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>
        <f t="shared" si="19"/>
        <v>0</v>
      </c>
      <c r="P72" s="181"/>
      <c r="Q72" s="181"/>
      <c r="R72" s="181"/>
      <c r="S72" s="181"/>
      <c r="T72" s="181"/>
      <c r="U72" s="181">
        <f t="shared" si="20"/>
        <v>0</v>
      </c>
      <c r="V72" s="182"/>
      <c r="W72" s="196">
        <f t="shared" si="21"/>
        <v>0</v>
      </c>
      <c r="X72" s="197">
        <f>781</f>
        <v>781</v>
      </c>
    </row>
    <row r="73" spans="1:24" ht="30" customHeight="1" x14ac:dyDescent="0.2">
      <c r="A73" s="37">
        <v>12</v>
      </c>
      <c r="B73" s="150" t="s">
        <v>617</v>
      </c>
      <c r="C73" s="38" t="s">
        <v>616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>
        <f t="shared" si="19"/>
        <v>0</v>
      </c>
      <c r="P73" s="181"/>
      <c r="Q73" s="181"/>
      <c r="R73" s="181"/>
      <c r="S73" s="181"/>
      <c r="T73" s="181"/>
      <c r="U73" s="181">
        <f t="shared" si="20"/>
        <v>0</v>
      </c>
      <c r="V73" s="182"/>
      <c r="W73" s="196">
        <f t="shared" si="21"/>
        <v>0</v>
      </c>
      <c r="X73" s="197">
        <f>2659</f>
        <v>2659</v>
      </c>
    </row>
    <row r="74" spans="1:24" ht="30" customHeight="1" x14ac:dyDescent="0.2">
      <c r="A74" s="37">
        <v>13</v>
      </c>
      <c r="B74" s="150" t="s">
        <v>618</v>
      </c>
      <c r="C74" s="38" t="s">
        <v>619</v>
      </c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>
        <f t="shared" si="19"/>
        <v>0</v>
      </c>
      <c r="P74" s="181"/>
      <c r="Q74" s="181"/>
      <c r="R74" s="181"/>
      <c r="S74" s="181"/>
      <c r="T74" s="181"/>
      <c r="U74" s="181">
        <f t="shared" si="20"/>
        <v>0</v>
      </c>
      <c r="V74" s="182"/>
      <c r="W74" s="196">
        <f t="shared" si="21"/>
        <v>0</v>
      </c>
      <c r="X74" s="197">
        <f>2718</f>
        <v>2718</v>
      </c>
    </row>
    <row r="75" spans="1:24" ht="30" customHeight="1" x14ac:dyDescent="0.2">
      <c r="A75" s="37">
        <v>14</v>
      </c>
      <c r="B75" s="150" t="s">
        <v>634</v>
      </c>
      <c r="C75" s="38" t="s">
        <v>633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>
        <f t="shared" si="19"/>
        <v>0</v>
      </c>
      <c r="P75" s="181"/>
      <c r="Q75" s="181"/>
      <c r="R75" s="181"/>
      <c r="S75" s="181"/>
      <c r="T75" s="181"/>
      <c r="U75" s="181">
        <f t="shared" si="20"/>
        <v>0</v>
      </c>
      <c r="V75" s="182"/>
      <c r="W75" s="196">
        <f t="shared" si="21"/>
        <v>0</v>
      </c>
      <c r="X75" s="197">
        <v>469.5</v>
      </c>
    </row>
    <row r="76" spans="1:24" ht="30" customHeight="1" x14ac:dyDescent="0.2">
      <c r="A76" s="37">
        <v>15</v>
      </c>
      <c r="B76" s="429" t="s">
        <v>636</v>
      </c>
      <c r="C76" s="38" t="s">
        <v>635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>
        <f t="shared" si="19"/>
        <v>0</v>
      </c>
      <c r="P76" s="181"/>
      <c r="Q76" s="181"/>
      <c r="R76" s="181"/>
      <c r="S76" s="181"/>
      <c r="T76" s="181"/>
      <c r="U76" s="181">
        <f t="shared" si="20"/>
        <v>0</v>
      </c>
      <c r="V76" s="182"/>
      <c r="W76" s="196">
        <f t="shared" si="21"/>
        <v>0</v>
      </c>
      <c r="X76" s="197">
        <v>47.116999999999997</v>
      </c>
    </row>
    <row r="77" spans="1:24" ht="35.1" customHeight="1" x14ac:dyDescent="0.2">
      <c r="A77" s="37">
        <v>16</v>
      </c>
      <c r="B77" s="150" t="s">
        <v>659</v>
      </c>
      <c r="C77" s="38" t="s">
        <v>658</v>
      </c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>
        <f t="shared" si="19"/>
        <v>0</v>
      </c>
      <c r="P77" s="181"/>
      <c r="Q77" s="181"/>
      <c r="R77" s="181"/>
      <c r="S77" s="181"/>
      <c r="T77" s="181"/>
      <c r="U77" s="181">
        <f t="shared" si="20"/>
        <v>0</v>
      </c>
      <c r="V77" s="182"/>
      <c r="W77" s="196">
        <f t="shared" si="21"/>
        <v>0</v>
      </c>
      <c r="X77" s="197">
        <f>-581</f>
        <v>-581</v>
      </c>
    </row>
    <row r="78" spans="1:24" ht="30" customHeight="1" x14ac:dyDescent="0.2">
      <c r="A78" s="37">
        <v>17</v>
      </c>
      <c r="B78" s="150" t="s">
        <v>681</v>
      </c>
      <c r="C78" s="38" t="s">
        <v>680</v>
      </c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>
        <f t="shared" si="19"/>
        <v>0</v>
      </c>
      <c r="P78" s="181"/>
      <c r="Q78" s="181"/>
      <c r="R78" s="181"/>
      <c r="S78" s="181"/>
      <c r="T78" s="181"/>
      <c r="U78" s="181">
        <f t="shared" si="20"/>
        <v>0</v>
      </c>
      <c r="V78" s="182"/>
      <c r="W78" s="196">
        <f t="shared" si="21"/>
        <v>0</v>
      </c>
      <c r="X78" s="197">
        <f>3810</f>
        <v>3810</v>
      </c>
    </row>
    <row r="79" spans="1:24" ht="30" customHeight="1" x14ac:dyDescent="0.2">
      <c r="A79" s="37">
        <v>18</v>
      </c>
      <c r="B79" s="150" t="s">
        <v>682</v>
      </c>
      <c r="C79" s="38" t="s">
        <v>683</v>
      </c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>
        <f t="shared" si="19"/>
        <v>0</v>
      </c>
      <c r="P79" s="181"/>
      <c r="Q79" s="181"/>
      <c r="R79" s="181"/>
      <c r="S79" s="181"/>
      <c r="T79" s="181"/>
      <c r="U79" s="181">
        <f t="shared" si="20"/>
        <v>0</v>
      </c>
      <c r="V79" s="182"/>
      <c r="W79" s="196">
        <f t="shared" si="21"/>
        <v>0</v>
      </c>
      <c r="X79" s="197">
        <v>376</v>
      </c>
    </row>
    <row r="80" spans="1:24" ht="30" customHeight="1" x14ac:dyDescent="0.2">
      <c r="A80" s="37">
        <v>19</v>
      </c>
      <c r="B80" s="150" t="s">
        <v>688</v>
      </c>
      <c r="C80" s="38" t="s">
        <v>687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>
        <f t="shared" si="19"/>
        <v>0</v>
      </c>
      <c r="P80" s="181"/>
      <c r="Q80" s="181"/>
      <c r="R80" s="181"/>
      <c r="S80" s="181"/>
      <c r="T80" s="181"/>
      <c r="U80" s="181">
        <f t="shared" si="20"/>
        <v>0</v>
      </c>
      <c r="V80" s="182"/>
      <c r="W80" s="196">
        <f t="shared" si="21"/>
        <v>0</v>
      </c>
      <c r="X80" s="197">
        <f>47.117</f>
        <v>47.116999999999997</v>
      </c>
    </row>
    <row r="81" spans="1:24" ht="30" customHeight="1" x14ac:dyDescent="0.2">
      <c r="A81" s="37">
        <v>20</v>
      </c>
      <c r="B81" s="150" t="s">
        <v>707</v>
      </c>
      <c r="C81" s="38" t="s">
        <v>706</v>
      </c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>
        <f t="shared" si="19"/>
        <v>0</v>
      </c>
      <c r="P81" s="181"/>
      <c r="Q81" s="181"/>
      <c r="R81" s="181"/>
      <c r="S81" s="181"/>
      <c r="T81" s="181"/>
      <c r="U81" s="181">
        <f t="shared" si="20"/>
        <v>0</v>
      </c>
      <c r="V81" s="182"/>
      <c r="W81" s="196">
        <f t="shared" si="21"/>
        <v>0</v>
      </c>
      <c r="X81" s="197">
        <v>25817</v>
      </c>
    </row>
    <row r="82" spans="1:24" ht="30" customHeight="1" x14ac:dyDescent="0.2">
      <c r="A82" s="37">
        <v>21</v>
      </c>
      <c r="B82" s="150" t="s">
        <v>727</v>
      </c>
      <c r="C82" s="38" t="s">
        <v>726</v>
      </c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>
        <f t="shared" si="19"/>
        <v>0</v>
      </c>
      <c r="P82" s="181"/>
      <c r="Q82" s="181"/>
      <c r="R82" s="181"/>
      <c r="S82" s="181"/>
      <c r="T82" s="181"/>
      <c r="U82" s="181">
        <f t="shared" si="20"/>
        <v>0</v>
      </c>
      <c r="V82" s="182"/>
      <c r="W82" s="196">
        <f t="shared" si="21"/>
        <v>0</v>
      </c>
      <c r="X82" s="197">
        <v>762</v>
      </c>
    </row>
    <row r="83" spans="1:24" ht="30" customHeight="1" x14ac:dyDescent="0.2">
      <c r="A83" s="37">
        <v>22</v>
      </c>
      <c r="B83" s="150" t="s">
        <v>732</v>
      </c>
      <c r="C83" s="38" t="s">
        <v>731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>
        <f t="shared" si="19"/>
        <v>0</v>
      </c>
      <c r="P83" s="181"/>
      <c r="Q83" s="181"/>
      <c r="R83" s="181"/>
      <c r="S83" s="181"/>
      <c r="T83" s="181"/>
      <c r="U83" s="181">
        <f t="shared" si="20"/>
        <v>0</v>
      </c>
      <c r="V83" s="182"/>
      <c r="W83" s="196">
        <f t="shared" si="21"/>
        <v>0</v>
      </c>
      <c r="X83" s="197">
        <v>17556</v>
      </c>
    </row>
    <row r="84" spans="1:24" ht="30" customHeight="1" x14ac:dyDescent="0.2">
      <c r="A84" s="37">
        <v>23</v>
      </c>
      <c r="B84" s="150" t="s">
        <v>737</v>
      </c>
      <c r="C84" s="38" t="s">
        <v>736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>
        <f t="shared" si="19"/>
        <v>0</v>
      </c>
      <c r="P84" s="181"/>
      <c r="Q84" s="181"/>
      <c r="R84" s="181"/>
      <c r="S84" s="181"/>
      <c r="T84" s="181"/>
      <c r="U84" s="181">
        <f t="shared" si="20"/>
        <v>0</v>
      </c>
      <c r="V84" s="182"/>
      <c r="W84" s="196">
        <f t="shared" si="21"/>
        <v>0</v>
      </c>
      <c r="X84" s="197">
        <v>47.118000000000002</v>
      </c>
    </row>
    <row r="85" spans="1:24" ht="30" customHeight="1" x14ac:dyDescent="0.2">
      <c r="A85" s="37">
        <v>24</v>
      </c>
      <c r="B85" s="422" t="s">
        <v>740</v>
      </c>
      <c r="C85" s="38" t="s">
        <v>739</v>
      </c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>
        <f t="shared" si="19"/>
        <v>0</v>
      </c>
      <c r="P85" s="181"/>
      <c r="Q85" s="181"/>
      <c r="R85" s="181"/>
      <c r="S85" s="181"/>
      <c r="T85" s="181"/>
      <c r="U85" s="181">
        <f t="shared" si="20"/>
        <v>0</v>
      </c>
      <c r="V85" s="182"/>
      <c r="W85" s="196">
        <f t="shared" si="21"/>
        <v>0</v>
      </c>
      <c r="X85" s="197">
        <v>-2922</v>
      </c>
    </row>
    <row r="86" spans="1:24" ht="24.95" customHeight="1" x14ac:dyDescent="0.2">
      <c r="A86" s="37"/>
      <c r="B86" s="117"/>
      <c r="C86" s="38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2"/>
      <c r="W86" s="196"/>
      <c r="X86" s="197"/>
    </row>
    <row r="87" spans="1:24" ht="15" customHeight="1" x14ac:dyDescent="0.2">
      <c r="A87" s="37"/>
      <c r="B87" s="107"/>
      <c r="C87" s="38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2"/>
      <c r="W87" s="196"/>
      <c r="X87" s="197"/>
    </row>
    <row r="88" spans="1:24" ht="30" customHeight="1" x14ac:dyDescent="0.2">
      <c r="A88" s="163" t="s">
        <v>53</v>
      </c>
      <c r="B88" s="160"/>
      <c r="C88" s="164" t="s">
        <v>51</v>
      </c>
      <c r="D88" s="62">
        <f t="shared" ref="D88:O88" si="25">SUM(D62:D87)</f>
        <v>0</v>
      </c>
      <c r="E88" s="62">
        <f t="shared" si="25"/>
        <v>0</v>
      </c>
      <c r="F88" s="62">
        <f t="shared" si="25"/>
        <v>0</v>
      </c>
      <c r="G88" s="62">
        <f t="shared" si="25"/>
        <v>0</v>
      </c>
      <c r="H88" s="62">
        <f t="shared" si="25"/>
        <v>0</v>
      </c>
      <c r="I88" s="62">
        <f t="shared" si="25"/>
        <v>0</v>
      </c>
      <c r="J88" s="62">
        <f t="shared" si="25"/>
        <v>0</v>
      </c>
      <c r="K88" s="62">
        <f t="shared" si="25"/>
        <v>0</v>
      </c>
      <c r="L88" s="62">
        <f t="shared" si="25"/>
        <v>0</v>
      </c>
      <c r="M88" s="62">
        <f t="shared" si="25"/>
        <v>0</v>
      </c>
      <c r="N88" s="62">
        <f t="shared" si="25"/>
        <v>0</v>
      </c>
      <c r="O88" s="62">
        <f t="shared" si="25"/>
        <v>0</v>
      </c>
      <c r="P88" s="62"/>
      <c r="Q88" s="62">
        <f>SUM(Q62:Q87)</f>
        <v>0</v>
      </c>
      <c r="R88" s="62">
        <f>SUM(R62:R87)</f>
        <v>0</v>
      </c>
      <c r="S88" s="62">
        <f>SUM(S62:S87)</f>
        <v>0</v>
      </c>
      <c r="T88" s="62">
        <f>SUM(T62:T87)</f>
        <v>0</v>
      </c>
      <c r="U88" s="62">
        <f>SUM(U62:U87)</f>
        <v>0</v>
      </c>
      <c r="V88" s="62"/>
      <c r="W88" s="198">
        <f>O88+U88</f>
        <v>0</v>
      </c>
      <c r="X88" s="193">
        <f>SUM(X62:X87)</f>
        <v>66637.906000000003</v>
      </c>
    </row>
    <row r="89" spans="1:24" ht="26.25" customHeight="1" x14ac:dyDescent="0.2">
      <c r="A89" s="444"/>
      <c r="B89" s="480"/>
      <c r="C89" s="445"/>
      <c r="D89" s="88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200"/>
      <c r="W89" s="201"/>
      <c r="X89" s="202"/>
    </row>
    <row r="90" spans="1:24" ht="20.100000000000001" customHeight="1" x14ac:dyDescent="0.2">
      <c r="A90" s="176"/>
      <c r="B90" s="177"/>
      <c r="C90" s="106"/>
      <c r="D90" s="62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2"/>
      <c r="W90" s="196"/>
      <c r="X90" s="197"/>
    </row>
    <row r="91" spans="1:24" ht="30" customHeight="1" x14ac:dyDescent="0.2">
      <c r="A91" s="37">
        <v>25</v>
      </c>
      <c r="B91" s="178" t="s">
        <v>424</v>
      </c>
      <c r="C91" s="38" t="s">
        <v>425</v>
      </c>
      <c r="D91" s="145"/>
      <c r="E91" s="145"/>
      <c r="F91" s="181"/>
      <c r="G91" s="181"/>
      <c r="H91" s="181">
        <f>220+60</f>
        <v>280</v>
      </c>
      <c r="I91" s="145"/>
      <c r="J91" s="145"/>
      <c r="K91" s="145"/>
      <c r="L91" s="145"/>
      <c r="M91" s="145"/>
      <c r="N91" s="145"/>
      <c r="O91" s="181">
        <f>SUM(D91:N91)</f>
        <v>280</v>
      </c>
      <c r="P91" s="145"/>
      <c r="Q91" s="145"/>
      <c r="R91" s="145"/>
      <c r="S91" s="145"/>
      <c r="T91" s="145"/>
      <c r="U91" s="181">
        <f>SUM(Q91:T91)</f>
        <v>0</v>
      </c>
      <c r="V91" s="146"/>
      <c r="W91" s="196">
        <f>O91+U91</f>
        <v>280</v>
      </c>
      <c r="X91" s="250"/>
    </row>
    <row r="92" spans="1:24" ht="30" customHeight="1" x14ac:dyDescent="0.2">
      <c r="A92" s="149">
        <v>26</v>
      </c>
      <c r="B92" s="150" t="s">
        <v>475</v>
      </c>
      <c r="C92" s="38" t="s">
        <v>474</v>
      </c>
      <c r="D92" s="145"/>
      <c r="E92" s="145"/>
      <c r="F92" s="181"/>
      <c r="G92" s="181"/>
      <c r="H92" s="181">
        <f>48</f>
        <v>48</v>
      </c>
      <c r="I92" s="145"/>
      <c r="J92" s="145"/>
      <c r="K92" s="145"/>
      <c r="L92" s="145"/>
      <c r="M92" s="145"/>
      <c r="N92" s="145"/>
      <c r="O92" s="181">
        <f>SUM(D92:N92)</f>
        <v>48</v>
      </c>
      <c r="P92" s="145"/>
      <c r="Q92" s="145"/>
      <c r="R92" s="145"/>
      <c r="S92" s="145"/>
      <c r="T92" s="145"/>
      <c r="U92" s="181">
        <f>SUM(Q92:T92)</f>
        <v>0</v>
      </c>
      <c r="V92" s="146"/>
      <c r="W92" s="196">
        <f>O92+U92</f>
        <v>48</v>
      </c>
      <c r="X92" s="250"/>
    </row>
    <row r="93" spans="1:24" ht="30" customHeight="1" x14ac:dyDescent="0.2">
      <c r="A93" s="37">
        <v>27</v>
      </c>
      <c r="B93" s="150" t="s">
        <v>547</v>
      </c>
      <c r="C93" s="26" t="s">
        <v>548</v>
      </c>
      <c r="D93" s="145"/>
      <c r="E93" s="145"/>
      <c r="F93" s="181">
        <f>24</f>
        <v>24</v>
      </c>
      <c r="G93" s="181"/>
      <c r="H93" s="181"/>
      <c r="I93" s="145"/>
      <c r="J93" s="145"/>
      <c r="K93" s="145"/>
      <c r="L93" s="145"/>
      <c r="M93" s="145"/>
      <c r="N93" s="145"/>
      <c r="O93" s="181">
        <f>SUM(D93:N93)</f>
        <v>24</v>
      </c>
      <c r="P93" s="145"/>
      <c r="Q93" s="145"/>
      <c r="R93" s="145"/>
      <c r="S93" s="145"/>
      <c r="T93" s="145"/>
      <c r="U93" s="181">
        <f>SUM(Q93:T93)</f>
        <v>0</v>
      </c>
      <c r="V93" s="146"/>
      <c r="W93" s="196">
        <f>O93+U93</f>
        <v>24</v>
      </c>
      <c r="X93" s="250"/>
    </row>
    <row r="94" spans="1:24" ht="30" customHeight="1" x14ac:dyDescent="0.2">
      <c r="A94" s="149">
        <v>28</v>
      </c>
      <c r="B94" s="321" t="s">
        <v>549</v>
      </c>
      <c r="C94" s="38" t="s">
        <v>550</v>
      </c>
      <c r="D94" s="145"/>
      <c r="E94" s="145"/>
      <c r="F94" s="181">
        <f>525.225</f>
        <v>525.22500000000002</v>
      </c>
      <c r="G94" s="181"/>
      <c r="H94" s="181"/>
      <c r="I94" s="145"/>
      <c r="J94" s="145"/>
      <c r="K94" s="145"/>
      <c r="L94" s="145"/>
      <c r="M94" s="145"/>
      <c r="N94" s="145"/>
      <c r="O94" s="181">
        <f t="shared" ref="O94:O101" si="26">SUM(D94:N94)</f>
        <v>525.22500000000002</v>
      </c>
      <c r="P94" s="145"/>
      <c r="Q94" s="145"/>
      <c r="R94" s="145"/>
      <c r="S94" s="145"/>
      <c r="T94" s="145"/>
      <c r="U94" s="181">
        <f t="shared" ref="U94:U101" si="27">SUM(Q94:T94)</f>
        <v>0</v>
      </c>
      <c r="V94" s="146"/>
      <c r="W94" s="196">
        <f t="shared" ref="W94:W101" si="28">O94+U94</f>
        <v>525.22500000000002</v>
      </c>
      <c r="X94" s="250"/>
    </row>
    <row r="95" spans="1:24" ht="30" customHeight="1" x14ac:dyDescent="0.2">
      <c r="A95" s="37">
        <v>29</v>
      </c>
      <c r="B95" s="174" t="s">
        <v>551</v>
      </c>
      <c r="C95" s="38" t="s">
        <v>552</v>
      </c>
      <c r="D95" s="145"/>
      <c r="E95" s="145"/>
      <c r="F95" s="181"/>
      <c r="G95" s="181"/>
      <c r="H95" s="181">
        <f>32</f>
        <v>32</v>
      </c>
      <c r="I95" s="145"/>
      <c r="J95" s="145"/>
      <c r="K95" s="145"/>
      <c r="L95" s="145"/>
      <c r="M95" s="145"/>
      <c r="N95" s="145"/>
      <c r="O95" s="181">
        <f t="shared" si="26"/>
        <v>32</v>
      </c>
      <c r="P95" s="145"/>
      <c r="Q95" s="145"/>
      <c r="R95" s="145"/>
      <c r="S95" s="145"/>
      <c r="T95" s="145"/>
      <c r="U95" s="181">
        <f t="shared" si="27"/>
        <v>0</v>
      </c>
      <c r="V95" s="146"/>
      <c r="W95" s="196">
        <f t="shared" si="28"/>
        <v>32</v>
      </c>
      <c r="X95" s="250"/>
    </row>
    <row r="96" spans="1:24" ht="30" customHeight="1" x14ac:dyDescent="0.2">
      <c r="A96" s="149">
        <v>30</v>
      </c>
      <c r="B96" s="420" t="s">
        <v>553</v>
      </c>
      <c r="C96" s="38" t="s">
        <v>554</v>
      </c>
      <c r="D96" s="145"/>
      <c r="E96" s="145"/>
      <c r="F96" s="181">
        <f>569.84</f>
        <v>569.84</v>
      </c>
      <c r="G96" s="181"/>
      <c r="H96" s="181"/>
      <c r="I96" s="145"/>
      <c r="J96" s="145"/>
      <c r="K96" s="145"/>
      <c r="L96" s="145"/>
      <c r="M96" s="145"/>
      <c r="N96" s="145"/>
      <c r="O96" s="181">
        <f t="shared" si="26"/>
        <v>569.84</v>
      </c>
      <c r="P96" s="145"/>
      <c r="Q96" s="145"/>
      <c r="R96" s="145"/>
      <c r="S96" s="145"/>
      <c r="T96" s="145"/>
      <c r="U96" s="181">
        <f t="shared" si="27"/>
        <v>0</v>
      </c>
      <c r="V96" s="146"/>
      <c r="W96" s="196">
        <f t="shared" si="28"/>
        <v>569.84</v>
      </c>
      <c r="X96" s="250"/>
    </row>
    <row r="97" spans="1:24" ht="30" customHeight="1" x14ac:dyDescent="0.2">
      <c r="A97" s="37">
        <v>31</v>
      </c>
      <c r="B97" s="423" t="s">
        <v>585</v>
      </c>
      <c r="C97" s="38" t="s">
        <v>554</v>
      </c>
      <c r="D97" s="145"/>
      <c r="E97" s="145"/>
      <c r="F97" s="181">
        <f>825.318</f>
        <v>825.31799999999998</v>
      </c>
      <c r="G97" s="181"/>
      <c r="H97" s="181"/>
      <c r="I97" s="145"/>
      <c r="J97" s="145"/>
      <c r="K97" s="145"/>
      <c r="L97" s="145"/>
      <c r="M97" s="145"/>
      <c r="N97" s="145"/>
      <c r="O97" s="181">
        <f t="shared" si="26"/>
        <v>825.31799999999998</v>
      </c>
      <c r="P97" s="145"/>
      <c r="Q97" s="145"/>
      <c r="R97" s="145"/>
      <c r="S97" s="145"/>
      <c r="T97" s="145"/>
      <c r="U97" s="181">
        <f t="shared" si="27"/>
        <v>0</v>
      </c>
      <c r="V97" s="146"/>
      <c r="W97" s="196">
        <f t="shared" si="28"/>
        <v>825.31799999999998</v>
      </c>
      <c r="X97" s="250"/>
    </row>
    <row r="98" spans="1:24" ht="30" customHeight="1" x14ac:dyDescent="0.2">
      <c r="A98" s="149">
        <v>32</v>
      </c>
      <c r="B98" s="174" t="s">
        <v>582</v>
      </c>
      <c r="C98" s="38" t="s">
        <v>583</v>
      </c>
      <c r="D98" s="145"/>
      <c r="E98" s="145"/>
      <c r="F98" s="181">
        <f>190.862</f>
        <v>190.86199999999999</v>
      </c>
      <c r="G98" s="181"/>
      <c r="H98" s="181"/>
      <c r="I98" s="145"/>
      <c r="J98" s="145"/>
      <c r="K98" s="145"/>
      <c r="L98" s="145"/>
      <c r="M98" s="145"/>
      <c r="N98" s="145"/>
      <c r="O98" s="181">
        <f t="shared" si="26"/>
        <v>190.86199999999999</v>
      </c>
      <c r="P98" s="145"/>
      <c r="Q98" s="145"/>
      <c r="R98" s="145"/>
      <c r="S98" s="145"/>
      <c r="T98" s="145"/>
      <c r="U98" s="181">
        <f t="shared" si="27"/>
        <v>0</v>
      </c>
      <c r="V98" s="146"/>
      <c r="W98" s="196">
        <f t="shared" si="28"/>
        <v>190.86199999999999</v>
      </c>
      <c r="X98" s="250"/>
    </row>
    <row r="99" spans="1:24" ht="30" customHeight="1" x14ac:dyDescent="0.2">
      <c r="A99" s="37">
        <v>33</v>
      </c>
      <c r="B99" s="430" t="s">
        <v>584</v>
      </c>
      <c r="C99" s="38" t="s">
        <v>583</v>
      </c>
      <c r="D99" s="145"/>
      <c r="E99" s="145"/>
      <c r="F99" s="181">
        <f>184.75</f>
        <v>184.75</v>
      </c>
      <c r="G99" s="181"/>
      <c r="H99" s="181"/>
      <c r="I99" s="145"/>
      <c r="J99" s="145"/>
      <c r="K99" s="145"/>
      <c r="L99" s="145"/>
      <c r="M99" s="145"/>
      <c r="N99" s="145"/>
      <c r="O99" s="181">
        <f t="shared" si="26"/>
        <v>184.75</v>
      </c>
      <c r="P99" s="145"/>
      <c r="Q99" s="145"/>
      <c r="R99" s="145"/>
      <c r="S99" s="145"/>
      <c r="T99" s="145"/>
      <c r="U99" s="181">
        <f t="shared" si="27"/>
        <v>0</v>
      </c>
      <c r="V99" s="146"/>
      <c r="W99" s="196">
        <f t="shared" si="28"/>
        <v>184.75</v>
      </c>
      <c r="X99" s="250"/>
    </row>
    <row r="100" spans="1:24" ht="30" customHeight="1" x14ac:dyDescent="0.2">
      <c r="A100" s="149">
        <v>34</v>
      </c>
      <c r="B100" s="423" t="s">
        <v>698</v>
      </c>
      <c r="C100" s="38" t="s">
        <v>697</v>
      </c>
      <c r="D100" s="145"/>
      <c r="E100" s="145"/>
      <c r="F100" s="181">
        <f>2098.378+0.776</f>
        <v>2099.154</v>
      </c>
      <c r="G100" s="181"/>
      <c r="H100" s="181"/>
      <c r="I100" s="145"/>
      <c r="J100" s="145"/>
      <c r="K100" s="145"/>
      <c r="L100" s="145"/>
      <c r="M100" s="145"/>
      <c r="N100" s="145"/>
      <c r="O100" s="181">
        <f t="shared" si="26"/>
        <v>2099.154</v>
      </c>
      <c r="P100" s="145"/>
      <c r="Q100" s="145"/>
      <c r="R100" s="145"/>
      <c r="S100" s="145"/>
      <c r="T100" s="145"/>
      <c r="U100" s="181">
        <f t="shared" si="27"/>
        <v>0</v>
      </c>
      <c r="V100" s="146"/>
      <c r="W100" s="196">
        <f t="shared" si="28"/>
        <v>2099.154</v>
      </c>
      <c r="X100" s="250"/>
    </row>
    <row r="101" spans="1:24" ht="30" customHeight="1" x14ac:dyDescent="0.2">
      <c r="A101" s="37">
        <v>35</v>
      </c>
      <c r="B101" s="436" t="s">
        <v>708</v>
      </c>
      <c r="C101" s="38" t="s">
        <v>697</v>
      </c>
      <c r="D101" s="145"/>
      <c r="E101" s="145"/>
      <c r="F101" s="181">
        <f>14670.466-0.2+0.2</f>
        <v>14670.466</v>
      </c>
      <c r="G101" s="181"/>
      <c r="H101" s="181"/>
      <c r="I101" s="145"/>
      <c r="J101" s="145"/>
      <c r="K101" s="145"/>
      <c r="L101" s="145"/>
      <c r="M101" s="145"/>
      <c r="N101" s="145"/>
      <c r="O101" s="181">
        <f t="shared" si="26"/>
        <v>14670.466</v>
      </c>
      <c r="P101" s="145"/>
      <c r="Q101" s="145"/>
      <c r="R101" s="145"/>
      <c r="S101" s="145"/>
      <c r="T101" s="145"/>
      <c r="U101" s="181">
        <f t="shared" si="27"/>
        <v>0</v>
      </c>
      <c r="V101" s="146"/>
      <c r="W101" s="196">
        <f t="shared" si="28"/>
        <v>14670.466</v>
      </c>
      <c r="X101" s="250"/>
    </row>
    <row r="102" spans="1:24" ht="24.95" customHeight="1" x14ac:dyDescent="0.2">
      <c r="A102" s="37"/>
      <c r="B102" s="105"/>
      <c r="C102" s="38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81"/>
      <c r="V102" s="146"/>
      <c r="W102" s="196"/>
      <c r="X102" s="250"/>
    </row>
    <row r="103" spans="1:24" ht="9.9499999999999993" customHeight="1" x14ac:dyDescent="0.2">
      <c r="A103" s="37"/>
      <c r="B103" s="105"/>
      <c r="C103" s="38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2"/>
      <c r="W103" s="196"/>
      <c r="X103" s="197"/>
    </row>
    <row r="104" spans="1:24" ht="30" customHeight="1" x14ac:dyDescent="0.2">
      <c r="A104" s="163" t="s">
        <v>54</v>
      </c>
      <c r="B104" s="160"/>
      <c r="C104" s="164" t="s">
        <v>52</v>
      </c>
      <c r="D104" s="62">
        <f t="shared" ref="D104:O104" si="29">SUM(D91:D103)</f>
        <v>0</v>
      </c>
      <c r="E104" s="62">
        <f t="shared" si="29"/>
        <v>0</v>
      </c>
      <c r="F104" s="62">
        <f t="shared" si="29"/>
        <v>19089.614999999998</v>
      </c>
      <c r="G104" s="62">
        <f t="shared" si="29"/>
        <v>0</v>
      </c>
      <c r="H104" s="62">
        <f t="shared" si="29"/>
        <v>360</v>
      </c>
      <c r="I104" s="62">
        <f t="shared" si="29"/>
        <v>0</v>
      </c>
      <c r="J104" s="62">
        <f t="shared" si="29"/>
        <v>0</v>
      </c>
      <c r="K104" s="62">
        <f t="shared" si="29"/>
        <v>0</v>
      </c>
      <c r="L104" s="62">
        <f t="shared" si="29"/>
        <v>0</v>
      </c>
      <c r="M104" s="62">
        <f t="shared" si="29"/>
        <v>0</v>
      </c>
      <c r="N104" s="62">
        <f t="shared" si="29"/>
        <v>0</v>
      </c>
      <c r="O104" s="62">
        <f t="shared" si="29"/>
        <v>19449.614999999998</v>
      </c>
      <c r="P104" s="62"/>
      <c r="Q104" s="62">
        <f>SUM(Q91:Q103)</f>
        <v>0</v>
      </c>
      <c r="R104" s="62">
        <f>SUM(R91:R103)</f>
        <v>0</v>
      </c>
      <c r="S104" s="62">
        <f>SUM(S91:S103)</f>
        <v>0</v>
      </c>
      <c r="T104" s="62">
        <f>SUM(T91:T103)</f>
        <v>0</v>
      </c>
      <c r="U104" s="62">
        <f>SUM(U91:U103)</f>
        <v>0</v>
      </c>
      <c r="V104" s="136"/>
      <c r="W104" s="198">
        <f>O104+U104-0.2</f>
        <v>19449.414999999997</v>
      </c>
      <c r="X104" s="193">
        <f>SUM(X91:X103)</f>
        <v>0</v>
      </c>
    </row>
    <row r="105" spans="1:24" ht="9.9499999999999993" customHeight="1" x14ac:dyDescent="0.2">
      <c r="A105" s="37"/>
      <c r="B105" s="105"/>
      <c r="C105" s="38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2"/>
      <c r="W105" s="196"/>
      <c r="X105" s="197"/>
    </row>
    <row r="106" spans="1:24" ht="24.95" hidden="1" customHeight="1" x14ac:dyDescent="0.2">
      <c r="A106" s="37"/>
      <c r="B106" s="105"/>
      <c r="C106" s="38" t="s">
        <v>43</v>
      </c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>
        <f>SUM(D106:N106)</f>
        <v>0</v>
      </c>
      <c r="P106" s="181"/>
      <c r="Q106" s="181"/>
      <c r="R106" s="181"/>
      <c r="S106" s="181"/>
      <c r="T106" s="181"/>
      <c r="U106" s="181">
        <f>SUM(Q106:T106)</f>
        <v>0</v>
      </c>
      <c r="V106" s="182"/>
      <c r="W106" s="196">
        <f>O106+U106</f>
        <v>0</v>
      </c>
      <c r="X106" s="197"/>
    </row>
    <row r="107" spans="1:24" ht="24.95" customHeight="1" thickBot="1" x14ac:dyDescent="0.25">
      <c r="A107" s="37"/>
      <c r="B107" s="86"/>
      <c r="C107" s="87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200"/>
      <c r="W107" s="201"/>
      <c r="X107" s="202"/>
    </row>
    <row r="108" spans="1:24" ht="30" customHeight="1" thickTop="1" thickBot="1" x14ac:dyDescent="0.25">
      <c r="A108" s="41"/>
      <c r="B108" s="91"/>
      <c r="C108" s="40" t="s">
        <v>55</v>
      </c>
      <c r="D108" s="159">
        <f t="shared" ref="D108:O108" si="30">D88+D104</f>
        <v>0</v>
      </c>
      <c r="E108" s="159">
        <f t="shared" si="30"/>
        <v>0</v>
      </c>
      <c r="F108" s="159">
        <f t="shared" si="30"/>
        <v>19089.614999999998</v>
      </c>
      <c r="G108" s="159">
        <f t="shared" si="30"/>
        <v>0</v>
      </c>
      <c r="H108" s="159">
        <f t="shared" si="30"/>
        <v>360</v>
      </c>
      <c r="I108" s="159">
        <f t="shared" si="30"/>
        <v>0</v>
      </c>
      <c r="J108" s="159">
        <f t="shared" si="30"/>
        <v>0</v>
      </c>
      <c r="K108" s="159">
        <f t="shared" si="30"/>
        <v>0</v>
      </c>
      <c r="L108" s="159">
        <f t="shared" si="30"/>
        <v>0</v>
      </c>
      <c r="M108" s="159">
        <f t="shared" si="30"/>
        <v>0</v>
      </c>
      <c r="N108" s="159">
        <f t="shared" si="30"/>
        <v>0</v>
      </c>
      <c r="O108" s="159">
        <f t="shared" si="30"/>
        <v>19449.614999999998</v>
      </c>
      <c r="P108" s="159"/>
      <c r="Q108" s="159">
        <f>Q88+Q104</f>
        <v>0</v>
      </c>
      <c r="R108" s="159">
        <f>R88+R104</f>
        <v>0</v>
      </c>
      <c r="S108" s="159">
        <f>S88+S104</f>
        <v>0</v>
      </c>
      <c r="T108" s="159">
        <f>T88+T104</f>
        <v>0</v>
      </c>
      <c r="U108" s="159">
        <f>U88+U104</f>
        <v>0</v>
      </c>
      <c r="V108" s="159"/>
      <c r="W108" s="203">
        <f>W88+W104</f>
        <v>19449.414999999997</v>
      </c>
      <c r="X108" s="183">
        <f>X88+X104</f>
        <v>66637.906000000003</v>
      </c>
    </row>
    <row r="109" spans="1:24" ht="30" customHeight="1" thickTop="1" thickBot="1" x14ac:dyDescent="0.25">
      <c r="A109" s="39"/>
      <c r="B109" s="91" t="s">
        <v>127</v>
      </c>
      <c r="C109" s="40" t="s">
        <v>103</v>
      </c>
      <c r="D109" s="204">
        <f t="shared" ref="D109:O109" si="31">D60+D108</f>
        <v>0</v>
      </c>
      <c r="E109" s="204">
        <f t="shared" si="31"/>
        <v>0</v>
      </c>
      <c r="F109" s="204">
        <f t="shared" si="31"/>
        <v>35674.922999999995</v>
      </c>
      <c r="G109" s="204">
        <f t="shared" si="31"/>
        <v>1860</v>
      </c>
      <c r="H109" s="204">
        <f t="shared" si="31"/>
        <v>10634</v>
      </c>
      <c r="I109" s="204">
        <f t="shared" si="31"/>
        <v>0</v>
      </c>
      <c r="J109" s="204">
        <f t="shared" si="31"/>
        <v>0</v>
      </c>
      <c r="K109" s="204">
        <f t="shared" si="31"/>
        <v>0</v>
      </c>
      <c r="L109" s="204">
        <f t="shared" si="31"/>
        <v>50</v>
      </c>
      <c r="M109" s="204">
        <f t="shared" si="31"/>
        <v>1500</v>
      </c>
      <c r="N109" s="204">
        <f t="shared" si="31"/>
        <v>0</v>
      </c>
      <c r="O109" s="204">
        <f t="shared" si="31"/>
        <v>49718.922999999995</v>
      </c>
      <c r="P109" s="204"/>
      <c r="Q109" s="204">
        <f>Q60+Q108</f>
        <v>0</v>
      </c>
      <c r="R109" s="204">
        <f>R60+R108</f>
        <v>220640.39</v>
      </c>
      <c r="S109" s="204">
        <f>S60+S108</f>
        <v>0</v>
      </c>
      <c r="T109" s="204">
        <f>T60+T108</f>
        <v>0</v>
      </c>
      <c r="U109" s="204">
        <f>U60+U108</f>
        <v>220640.39</v>
      </c>
      <c r="V109" s="204"/>
      <c r="W109" s="203">
        <f>W60+W108</f>
        <v>270359.11300000001</v>
      </c>
      <c r="X109" s="183">
        <f>X60+X108</f>
        <v>4203782.5490000006</v>
      </c>
    </row>
    <row r="110" spans="1:24" ht="24.95" customHeight="1" thickTop="1" x14ac:dyDescent="0.25"/>
    <row r="111" spans="1:24" ht="24.95" customHeight="1" x14ac:dyDescent="0.25"/>
    <row r="112" spans="1:24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359" spans="9:9" x14ac:dyDescent="0.25">
      <c r="I359" s="42">
        <f>-10437-1367-86-236+13-6357-200+31+71-310-1500-799-55-443-3970</f>
        <v>-25645</v>
      </c>
    </row>
  </sheetData>
  <mergeCells count="5">
    <mergeCell ref="A2:X2"/>
    <mergeCell ref="A4:X4"/>
    <mergeCell ref="D7:F7"/>
    <mergeCell ref="J7:K7"/>
    <mergeCell ref="Q7:T7"/>
  </mergeCells>
  <phoneticPr fontId="3" type="noConversion"/>
  <printOptions horizontalCentered="1" verticalCentered="1"/>
  <pageMargins left="0" right="0" top="0.55118110236220474" bottom="0.74803149606299213" header="7.874015748031496E-2" footer="7.874015748031496E-2"/>
  <pageSetup paperSize="9" scale="44" firstPageNumber="0" orientation="landscape" horizontalDpi="300" verticalDpi="300" r:id="rId1"/>
  <headerFooter alignWithMargins="0">
    <oddFooter>&amp;C3. sz. melléklet 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2"/>
  <sheetViews>
    <sheetView zoomScale="75" zoomScaleNormal="75" workbookViewId="0">
      <selection activeCell="Y1" sqref="Y1"/>
    </sheetView>
  </sheetViews>
  <sheetFormatPr defaultRowHeight="16.5" x14ac:dyDescent="0.25"/>
  <cols>
    <col min="1" max="1" width="4.7109375" style="77" customWidth="1"/>
    <col min="2" max="2" width="12.42578125" style="1" hidden="1" customWidth="1"/>
    <col min="3" max="3" width="58.7109375" style="2" customWidth="1"/>
    <col min="4" max="4" width="13.28515625" style="2" customWidth="1"/>
    <col min="5" max="5" width="13.85546875" style="2" customWidth="1"/>
    <col min="6" max="6" width="12.7109375" style="2" customWidth="1"/>
    <col min="7" max="7" width="13.85546875" style="2" customWidth="1"/>
    <col min="8" max="8" width="12.28515625" style="2" customWidth="1"/>
    <col min="9" max="9" width="12.7109375" style="2" customWidth="1"/>
    <col min="10" max="11" width="12.28515625" style="2" customWidth="1"/>
    <col min="12" max="18" width="12.7109375" style="2" customWidth="1"/>
    <col min="19" max="19" width="1.7109375" style="2" customWidth="1"/>
    <col min="20" max="24" width="12.7109375" style="2" customWidth="1"/>
    <col min="25" max="25" width="18.28515625" style="43" customWidth="1"/>
    <col min="26" max="26" width="16.28515625" style="43" customWidth="1"/>
    <col min="27" max="29" width="10.42578125" style="43" customWidth="1"/>
    <col min="30" max="30" width="12.28515625" style="43" customWidth="1"/>
    <col min="31" max="31" width="14" style="43" customWidth="1"/>
    <col min="32" max="32" width="12.28515625" style="43" customWidth="1"/>
    <col min="33" max="34" width="10.42578125" style="43" customWidth="1"/>
    <col min="35" max="35" width="12.28515625" style="43" customWidth="1"/>
    <col min="36" max="36" width="9.140625" style="43"/>
    <col min="37" max="38" width="10.42578125" style="43" customWidth="1"/>
    <col min="39" max="39" width="12.28515625" style="43" customWidth="1"/>
    <col min="40" max="40" width="12.7109375" style="43" customWidth="1"/>
    <col min="41" max="16384" width="9.140625" style="2"/>
  </cols>
  <sheetData>
    <row r="1" spans="1:40" x14ac:dyDescent="0.25">
      <c r="Y1" s="152" t="s">
        <v>59</v>
      </c>
    </row>
    <row r="2" spans="1:40" ht="18.75" x14ac:dyDescent="0.2">
      <c r="A2" s="519" t="s">
        <v>0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</row>
    <row r="3" spans="1:40" ht="18.75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40" ht="42" customHeight="1" x14ac:dyDescent="0.2">
      <c r="A4" s="520" t="s">
        <v>768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</row>
    <row r="5" spans="1:40" ht="24.95" customHeight="1" x14ac:dyDescent="0.2">
      <c r="A5" s="285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</row>
    <row r="6" spans="1:40" ht="17.25" customHeight="1" thickBo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" t="s">
        <v>1</v>
      </c>
    </row>
    <row r="7" spans="1:40" ht="17.25" thickBot="1" x14ac:dyDescent="0.3">
      <c r="A7" s="409"/>
      <c r="B7" s="7"/>
      <c r="C7" s="309"/>
      <c r="D7" s="529" t="s">
        <v>20</v>
      </c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21"/>
      <c r="Y7" s="27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ht="17.25" customHeight="1" thickTop="1" x14ac:dyDescent="0.25">
      <c r="A8" s="47"/>
      <c r="B8" s="11"/>
      <c r="C8" s="12"/>
      <c r="D8" s="522" t="s">
        <v>119</v>
      </c>
      <c r="E8" s="523"/>
      <c r="F8" s="523"/>
      <c r="G8" s="523"/>
      <c r="H8" s="523"/>
      <c r="I8" s="523"/>
      <c r="J8" s="523"/>
      <c r="K8" s="524"/>
      <c r="L8" s="525" t="s">
        <v>120</v>
      </c>
      <c r="M8" s="526"/>
      <c r="N8" s="526"/>
      <c r="O8" s="526"/>
      <c r="P8" s="526"/>
      <c r="Q8" s="524"/>
      <c r="R8" s="298" t="s">
        <v>88</v>
      </c>
      <c r="S8" s="322"/>
      <c r="T8" s="525" t="s">
        <v>121</v>
      </c>
      <c r="U8" s="526"/>
      <c r="V8" s="526"/>
      <c r="W8" s="527"/>
      <c r="X8" s="483" t="s">
        <v>99</v>
      </c>
      <c r="Y8" s="484" t="s">
        <v>2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6"/>
    </row>
    <row r="9" spans="1:40" x14ac:dyDescent="0.25">
      <c r="A9" s="16" t="s">
        <v>8</v>
      </c>
      <c r="B9" s="11"/>
      <c r="C9" s="12" t="s">
        <v>3</v>
      </c>
      <c r="D9" s="48"/>
      <c r="E9" s="158" t="s">
        <v>25</v>
      </c>
      <c r="F9" s="49"/>
      <c r="G9" s="49" t="s">
        <v>21</v>
      </c>
      <c r="H9" s="49" t="s">
        <v>74</v>
      </c>
      <c r="I9" s="49" t="s">
        <v>75</v>
      </c>
      <c r="J9" s="49" t="s">
        <v>75</v>
      </c>
      <c r="K9" s="158"/>
      <c r="L9" s="49"/>
      <c r="M9" s="49"/>
      <c r="N9" s="49" t="s">
        <v>4</v>
      </c>
      <c r="O9" s="49" t="s">
        <v>104</v>
      </c>
      <c r="P9" s="50" t="s">
        <v>105</v>
      </c>
      <c r="Q9" s="158" t="s">
        <v>4</v>
      </c>
      <c r="R9" s="299" t="s">
        <v>89</v>
      </c>
      <c r="S9" s="299"/>
      <c r="T9" s="15" t="s">
        <v>106</v>
      </c>
      <c r="U9" s="15" t="s">
        <v>107</v>
      </c>
      <c r="V9" s="15" t="s">
        <v>166</v>
      </c>
      <c r="W9" s="15" t="s">
        <v>4</v>
      </c>
      <c r="X9" s="485" t="s">
        <v>100</v>
      </c>
      <c r="Y9" s="13" t="s">
        <v>23</v>
      </c>
      <c r="Z9" s="4"/>
      <c r="AA9" s="4"/>
      <c r="AB9" s="4"/>
      <c r="AC9" s="4"/>
      <c r="AD9" s="4"/>
      <c r="AE9" s="4"/>
      <c r="AF9" s="4"/>
      <c r="AG9" s="4"/>
      <c r="AH9" s="518"/>
      <c r="AI9" s="518"/>
      <c r="AJ9" s="4"/>
      <c r="AK9" s="4"/>
      <c r="AL9" s="4"/>
      <c r="AM9" s="4"/>
      <c r="AN9" s="46"/>
    </row>
    <row r="10" spans="1:40" ht="16.5" customHeight="1" x14ac:dyDescent="0.25">
      <c r="A10" s="10"/>
      <c r="B10" s="11"/>
      <c r="C10" s="12" t="s">
        <v>9</v>
      </c>
      <c r="D10" s="49" t="s">
        <v>24</v>
      </c>
      <c r="E10" s="49" t="s">
        <v>45</v>
      </c>
      <c r="F10" s="49" t="s">
        <v>26</v>
      </c>
      <c r="G10" s="49" t="s">
        <v>27</v>
      </c>
      <c r="H10" s="49" t="s">
        <v>76</v>
      </c>
      <c r="I10" s="49" t="s">
        <v>47</v>
      </c>
      <c r="J10" s="49" t="s">
        <v>47</v>
      </c>
      <c r="K10" s="49" t="s">
        <v>30</v>
      </c>
      <c r="L10" s="49" t="s">
        <v>108</v>
      </c>
      <c r="M10" s="49" t="s">
        <v>109</v>
      </c>
      <c r="N10" s="49" t="s">
        <v>110</v>
      </c>
      <c r="O10" s="49" t="s">
        <v>111</v>
      </c>
      <c r="P10" s="49" t="s">
        <v>38</v>
      </c>
      <c r="Q10" s="49" t="s">
        <v>110</v>
      </c>
      <c r="R10" s="300" t="s">
        <v>28</v>
      </c>
      <c r="S10" s="300"/>
      <c r="T10" s="12" t="s">
        <v>112</v>
      </c>
      <c r="U10" s="12" t="s">
        <v>93</v>
      </c>
      <c r="V10" s="12" t="s">
        <v>167</v>
      </c>
      <c r="W10" s="15" t="s">
        <v>128</v>
      </c>
      <c r="X10" s="485" t="s">
        <v>28</v>
      </c>
      <c r="Y10" s="13" t="s">
        <v>12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6"/>
    </row>
    <row r="11" spans="1:40" x14ac:dyDescent="0.25">
      <c r="A11" s="47"/>
      <c r="B11" s="11"/>
      <c r="C11" s="12" t="s">
        <v>13</v>
      </c>
      <c r="D11" s="49" t="s">
        <v>32</v>
      </c>
      <c r="E11" s="49" t="s">
        <v>37</v>
      </c>
      <c r="F11" s="49" t="s">
        <v>28</v>
      </c>
      <c r="G11" s="49" t="s">
        <v>33</v>
      </c>
      <c r="H11" s="49" t="s">
        <v>78</v>
      </c>
      <c r="I11" s="49" t="s">
        <v>79</v>
      </c>
      <c r="J11" s="49" t="s">
        <v>79</v>
      </c>
      <c r="K11" s="49"/>
      <c r="L11" s="49"/>
      <c r="M11" s="49"/>
      <c r="N11" s="49" t="s">
        <v>47</v>
      </c>
      <c r="O11" s="49" t="s">
        <v>34</v>
      </c>
      <c r="P11" s="49"/>
      <c r="Q11" s="49" t="s">
        <v>47</v>
      </c>
      <c r="R11" s="300" t="s">
        <v>12</v>
      </c>
      <c r="S11" s="300"/>
      <c r="T11" s="12" t="s">
        <v>113</v>
      </c>
      <c r="U11" s="12" t="s">
        <v>95</v>
      </c>
      <c r="V11" s="12" t="s">
        <v>170</v>
      </c>
      <c r="W11" s="15" t="s">
        <v>129</v>
      </c>
      <c r="X11" s="485" t="s">
        <v>12</v>
      </c>
      <c r="Y11" s="17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6"/>
    </row>
    <row r="12" spans="1:40" x14ac:dyDescent="0.25">
      <c r="A12" s="47"/>
      <c r="B12" s="11"/>
      <c r="C12" s="12"/>
      <c r="D12" s="51"/>
      <c r="E12" s="49" t="s">
        <v>46</v>
      </c>
      <c r="F12" s="49"/>
      <c r="G12" s="109"/>
      <c r="H12" s="52"/>
      <c r="I12" s="109" t="s">
        <v>114</v>
      </c>
      <c r="J12" s="109" t="s">
        <v>115</v>
      </c>
      <c r="K12" s="49"/>
      <c r="L12" s="52"/>
      <c r="M12" s="49"/>
      <c r="N12" s="49" t="s">
        <v>116</v>
      </c>
      <c r="O12" s="49" t="s">
        <v>117</v>
      </c>
      <c r="P12" s="49"/>
      <c r="Q12" s="49" t="s">
        <v>117</v>
      </c>
      <c r="R12" s="301" t="s">
        <v>123</v>
      </c>
      <c r="S12" s="301"/>
      <c r="T12" s="12" t="s">
        <v>118</v>
      </c>
      <c r="U12" s="12" t="s">
        <v>35</v>
      </c>
      <c r="V12" s="12" t="s">
        <v>171</v>
      </c>
      <c r="W12" s="12" t="s">
        <v>28</v>
      </c>
      <c r="X12" s="85" t="s">
        <v>124</v>
      </c>
      <c r="Y12" s="17" t="s">
        <v>125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6"/>
    </row>
    <row r="13" spans="1:40" hidden="1" x14ac:dyDescent="0.25">
      <c r="A13" s="101"/>
      <c r="B13" s="94"/>
      <c r="C13" s="95"/>
      <c r="D13" s="96" t="s">
        <v>130</v>
      </c>
      <c r="E13" s="14" t="s">
        <v>131</v>
      </c>
      <c r="F13" s="14" t="s">
        <v>132</v>
      </c>
      <c r="G13" s="15" t="s">
        <v>133</v>
      </c>
      <c r="H13" s="102" t="s">
        <v>134</v>
      </c>
      <c r="I13" s="12" t="s">
        <v>135</v>
      </c>
      <c r="J13" s="15" t="s">
        <v>136</v>
      </c>
      <c r="K13" s="95" t="s">
        <v>137</v>
      </c>
      <c r="L13" s="102" t="s">
        <v>138</v>
      </c>
      <c r="M13" s="102" t="s">
        <v>139</v>
      </c>
      <c r="N13" s="102" t="s">
        <v>140</v>
      </c>
      <c r="O13" s="103" t="s">
        <v>141</v>
      </c>
      <c r="P13" s="95" t="s">
        <v>142</v>
      </c>
      <c r="Q13" s="95" t="s">
        <v>143</v>
      </c>
      <c r="R13" s="95"/>
      <c r="S13" s="95"/>
      <c r="T13" s="95" t="s">
        <v>144</v>
      </c>
      <c r="U13" s="95" t="s">
        <v>145</v>
      </c>
      <c r="V13" s="95" t="s">
        <v>146</v>
      </c>
      <c r="W13" s="104" t="s">
        <v>147</v>
      </c>
      <c r="X13" s="486"/>
      <c r="Y13" s="487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6"/>
    </row>
    <row r="14" spans="1:40" ht="18" customHeight="1" x14ac:dyDescent="0.25">
      <c r="A14" s="155">
        <v>1</v>
      </c>
      <c r="B14" s="171"/>
      <c r="C14" s="168">
        <v>2</v>
      </c>
      <c r="D14" s="168">
        <v>3</v>
      </c>
      <c r="E14" s="168">
        <v>4</v>
      </c>
      <c r="F14" s="168">
        <v>5</v>
      </c>
      <c r="G14" s="168">
        <v>6</v>
      </c>
      <c r="H14" s="168">
        <v>7</v>
      </c>
      <c r="I14" s="168">
        <v>8</v>
      </c>
      <c r="J14" s="168">
        <v>9</v>
      </c>
      <c r="K14" s="168">
        <v>10</v>
      </c>
      <c r="L14" s="168">
        <v>11</v>
      </c>
      <c r="M14" s="168">
        <v>12</v>
      </c>
      <c r="N14" s="168">
        <v>13</v>
      </c>
      <c r="O14" s="168">
        <v>14</v>
      </c>
      <c r="P14" s="168">
        <v>15</v>
      </c>
      <c r="Q14" s="168">
        <v>16</v>
      </c>
      <c r="R14" s="168">
        <v>17</v>
      </c>
      <c r="S14" s="168"/>
      <c r="T14" s="168">
        <v>18</v>
      </c>
      <c r="U14" s="168">
        <v>19</v>
      </c>
      <c r="V14" s="306">
        <v>20</v>
      </c>
      <c r="W14" s="168">
        <v>21</v>
      </c>
      <c r="X14" s="169">
        <v>22</v>
      </c>
      <c r="Y14" s="191">
        <v>23</v>
      </c>
      <c r="Z14" s="4"/>
      <c r="AA14" s="4"/>
      <c r="AB14" s="4"/>
      <c r="AC14" s="4"/>
      <c r="AD14" s="4"/>
      <c r="AE14" s="4"/>
      <c r="AF14" s="4"/>
      <c r="AG14" s="4"/>
      <c r="AH14" s="518"/>
      <c r="AI14" s="518"/>
      <c r="AJ14" s="4"/>
      <c r="AK14" s="4"/>
      <c r="AL14" s="4"/>
      <c r="AM14" s="4"/>
      <c r="AN14" s="4"/>
    </row>
    <row r="15" spans="1:40" s="57" customFormat="1" ht="19.5" hidden="1" customHeight="1" x14ac:dyDescent="0.3">
      <c r="A15" s="53"/>
      <c r="B15" s="131"/>
      <c r="C15" s="54" t="s">
        <v>42</v>
      </c>
      <c r="D15" s="132">
        <v>2547439</v>
      </c>
      <c r="E15" s="132">
        <v>529455</v>
      </c>
      <c r="F15" s="132">
        <v>701921</v>
      </c>
      <c r="G15" s="132">
        <v>185</v>
      </c>
      <c r="H15" s="132">
        <v>0</v>
      </c>
      <c r="I15" s="132">
        <v>0</v>
      </c>
      <c r="J15" s="132">
        <v>0</v>
      </c>
      <c r="K15" s="132">
        <v>0</v>
      </c>
      <c r="L15" s="132">
        <v>216998</v>
      </c>
      <c r="M15" s="132">
        <v>5100</v>
      </c>
      <c r="N15" s="132">
        <v>0</v>
      </c>
      <c r="O15" s="132">
        <v>5000</v>
      </c>
      <c r="P15" s="132">
        <v>0</v>
      </c>
      <c r="Q15" s="132">
        <v>0</v>
      </c>
      <c r="R15" s="132">
        <f>SUM(D15:Q15)</f>
        <v>4006098</v>
      </c>
      <c r="S15" s="132"/>
      <c r="T15" s="132">
        <v>0</v>
      </c>
      <c r="U15" s="132">
        <v>0</v>
      </c>
      <c r="V15" s="133">
        <v>0</v>
      </c>
      <c r="W15" s="132">
        <v>0</v>
      </c>
      <c r="X15" s="133">
        <f>SUM(T15:W15)</f>
        <v>0</v>
      </c>
      <c r="Y15" s="134">
        <f>R15+X15</f>
        <v>4006098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6"/>
    </row>
    <row r="16" spans="1:40" ht="20.100000000000001" hidden="1" customHeight="1" x14ac:dyDescent="0.25">
      <c r="A16" s="58"/>
      <c r="B16" s="117" t="s">
        <v>48</v>
      </c>
      <c r="C16" s="38" t="s">
        <v>66</v>
      </c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62"/>
      <c r="X16" s="63"/>
      <c r="Y16" s="71">
        <f>SUM(D16:W16)</f>
        <v>0</v>
      </c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60"/>
    </row>
    <row r="17" spans="1:40" ht="20.100000000000001" hidden="1" customHeight="1" x14ac:dyDescent="0.25">
      <c r="A17" s="137"/>
      <c r="B17" s="25"/>
      <c r="C17" s="22" t="s">
        <v>18</v>
      </c>
      <c r="D17" s="132">
        <f t="shared" ref="D17:Y17" si="0">SUM(D15:D16)</f>
        <v>2547439</v>
      </c>
      <c r="E17" s="132">
        <f t="shared" si="0"/>
        <v>529455</v>
      </c>
      <c r="F17" s="132">
        <f t="shared" si="0"/>
        <v>701921</v>
      </c>
      <c r="G17" s="132">
        <f t="shared" si="0"/>
        <v>185</v>
      </c>
      <c r="H17" s="132">
        <f t="shared" si="0"/>
        <v>0</v>
      </c>
      <c r="I17" s="132">
        <f t="shared" si="0"/>
        <v>0</v>
      </c>
      <c r="J17" s="132">
        <f t="shared" si="0"/>
        <v>0</v>
      </c>
      <c r="K17" s="132">
        <f t="shared" si="0"/>
        <v>0</v>
      </c>
      <c r="L17" s="132">
        <f t="shared" si="0"/>
        <v>216998</v>
      </c>
      <c r="M17" s="132">
        <f t="shared" si="0"/>
        <v>5100</v>
      </c>
      <c r="N17" s="132">
        <f t="shared" si="0"/>
        <v>0</v>
      </c>
      <c r="O17" s="132">
        <f t="shared" si="0"/>
        <v>5000</v>
      </c>
      <c r="P17" s="132">
        <f t="shared" si="0"/>
        <v>0</v>
      </c>
      <c r="Q17" s="132">
        <f t="shared" si="0"/>
        <v>0</v>
      </c>
      <c r="R17" s="132">
        <f>SUM(D17:Q17)</f>
        <v>4006098</v>
      </c>
      <c r="S17" s="132"/>
      <c r="T17" s="132">
        <f t="shared" si="0"/>
        <v>0</v>
      </c>
      <c r="U17" s="132">
        <f t="shared" si="0"/>
        <v>0</v>
      </c>
      <c r="V17" s="133">
        <f t="shared" si="0"/>
        <v>0</v>
      </c>
      <c r="W17" s="132">
        <f t="shared" si="0"/>
        <v>0</v>
      </c>
      <c r="X17" s="133">
        <f>SUM(T17:W17)</f>
        <v>0</v>
      </c>
      <c r="Y17" s="134">
        <f t="shared" si="0"/>
        <v>4006098</v>
      </c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60"/>
    </row>
    <row r="18" spans="1:40" ht="30" hidden="1" customHeight="1" x14ac:dyDescent="0.25">
      <c r="A18" s="70"/>
      <c r="B18" s="117"/>
      <c r="C18" s="26"/>
      <c r="D18" s="62"/>
      <c r="E18" s="62"/>
      <c r="F18" s="6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f t="shared" ref="R18:R102" si="1">SUM(D18:Q18)</f>
        <v>0</v>
      </c>
      <c r="S18" s="62"/>
      <c r="T18" s="62"/>
      <c r="U18" s="62"/>
      <c r="V18" s="63"/>
      <c r="W18" s="62"/>
      <c r="X18" s="63">
        <f t="shared" ref="X18:X102" si="2">SUM(T18:W18)</f>
        <v>0</v>
      </c>
      <c r="Y18" s="71">
        <f t="shared" ref="Y18:Y102" si="3">R18+X18</f>
        <v>0</v>
      </c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</row>
    <row r="19" spans="1:40" ht="30" hidden="1" customHeight="1" x14ac:dyDescent="0.25">
      <c r="A19" s="70"/>
      <c r="B19" s="117"/>
      <c r="C19" s="26"/>
      <c r="D19" s="62"/>
      <c r="E19" s="62"/>
      <c r="F19" s="63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3"/>
      <c r="W19" s="62"/>
      <c r="X19" s="63"/>
      <c r="Y19" s="71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</row>
    <row r="20" spans="1:40" ht="30" hidden="1" customHeight="1" x14ac:dyDescent="0.25">
      <c r="A20" s="70">
        <v>1</v>
      </c>
      <c r="B20" s="117" t="s">
        <v>284</v>
      </c>
      <c r="C20" s="26" t="s">
        <v>224</v>
      </c>
      <c r="D20" s="136"/>
      <c r="E20" s="136"/>
      <c r="F20" s="63"/>
      <c r="G20" s="62"/>
      <c r="H20" s="62"/>
      <c r="I20" s="62"/>
      <c r="J20" s="62"/>
      <c r="K20" s="62"/>
      <c r="L20" s="62">
        <v>150</v>
      </c>
      <c r="M20" s="62"/>
      <c r="N20" s="62"/>
      <c r="O20" s="62"/>
      <c r="P20" s="62"/>
      <c r="Q20" s="62"/>
      <c r="R20" s="136">
        <f t="shared" si="1"/>
        <v>150</v>
      </c>
      <c r="S20" s="62"/>
      <c r="T20" s="62"/>
      <c r="U20" s="62"/>
      <c r="V20" s="63"/>
      <c r="W20" s="62"/>
      <c r="X20" s="142">
        <f t="shared" ref="X20:X21" si="4">SUM(T20:W20)</f>
        <v>0</v>
      </c>
      <c r="Y20" s="343">
        <f t="shared" ref="Y20:Y21" si="5">R20+X20</f>
        <v>150</v>
      </c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</row>
    <row r="21" spans="1:40" ht="30" hidden="1" customHeight="1" x14ac:dyDescent="0.25">
      <c r="A21" s="70">
        <v>2</v>
      </c>
      <c r="B21" s="345" t="s">
        <v>234</v>
      </c>
      <c r="C21" s="26" t="s">
        <v>233</v>
      </c>
      <c r="D21" s="136">
        <f>85.1</f>
        <v>85.1</v>
      </c>
      <c r="E21" s="136">
        <f>16.595</f>
        <v>16.594999999999999</v>
      </c>
      <c r="F21" s="63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136">
        <f t="shared" si="1"/>
        <v>101.69499999999999</v>
      </c>
      <c r="S21" s="62"/>
      <c r="T21" s="62"/>
      <c r="U21" s="62"/>
      <c r="V21" s="63"/>
      <c r="W21" s="62"/>
      <c r="X21" s="142">
        <f t="shared" si="4"/>
        <v>0</v>
      </c>
      <c r="Y21" s="343">
        <f t="shared" si="5"/>
        <v>101.69499999999999</v>
      </c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60"/>
    </row>
    <row r="22" spans="1:40" ht="30" hidden="1" customHeight="1" x14ac:dyDescent="0.25">
      <c r="A22" s="70">
        <v>3</v>
      </c>
      <c r="B22" s="345" t="s">
        <v>229</v>
      </c>
      <c r="C22" s="26" t="s">
        <v>228</v>
      </c>
      <c r="D22" s="136"/>
      <c r="E22" s="136"/>
      <c r="F22" s="136"/>
      <c r="G22" s="136"/>
      <c r="H22" s="136"/>
      <c r="I22" s="136"/>
      <c r="J22" s="136"/>
      <c r="K22" s="136"/>
      <c r="L22" s="136">
        <f>1230+333</f>
        <v>1563</v>
      </c>
      <c r="M22" s="136"/>
      <c r="N22" s="136"/>
      <c r="O22" s="136"/>
      <c r="P22" s="136"/>
      <c r="Q22" s="136"/>
      <c r="R22" s="136">
        <f t="shared" si="1"/>
        <v>1563</v>
      </c>
      <c r="S22" s="136"/>
      <c r="T22" s="136"/>
      <c r="U22" s="136"/>
      <c r="V22" s="142"/>
      <c r="W22" s="136"/>
      <c r="X22" s="142">
        <f t="shared" si="2"/>
        <v>0</v>
      </c>
      <c r="Y22" s="343">
        <f t="shared" si="3"/>
        <v>1563</v>
      </c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60"/>
    </row>
    <row r="23" spans="1:40" ht="30" hidden="1" customHeight="1" x14ac:dyDescent="0.25">
      <c r="A23" s="70">
        <v>4</v>
      </c>
      <c r="B23" s="345" t="s">
        <v>238</v>
      </c>
      <c r="C23" s="26" t="s">
        <v>237</v>
      </c>
      <c r="D23" s="136">
        <f>-105</f>
        <v>-105</v>
      </c>
      <c r="E23" s="136">
        <f>-19</f>
        <v>-19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>
        <f t="shared" si="1"/>
        <v>-124</v>
      </c>
      <c r="S23" s="136"/>
      <c r="T23" s="136"/>
      <c r="U23" s="136"/>
      <c r="V23" s="142"/>
      <c r="W23" s="136"/>
      <c r="X23" s="142">
        <f t="shared" si="2"/>
        <v>0</v>
      </c>
      <c r="Y23" s="343">
        <f t="shared" si="3"/>
        <v>-124</v>
      </c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60"/>
    </row>
    <row r="24" spans="1:40" ht="30" hidden="1" customHeight="1" x14ac:dyDescent="0.25">
      <c r="A24" s="70">
        <v>5</v>
      </c>
      <c r="B24" s="345" t="s">
        <v>285</v>
      </c>
      <c r="C24" s="30" t="s">
        <v>286</v>
      </c>
      <c r="D24" s="136">
        <v>108.3</v>
      </c>
      <c r="E24" s="136">
        <v>21.117999999999999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>
        <f t="shared" si="1"/>
        <v>129.41800000000001</v>
      </c>
      <c r="S24" s="136"/>
      <c r="T24" s="136"/>
      <c r="U24" s="136"/>
      <c r="V24" s="142"/>
      <c r="W24" s="136"/>
      <c r="X24" s="142">
        <f t="shared" si="2"/>
        <v>0</v>
      </c>
      <c r="Y24" s="343">
        <f t="shared" si="3"/>
        <v>129.41800000000001</v>
      </c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60"/>
    </row>
    <row r="25" spans="1:40" ht="30" hidden="1" customHeight="1" x14ac:dyDescent="0.25">
      <c r="A25" s="70">
        <v>6</v>
      </c>
      <c r="B25" s="345" t="s">
        <v>316</v>
      </c>
      <c r="C25" s="26" t="s">
        <v>315</v>
      </c>
      <c r="D25" s="136"/>
      <c r="E25" s="136"/>
      <c r="F25" s="136"/>
      <c r="G25" s="136"/>
      <c r="H25" s="136"/>
      <c r="I25" s="136"/>
      <c r="J25" s="136"/>
      <c r="K25" s="136"/>
      <c r="L25" s="136">
        <f>2800+756</f>
        <v>3556</v>
      </c>
      <c r="M25" s="136"/>
      <c r="N25" s="136"/>
      <c r="O25" s="136"/>
      <c r="P25" s="136"/>
      <c r="Q25" s="136"/>
      <c r="R25" s="136">
        <f t="shared" si="1"/>
        <v>3556</v>
      </c>
      <c r="S25" s="136"/>
      <c r="T25" s="136"/>
      <c r="U25" s="136"/>
      <c r="V25" s="142"/>
      <c r="W25" s="136"/>
      <c r="X25" s="142">
        <f t="shared" si="2"/>
        <v>0</v>
      </c>
      <c r="Y25" s="343">
        <f t="shared" si="3"/>
        <v>3556</v>
      </c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60"/>
    </row>
    <row r="26" spans="1:40" ht="30" hidden="1" customHeight="1" x14ac:dyDescent="0.25">
      <c r="A26" s="70">
        <v>7</v>
      </c>
      <c r="B26" s="177" t="s">
        <v>354</v>
      </c>
      <c r="C26" s="26" t="s">
        <v>353</v>
      </c>
      <c r="D26" s="136"/>
      <c r="E26" s="136"/>
      <c r="F26" s="136"/>
      <c r="G26" s="136"/>
      <c r="H26" s="136"/>
      <c r="I26" s="136"/>
      <c r="J26" s="136"/>
      <c r="K26" s="136"/>
      <c r="L26" s="136">
        <f>4882+1318</f>
        <v>6200</v>
      </c>
      <c r="M26" s="136"/>
      <c r="N26" s="136"/>
      <c r="O26" s="136"/>
      <c r="P26" s="136"/>
      <c r="Q26" s="136"/>
      <c r="R26" s="136">
        <f t="shared" si="1"/>
        <v>6200</v>
      </c>
      <c r="S26" s="136"/>
      <c r="T26" s="136"/>
      <c r="U26" s="136"/>
      <c r="V26" s="142"/>
      <c r="W26" s="136"/>
      <c r="X26" s="142">
        <f t="shared" si="2"/>
        <v>0</v>
      </c>
      <c r="Y26" s="343">
        <f t="shared" si="3"/>
        <v>6200</v>
      </c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60"/>
    </row>
    <row r="27" spans="1:40" ht="30" hidden="1" customHeight="1" x14ac:dyDescent="0.25">
      <c r="A27" s="70">
        <v>8</v>
      </c>
      <c r="B27" s="177" t="s">
        <v>359</v>
      </c>
      <c r="C27" s="26" t="s">
        <v>357</v>
      </c>
      <c r="D27" s="136"/>
      <c r="E27" s="136"/>
      <c r="F27" s="136">
        <f>-1100-297</f>
        <v>-1397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>
        <f t="shared" si="1"/>
        <v>-1397</v>
      </c>
      <c r="S27" s="136"/>
      <c r="T27" s="136"/>
      <c r="U27" s="136"/>
      <c r="V27" s="142"/>
      <c r="W27" s="136"/>
      <c r="X27" s="142">
        <f t="shared" si="2"/>
        <v>0</v>
      </c>
      <c r="Y27" s="343">
        <f t="shared" si="3"/>
        <v>-1397</v>
      </c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60"/>
    </row>
    <row r="28" spans="1:40" ht="30" hidden="1" customHeight="1" x14ac:dyDescent="0.25">
      <c r="A28" s="70">
        <v>9</v>
      </c>
      <c r="B28" s="345" t="s">
        <v>366</v>
      </c>
      <c r="C28" s="408" t="s">
        <v>365</v>
      </c>
      <c r="D28" s="136">
        <f>38.1</f>
        <v>38.1</v>
      </c>
      <c r="E28" s="136">
        <f>7.43</f>
        <v>7.43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>
        <f t="shared" si="1"/>
        <v>45.53</v>
      </c>
      <c r="S28" s="136"/>
      <c r="T28" s="136"/>
      <c r="U28" s="136"/>
      <c r="V28" s="142"/>
      <c r="W28" s="136"/>
      <c r="X28" s="142">
        <f t="shared" si="2"/>
        <v>0</v>
      </c>
      <c r="Y28" s="343">
        <f t="shared" si="3"/>
        <v>45.53</v>
      </c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60"/>
    </row>
    <row r="29" spans="1:40" ht="30" hidden="1" customHeight="1" x14ac:dyDescent="0.25">
      <c r="A29" s="70">
        <v>10</v>
      </c>
      <c r="B29" s="177" t="s">
        <v>396</v>
      </c>
      <c r="C29" s="30" t="s">
        <v>395</v>
      </c>
      <c r="D29" s="136"/>
      <c r="E29" s="136"/>
      <c r="F29" s="136">
        <f>-2893-781</f>
        <v>-3674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>
        <f t="shared" si="1"/>
        <v>-3674</v>
      </c>
      <c r="S29" s="136"/>
      <c r="T29" s="136"/>
      <c r="U29" s="136"/>
      <c r="V29" s="142"/>
      <c r="W29" s="136"/>
      <c r="X29" s="142">
        <f t="shared" si="2"/>
        <v>0</v>
      </c>
      <c r="Y29" s="343">
        <f t="shared" si="3"/>
        <v>-3674</v>
      </c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60"/>
    </row>
    <row r="30" spans="1:40" ht="30" hidden="1" customHeight="1" x14ac:dyDescent="0.25">
      <c r="A30" s="176">
        <v>11</v>
      </c>
      <c r="B30" s="413" t="s">
        <v>417</v>
      </c>
      <c r="C30" s="277" t="s">
        <v>416</v>
      </c>
      <c r="D30" s="136">
        <f>7110+6137+1000</f>
        <v>14247</v>
      </c>
      <c r="E30" s="136">
        <f>2584</f>
        <v>2584</v>
      </c>
      <c r="F30" s="136">
        <f>270+560+152+25.55+9.45+141.74+38.268+496.062+133.938+1600+519.676+140.316+244.094+65.906</f>
        <v>4397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>
        <f t="shared" si="1"/>
        <v>21228</v>
      </c>
      <c r="S30" s="136"/>
      <c r="T30" s="136"/>
      <c r="U30" s="136"/>
      <c r="V30" s="142"/>
      <c r="W30" s="136"/>
      <c r="X30" s="142">
        <f t="shared" si="2"/>
        <v>0</v>
      </c>
      <c r="Y30" s="343">
        <f t="shared" si="3"/>
        <v>21228</v>
      </c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60"/>
    </row>
    <row r="31" spans="1:40" ht="30" hidden="1" customHeight="1" x14ac:dyDescent="0.25">
      <c r="A31" s="70"/>
      <c r="B31" s="118"/>
      <c r="C31" s="26" t="s">
        <v>418</v>
      </c>
      <c r="D31" s="136"/>
      <c r="E31" s="136"/>
      <c r="F31" s="136">
        <f>27917+7537</f>
        <v>35454</v>
      </c>
      <c r="G31" s="136"/>
      <c r="H31" s="136"/>
      <c r="I31" s="136"/>
      <c r="J31" s="136"/>
      <c r="K31" s="136"/>
      <c r="L31" s="136">
        <f>1614+436+3000+810+1134+306+31+9+3336+901+6672+1801+21270+5743+1000+270+327+89+877+237+16358+4417+2280+616</f>
        <v>73534</v>
      </c>
      <c r="M31" s="136">
        <f>5827+1573</f>
        <v>7400</v>
      </c>
      <c r="N31" s="136"/>
      <c r="O31" s="136"/>
      <c r="P31" s="136"/>
      <c r="Q31" s="136"/>
      <c r="R31" s="136">
        <f t="shared" si="1"/>
        <v>116388</v>
      </c>
      <c r="S31" s="136"/>
      <c r="T31" s="136"/>
      <c r="U31" s="136"/>
      <c r="V31" s="142"/>
      <c r="W31" s="136"/>
      <c r="X31" s="142">
        <f t="shared" si="2"/>
        <v>0</v>
      </c>
      <c r="Y31" s="343">
        <f t="shared" si="3"/>
        <v>116388</v>
      </c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0"/>
    </row>
    <row r="32" spans="1:40" ht="30" hidden="1" customHeight="1" x14ac:dyDescent="0.25">
      <c r="A32" s="70"/>
      <c r="B32" s="118"/>
      <c r="C32" s="2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42"/>
      <c r="W32" s="136"/>
      <c r="X32" s="142"/>
      <c r="Y32" s="343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60"/>
    </row>
    <row r="33" spans="1:40" ht="9.9499999999999993" hidden="1" customHeight="1" x14ac:dyDescent="0.25">
      <c r="A33" s="70"/>
      <c r="B33" s="118"/>
      <c r="C33" s="2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42"/>
      <c r="W33" s="136"/>
      <c r="X33" s="142"/>
      <c r="Y33" s="343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60"/>
    </row>
    <row r="34" spans="1:40" ht="30" hidden="1" customHeight="1" x14ac:dyDescent="0.25">
      <c r="A34" s="163" t="s">
        <v>53</v>
      </c>
      <c r="B34" s="160"/>
      <c r="C34" s="164" t="s">
        <v>51</v>
      </c>
      <c r="D34" s="136">
        <f t="shared" ref="D34:Q34" si="6">SUM(D18:D31)</f>
        <v>14373.5</v>
      </c>
      <c r="E34" s="136">
        <f t="shared" si="6"/>
        <v>2610.143</v>
      </c>
      <c r="F34" s="136">
        <f t="shared" si="6"/>
        <v>34780</v>
      </c>
      <c r="G34" s="136">
        <f t="shared" si="6"/>
        <v>0</v>
      </c>
      <c r="H34" s="136">
        <f t="shared" si="6"/>
        <v>0</v>
      </c>
      <c r="I34" s="136">
        <f t="shared" si="6"/>
        <v>0</v>
      </c>
      <c r="J34" s="136">
        <f t="shared" si="6"/>
        <v>0</v>
      </c>
      <c r="K34" s="136">
        <f t="shared" si="6"/>
        <v>0</v>
      </c>
      <c r="L34" s="136">
        <f t="shared" si="6"/>
        <v>85003</v>
      </c>
      <c r="M34" s="136">
        <f t="shared" si="6"/>
        <v>7400</v>
      </c>
      <c r="N34" s="136">
        <f t="shared" si="6"/>
        <v>0</v>
      </c>
      <c r="O34" s="136">
        <f t="shared" si="6"/>
        <v>0</v>
      </c>
      <c r="P34" s="136">
        <f t="shared" si="6"/>
        <v>0</v>
      </c>
      <c r="Q34" s="136">
        <f t="shared" si="6"/>
        <v>0</v>
      </c>
      <c r="R34" s="136">
        <f t="shared" si="1"/>
        <v>144166.64299999998</v>
      </c>
      <c r="S34" s="136"/>
      <c r="T34" s="136">
        <f>SUM(T18:T31)</f>
        <v>0</v>
      </c>
      <c r="U34" s="136">
        <f>SUM(U18:U31)</f>
        <v>0</v>
      </c>
      <c r="V34" s="142">
        <f>SUM(V18:V31)</f>
        <v>0</v>
      </c>
      <c r="W34" s="136">
        <f>SUM(W18:W31)</f>
        <v>0</v>
      </c>
      <c r="X34" s="142">
        <f t="shared" si="2"/>
        <v>0</v>
      </c>
      <c r="Y34" s="344">
        <f t="shared" si="3"/>
        <v>144166.64299999998</v>
      </c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60"/>
    </row>
    <row r="35" spans="1:40" ht="30" hidden="1" customHeight="1" x14ac:dyDescent="0.25">
      <c r="A35" s="70"/>
      <c r="B35" s="118"/>
      <c r="C35" s="2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42"/>
      <c r="W35" s="136"/>
      <c r="X35" s="142"/>
      <c r="Y35" s="343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</row>
    <row r="36" spans="1:40" ht="30" hidden="1" customHeight="1" x14ac:dyDescent="0.25">
      <c r="A36" s="70" t="s">
        <v>71</v>
      </c>
      <c r="B36" s="177" t="s">
        <v>230</v>
      </c>
      <c r="C36" s="408" t="s">
        <v>231</v>
      </c>
      <c r="D36" s="136"/>
      <c r="E36" s="136"/>
      <c r="F36" s="136">
        <f>-37-10</f>
        <v>-47</v>
      </c>
      <c r="G36" s="136"/>
      <c r="H36" s="136"/>
      <c r="I36" s="136"/>
      <c r="J36" s="136"/>
      <c r="K36" s="136"/>
      <c r="L36" s="136">
        <f>37+10</f>
        <v>47</v>
      </c>
      <c r="M36" s="136"/>
      <c r="N36" s="136"/>
      <c r="O36" s="136"/>
      <c r="P36" s="136"/>
      <c r="Q36" s="136"/>
      <c r="R36" s="136">
        <f t="shared" si="1"/>
        <v>0</v>
      </c>
      <c r="S36" s="136"/>
      <c r="T36" s="136"/>
      <c r="U36" s="136"/>
      <c r="V36" s="142"/>
      <c r="W36" s="136"/>
      <c r="X36" s="142">
        <f t="shared" si="2"/>
        <v>0</v>
      </c>
      <c r="Y36" s="343">
        <f t="shared" si="3"/>
        <v>0</v>
      </c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60"/>
    </row>
    <row r="37" spans="1:40" ht="30" hidden="1" customHeight="1" x14ac:dyDescent="0.25">
      <c r="A37" s="70" t="s">
        <v>71</v>
      </c>
      <c r="B37" s="177" t="s">
        <v>241</v>
      </c>
      <c r="C37" s="106" t="s">
        <v>240</v>
      </c>
      <c r="D37" s="136"/>
      <c r="E37" s="136"/>
      <c r="F37" s="136">
        <f>100</f>
        <v>100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>
        <f t="shared" si="1"/>
        <v>100</v>
      </c>
      <c r="S37" s="136"/>
      <c r="T37" s="136"/>
      <c r="U37" s="136"/>
      <c r="V37" s="142"/>
      <c r="W37" s="136"/>
      <c r="X37" s="142">
        <f t="shared" si="2"/>
        <v>0</v>
      </c>
      <c r="Y37" s="343">
        <f t="shared" si="3"/>
        <v>100</v>
      </c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60"/>
    </row>
    <row r="38" spans="1:40" ht="30" hidden="1" customHeight="1" x14ac:dyDescent="0.25">
      <c r="A38" s="70" t="s">
        <v>71</v>
      </c>
      <c r="B38" s="177" t="s">
        <v>287</v>
      </c>
      <c r="C38" s="106" t="s">
        <v>288</v>
      </c>
      <c r="D38" s="136">
        <f>-370</f>
        <v>-370</v>
      </c>
      <c r="E38" s="136"/>
      <c r="F38" s="136">
        <f>370</f>
        <v>370</v>
      </c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>
        <f t="shared" si="1"/>
        <v>0</v>
      </c>
      <c r="S38" s="136"/>
      <c r="T38" s="136"/>
      <c r="U38" s="136"/>
      <c r="V38" s="142"/>
      <c r="W38" s="136"/>
      <c r="X38" s="142">
        <f t="shared" si="2"/>
        <v>0</v>
      </c>
      <c r="Y38" s="343">
        <f t="shared" si="3"/>
        <v>0</v>
      </c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</row>
    <row r="39" spans="1:40" ht="30" hidden="1" customHeight="1" x14ac:dyDescent="0.25">
      <c r="A39" s="70" t="s">
        <v>71</v>
      </c>
      <c r="B39" s="345" t="s">
        <v>297</v>
      </c>
      <c r="C39" s="38" t="s">
        <v>298</v>
      </c>
      <c r="D39" s="136"/>
      <c r="E39" s="136"/>
      <c r="F39" s="136">
        <f>153+42</f>
        <v>195</v>
      </c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>
        <f t="shared" si="1"/>
        <v>195</v>
      </c>
      <c r="S39" s="136"/>
      <c r="T39" s="136"/>
      <c r="U39" s="136"/>
      <c r="V39" s="142"/>
      <c r="W39" s="136"/>
      <c r="X39" s="142">
        <f t="shared" si="2"/>
        <v>0</v>
      </c>
      <c r="Y39" s="343">
        <f t="shared" si="3"/>
        <v>195</v>
      </c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60"/>
    </row>
    <row r="40" spans="1:40" ht="30" hidden="1" customHeight="1" x14ac:dyDescent="0.25">
      <c r="A40" s="70" t="s">
        <v>71</v>
      </c>
      <c r="B40" s="345" t="s">
        <v>299</v>
      </c>
      <c r="C40" s="38" t="s">
        <v>300</v>
      </c>
      <c r="D40" s="136"/>
      <c r="E40" s="136"/>
      <c r="F40" s="136">
        <f>51</f>
        <v>51</v>
      </c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>
        <f t="shared" si="1"/>
        <v>51</v>
      </c>
      <c r="S40" s="136"/>
      <c r="T40" s="136"/>
      <c r="U40" s="136"/>
      <c r="V40" s="142"/>
      <c r="W40" s="136"/>
      <c r="X40" s="142">
        <f t="shared" si="2"/>
        <v>0</v>
      </c>
      <c r="Y40" s="343">
        <f t="shared" si="3"/>
        <v>51</v>
      </c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60"/>
    </row>
    <row r="41" spans="1:40" ht="30" hidden="1" customHeight="1" x14ac:dyDescent="0.25">
      <c r="A41" s="70" t="s">
        <v>71</v>
      </c>
      <c r="B41" s="345" t="s">
        <v>301</v>
      </c>
      <c r="C41" s="38" t="s">
        <v>302</v>
      </c>
      <c r="D41" s="136"/>
      <c r="E41" s="136"/>
      <c r="F41" s="136">
        <f>43</f>
        <v>43</v>
      </c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>
        <f t="shared" si="1"/>
        <v>43</v>
      </c>
      <c r="S41" s="136"/>
      <c r="T41" s="136"/>
      <c r="U41" s="136"/>
      <c r="V41" s="142"/>
      <c r="W41" s="136"/>
      <c r="X41" s="142">
        <f t="shared" si="2"/>
        <v>0</v>
      </c>
      <c r="Y41" s="343">
        <f t="shared" si="3"/>
        <v>43</v>
      </c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</row>
    <row r="42" spans="1:40" ht="30" hidden="1" customHeight="1" x14ac:dyDescent="0.25">
      <c r="A42" s="70" t="s">
        <v>71</v>
      </c>
      <c r="B42" s="345" t="s">
        <v>303</v>
      </c>
      <c r="C42" s="38" t="s">
        <v>304</v>
      </c>
      <c r="D42" s="136"/>
      <c r="E42" s="136"/>
      <c r="F42" s="136">
        <f>45</f>
        <v>45</v>
      </c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>
        <f t="shared" si="1"/>
        <v>45</v>
      </c>
      <c r="S42" s="136"/>
      <c r="T42" s="136"/>
      <c r="U42" s="136"/>
      <c r="V42" s="142"/>
      <c r="W42" s="136"/>
      <c r="X42" s="142">
        <f t="shared" si="2"/>
        <v>0</v>
      </c>
      <c r="Y42" s="343">
        <f t="shared" si="3"/>
        <v>45</v>
      </c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60"/>
    </row>
    <row r="43" spans="1:40" ht="30" hidden="1" customHeight="1" x14ac:dyDescent="0.25">
      <c r="A43" s="70" t="s">
        <v>71</v>
      </c>
      <c r="B43" s="345" t="s">
        <v>305</v>
      </c>
      <c r="C43" s="38" t="s">
        <v>306</v>
      </c>
      <c r="D43" s="136"/>
      <c r="E43" s="136"/>
      <c r="F43" s="136">
        <f>20</f>
        <v>20</v>
      </c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>
        <f t="shared" si="1"/>
        <v>20</v>
      </c>
      <c r="S43" s="136"/>
      <c r="T43" s="136"/>
      <c r="U43" s="136"/>
      <c r="V43" s="142"/>
      <c r="W43" s="136"/>
      <c r="X43" s="142">
        <f t="shared" si="2"/>
        <v>0</v>
      </c>
      <c r="Y43" s="343">
        <f t="shared" si="3"/>
        <v>20</v>
      </c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60"/>
    </row>
    <row r="44" spans="1:40" ht="30" hidden="1" customHeight="1" x14ac:dyDescent="0.25">
      <c r="A44" s="70" t="s">
        <v>71</v>
      </c>
      <c r="B44" s="345" t="s">
        <v>371</v>
      </c>
      <c r="C44" s="38" t="s">
        <v>372</v>
      </c>
      <c r="D44" s="136">
        <f>-341-851+20</f>
        <v>-1172</v>
      </c>
      <c r="E44" s="136"/>
      <c r="F44" s="136">
        <f>341+851-63-17+60</f>
        <v>1172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>
        <f t="shared" si="1"/>
        <v>0</v>
      </c>
      <c r="S44" s="136"/>
      <c r="T44" s="136"/>
      <c r="U44" s="136"/>
      <c r="V44" s="142"/>
      <c r="W44" s="136"/>
      <c r="X44" s="142">
        <f t="shared" si="2"/>
        <v>0</v>
      </c>
      <c r="Y44" s="343">
        <f t="shared" si="3"/>
        <v>0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60"/>
    </row>
    <row r="45" spans="1:40" ht="30" hidden="1" customHeight="1" x14ac:dyDescent="0.25">
      <c r="A45" s="70" t="s">
        <v>71</v>
      </c>
      <c r="B45" s="345" t="s">
        <v>373</v>
      </c>
      <c r="C45" s="38" t="s">
        <v>374</v>
      </c>
      <c r="D45" s="136"/>
      <c r="E45" s="136"/>
      <c r="F45" s="136">
        <f>50</f>
        <v>50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>
        <f t="shared" si="1"/>
        <v>50</v>
      </c>
      <c r="S45" s="136"/>
      <c r="T45" s="136"/>
      <c r="U45" s="136"/>
      <c r="V45" s="142"/>
      <c r="W45" s="136"/>
      <c r="X45" s="142">
        <f t="shared" si="2"/>
        <v>0</v>
      </c>
      <c r="Y45" s="343">
        <f t="shared" si="3"/>
        <v>50</v>
      </c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60"/>
    </row>
    <row r="46" spans="1:40" ht="30" hidden="1" customHeight="1" x14ac:dyDescent="0.25">
      <c r="A46" s="70" t="s">
        <v>71</v>
      </c>
      <c r="B46" s="345" t="s">
        <v>375</v>
      </c>
      <c r="C46" s="26" t="s">
        <v>376</v>
      </c>
      <c r="D46" s="136"/>
      <c r="E46" s="136"/>
      <c r="F46" s="136">
        <v>50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>
        <f t="shared" si="1"/>
        <v>50</v>
      </c>
      <c r="S46" s="136"/>
      <c r="T46" s="136"/>
      <c r="U46" s="136"/>
      <c r="V46" s="142"/>
      <c r="W46" s="136"/>
      <c r="X46" s="142">
        <f t="shared" si="2"/>
        <v>0</v>
      </c>
      <c r="Y46" s="343">
        <f t="shared" si="3"/>
        <v>50</v>
      </c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60"/>
    </row>
    <row r="47" spans="1:40" ht="30" hidden="1" customHeight="1" x14ac:dyDescent="0.25">
      <c r="A47" s="70" t="s">
        <v>71</v>
      </c>
      <c r="B47" s="177" t="s">
        <v>377</v>
      </c>
      <c r="C47" s="26" t="s">
        <v>378</v>
      </c>
      <c r="D47" s="136"/>
      <c r="E47" s="136"/>
      <c r="F47" s="136">
        <f>10</f>
        <v>10</v>
      </c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>
        <f t="shared" si="1"/>
        <v>10</v>
      </c>
      <c r="S47" s="136"/>
      <c r="T47" s="136"/>
      <c r="U47" s="136"/>
      <c r="V47" s="142"/>
      <c r="W47" s="136"/>
      <c r="X47" s="142">
        <f t="shared" si="2"/>
        <v>0</v>
      </c>
      <c r="Y47" s="343">
        <f t="shared" si="3"/>
        <v>10</v>
      </c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ht="30" hidden="1" customHeight="1" x14ac:dyDescent="0.25">
      <c r="A48" s="70" t="s">
        <v>71</v>
      </c>
      <c r="B48" s="177" t="s">
        <v>379</v>
      </c>
      <c r="C48" s="26" t="s">
        <v>288</v>
      </c>
      <c r="D48" s="136">
        <v>-25</v>
      </c>
      <c r="E48" s="136"/>
      <c r="F48" s="136">
        <v>25</v>
      </c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>
        <f t="shared" si="1"/>
        <v>0</v>
      </c>
      <c r="S48" s="136"/>
      <c r="T48" s="136"/>
      <c r="U48" s="136"/>
      <c r="V48" s="142"/>
      <c r="W48" s="136"/>
      <c r="X48" s="142">
        <f t="shared" si="2"/>
        <v>0</v>
      </c>
      <c r="Y48" s="343">
        <f t="shared" si="3"/>
        <v>0</v>
      </c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60"/>
    </row>
    <row r="49" spans="1:72" ht="30" hidden="1" customHeight="1" x14ac:dyDescent="0.25">
      <c r="A49" s="70"/>
      <c r="B49" s="413" t="s">
        <v>413</v>
      </c>
      <c r="C49" s="26" t="s">
        <v>414</v>
      </c>
      <c r="D49" s="136">
        <f>2590+466.2+9020</f>
        <v>12076.2</v>
      </c>
      <c r="E49" s="136">
        <f>2263.95+241.004</f>
        <v>2504.9539999999997</v>
      </c>
      <c r="F49" s="136">
        <f>125.8+699.212+188.788+572.718+154.636+136.22+36.78+60+23.622+6.378</f>
        <v>2004.154</v>
      </c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>
        <f t="shared" si="1"/>
        <v>16585.308000000001</v>
      </c>
      <c r="S49" s="136"/>
      <c r="T49" s="136"/>
      <c r="U49" s="136"/>
      <c r="V49" s="142"/>
      <c r="W49" s="136"/>
      <c r="X49" s="142">
        <f t="shared" ref="X49:X53" si="7">SUM(T49:W49)</f>
        <v>0</v>
      </c>
      <c r="Y49" s="343">
        <f t="shared" ref="Y49:Y53" si="8">R49+X49</f>
        <v>16585.308000000001</v>
      </c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60"/>
    </row>
    <row r="50" spans="1:72" ht="30" hidden="1" customHeight="1" x14ac:dyDescent="0.25">
      <c r="A50" s="70"/>
      <c r="B50" s="177"/>
      <c r="C50" s="2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>
        <f t="shared" si="1"/>
        <v>0</v>
      </c>
      <c r="S50" s="136"/>
      <c r="T50" s="136"/>
      <c r="U50" s="136"/>
      <c r="V50" s="142"/>
      <c r="W50" s="136"/>
      <c r="X50" s="142">
        <f t="shared" si="7"/>
        <v>0</v>
      </c>
      <c r="Y50" s="343">
        <f t="shared" si="8"/>
        <v>0</v>
      </c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</row>
    <row r="51" spans="1:72" ht="30" hidden="1" customHeight="1" x14ac:dyDescent="0.25">
      <c r="A51" s="70"/>
      <c r="B51" s="177"/>
      <c r="C51" s="2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>
        <f t="shared" si="1"/>
        <v>0</v>
      </c>
      <c r="S51" s="136"/>
      <c r="T51" s="136"/>
      <c r="U51" s="136"/>
      <c r="V51" s="142"/>
      <c r="W51" s="136"/>
      <c r="X51" s="142">
        <f t="shared" si="7"/>
        <v>0</v>
      </c>
      <c r="Y51" s="343">
        <f t="shared" si="8"/>
        <v>0</v>
      </c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</row>
    <row r="52" spans="1:72" ht="30" hidden="1" customHeight="1" x14ac:dyDescent="0.25">
      <c r="A52" s="70"/>
      <c r="B52" s="177"/>
      <c r="C52" s="2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>
        <f t="shared" si="1"/>
        <v>0</v>
      </c>
      <c r="S52" s="136"/>
      <c r="T52" s="136"/>
      <c r="U52" s="136"/>
      <c r="V52" s="142"/>
      <c r="W52" s="136"/>
      <c r="X52" s="142">
        <f t="shared" si="7"/>
        <v>0</v>
      </c>
      <c r="Y52" s="343">
        <f t="shared" si="8"/>
        <v>0</v>
      </c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</row>
    <row r="53" spans="1:72" ht="30" hidden="1" customHeight="1" x14ac:dyDescent="0.25">
      <c r="A53" s="70"/>
      <c r="B53" s="177"/>
      <c r="C53" s="2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>
        <f t="shared" si="1"/>
        <v>0</v>
      </c>
      <c r="S53" s="136"/>
      <c r="T53" s="136"/>
      <c r="U53" s="136"/>
      <c r="V53" s="142"/>
      <c r="W53" s="136"/>
      <c r="X53" s="142">
        <f t="shared" si="7"/>
        <v>0</v>
      </c>
      <c r="Y53" s="343">
        <f t="shared" si="8"/>
        <v>0</v>
      </c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</row>
    <row r="54" spans="1:72" ht="30" hidden="1" customHeight="1" x14ac:dyDescent="0.25">
      <c r="A54" s="70"/>
      <c r="B54" s="118"/>
      <c r="C54" s="2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42"/>
      <c r="W54" s="136"/>
      <c r="X54" s="142"/>
      <c r="Y54" s="343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</row>
    <row r="55" spans="1:72" ht="30" hidden="1" customHeight="1" x14ac:dyDescent="0.25">
      <c r="A55" s="163" t="s">
        <v>54</v>
      </c>
      <c r="B55" s="160"/>
      <c r="C55" s="164" t="s">
        <v>52</v>
      </c>
      <c r="D55" s="136">
        <f>SUM(D36:D49)</f>
        <v>10509.2</v>
      </c>
      <c r="E55" s="136">
        <f t="shared" ref="E55:Q55" si="9">SUM(E36:E49)</f>
        <v>2504.9539999999997</v>
      </c>
      <c r="F55" s="136">
        <f t="shared" si="9"/>
        <v>4088.154</v>
      </c>
      <c r="G55" s="136">
        <f t="shared" si="9"/>
        <v>0</v>
      </c>
      <c r="H55" s="136">
        <f t="shared" si="9"/>
        <v>0</v>
      </c>
      <c r="I55" s="136">
        <f t="shared" si="9"/>
        <v>0</v>
      </c>
      <c r="J55" s="136">
        <f t="shared" si="9"/>
        <v>0</v>
      </c>
      <c r="K55" s="136">
        <f t="shared" si="9"/>
        <v>0</v>
      </c>
      <c r="L55" s="136">
        <f t="shared" si="9"/>
        <v>47</v>
      </c>
      <c r="M55" s="136">
        <f t="shared" si="9"/>
        <v>0</v>
      </c>
      <c r="N55" s="136">
        <f t="shared" si="9"/>
        <v>0</v>
      </c>
      <c r="O55" s="136">
        <f t="shared" si="9"/>
        <v>0</v>
      </c>
      <c r="P55" s="136">
        <f t="shared" si="9"/>
        <v>0</v>
      </c>
      <c r="Q55" s="136">
        <f t="shared" si="9"/>
        <v>0</v>
      </c>
      <c r="R55" s="136">
        <f t="shared" si="1"/>
        <v>17149.308000000001</v>
      </c>
      <c r="S55" s="136"/>
      <c r="T55" s="136">
        <f>SUM(T36:T48)</f>
        <v>0</v>
      </c>
      <c r="U55" s="136">
        <f>SUM(U36:U48)</f>
        <v>0</v>
      </c>
      <c r="V55" s="136">
        <f>SUM(V36:V48)</f>
        <v>0</v>
      </c>
      <c r="W55" s="136">
        <f>SUM(W36:W48)</f>
        <v>0</v>
      </c>
      <c r="X55" s="142">
        <f t="shared" si="2"/>
        <v>0</v>
      </c>
      <c r="Y55" s="344">
        <f t="shared" si="3"/>
        <v>17149.308000000001</v>
      </c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</row>
    <row r="56" spans="1:72" ht="30" hidden="1" customHeight="1" x14ac:dyDescent="0.25">
      <c r="A56" s="70"/>
      <c r="B56" s="118"/>
      <c r="C56" s="26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3"/>
      <c r="W56" s="62"/>
      <c r="X56" s="63"/>
      <c r="Y56" s="71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</row>
    <row r="57" spans="1:72" ht="17.25" hidden="1" thickBot="1" x14ac:dyDescent="0.25">
      <c r="A57" s="70"/>
      <c r="B57" s="107"/>
      <c r="C57" s="140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3"/>
      <c r="W57" s="62"/>
      <c r="X57" s="63"/>
      <c r="Y57" s="71"/>
    </row>
    <row r="58" spans="1:72" ht="30" hidden="1" customHeight="1" thickTop="1" thickBot="1" x14ac:dyDescent="0.25">
      <c r="A58" s="115"/>
      <c r="B58" s="76"/>
      <c r="C58" s="40" t="s">
        <v>55</v>
      </c>
      <c r="D58" s="74">
        <f t="shared" ref="D58:Q58" si="10">D34+D55</f>
        <v>24882.7</v>
      </c>
      <c r="E58" s="74">
        <f t="shared" si="10"/>
        <v>5115.0969999999998</v>
      </c>
      <c r="F58" s="74">
        <f t="shared" si="10"/>
        <v>38868.154000000002</v>
      </c>
      <c r="G58" s="74">
        <f t="shared" si="10"/>
        <v>0</v>
      </c>
      <c r="H58" s="74">
        <f t="shared" si="10"/>
        <v>0</v>
      </c>
      <c r="I58" s="74">
        <f t="shared" si="10"/>
        <v>0</v>
      </c>
      <c r="J58" s="74">
        <f t="shared" si="10"/>
        <v>0</v>
      </c>
      <c r="K58" s="74">
        <f t="shared" si="10"/>
        <v>0</v>
      </c>
      <c r="L58" s="74">
        <f t="shared" si="10"/>
        <v>85050</v>
      </c>
      <c r="M58" s="74">
        <f t="shared" si="10"/>
        <v>7400</v>
      </c>
      <c r="N58" s="74">
        <f t="shared" si="10"/>
        <v>0</v>
      </c>
      <c r="O58" s="74">
        <f t="shared" si="10"/>
        <v>0</v>
      </c>
      <c r="P58" s="74">
        <f t="shared" si="10"/>
        <v>0</v>
      </c>
      <c r="Q58" s="74">
        <f t="shared" si="10"/>
        <v>0</v>
      </c>
      <c r="R58" s="74">
        <f t="shared" si="1"/>
        <v>161315.951</v>
      </c>
      <c r="S58" s="74"/>
      <c r="T58" s="74">
        <f>T34+T55</f>
        <v>0</v>
      </c>
      <c r="U58" s="74">
        <f>U34+U55</f>
        <v>0</v>
      </c>
      <c r="V58" s="75">
        <f>V34+V55</f>
        <v>0</v>
      </c>
      <c r="W58" s="74">
        <f>W34+W55</f>
        <v>0</v>
      </c>
      <c r="X58" s="74">
        <f t="shared" si="2"/>
        <v>0</v>
      </c>
      <c r="Y58" s="68">
        <f t="shared" si="3"/>
        <v>161315.951</v>
      </c>
    </row>
    <row r="59" spans="1:72" ht="9.9499999999999993" hidden="1" customHeight="1" thickTop="1" x14ac:dyDescent="0.2">
      <c r="A59" s="367"/>
      <c r="B59" s="153"/>
      <c r="C59" s="154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38"/>
      <c r="W59" s="377"/>
      <c r="X59" s="338"/>
      <c r="Y59" s="378"/>
    </row>
    <row r="60" spans="1:72" ht="30" hidden="1" customHeight="1" x14ac:dyDescent="0.2">
      <c r="A60" s="379"/>
      <c r="B60" s="27"/>
      <c r="C60" s="380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>
        <f>SUM(D60:Q60)</f>
        <v>0</v>
      </c>
      <c r="S60" s="381"/>
      <c r="T60" s="381"/>
      <c r="U60" s="381"/>
      <c r="V60" s="382"/>
      <c r="W60" s="381"/>
      <c r="X60" s="382">
        <f>SUM(T60:W60)</f>
        <v>0</v>
      </c>
      <c r="Y60" s="383">
        <f>R60+X60</f>
        <v>0</v>
      </c>
    </row>
    <row r="61" spans="1:72" ht="9.9499999999999993" hidden="1" customHeight="1" thickBot="1" x14ac:dyDescent="0.25">
      <c r="A61" s="374"/>
      <c r="B61" s="156"/>
      <c r="C61" s="157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5"/>
      <c r="W61" s="384"/>
      <c r="X61" s="385"/>
      <c r="Y61" s="386"/>
    </row>
    <row r="62" spans="1:72" ht="30" hidden="1" customHeight="1" thickTop="1" thickBot="1" x14ac:dyDescent="0.25">
      <c r="A62" s="115"/>
      <c r="B62" s="76"/>
      <c r="C62" s="40" t="s">
        <v>103</v>
      </c>
      <c r="D62" s="108">
        <f t="shared" ref="D62:K62" si="11">D17+D58</f>
        <v>2572321.7000000002</v>
      </c>
      <c r="E62" s="108">
        <f t="shared" si="11"/>
        <v>534570.09699999995</v>
      </c>
      <c r="F62" s="108">
        <f t="shared" si="11"/>
        <v>740789.15399999998</v>
      </c>
      <c r="G62" s="108">
        <f t="shared" si="11"/>
        <v>185</v>
      </c>
      <c r="H62" s="108">
        <f t="shared" si="11"/>
        <v>0</v>
      </c>
      <c r="I62" s="108">
        <f t="shared" si="11"/>
        <v>0</v>
      </c>
      <c r="J62" s="108">
        <f t="shared" si="11"/>
        <v>0</v>
      </c>
      <c r="K62" s="108">
        <f t="shared" si="11"/>
        <v>0</v>
      </c>
      <c r="L62" s="108">
        <f>L17+L58+L60</f>
        <v>302048</v>
      </c>
      <c r="M62" s="108">
        <f>M17+M58</f>
        <v>12500</v>
      </c>
      <c r="N62" s="108">
        <f>N17+N58</f>
        <v>0</v>
      </c>
      <c r="O62" s="108">
        <f>O17+O58</f>
        <v>5000</v>
      </c>
      <c r="P62" s="108">
        <f>P17+P58</f>
        <v>0</v>
      </c>
      <c r="Q62" s="108">
        <f>Q17+Q58</f>
        <v>0</v>
      </c>
      <c r="R62" s="108">
        <f>SUM(D62:Q62)</f>
        <v>4167413.9510000004</v>
      </c>
      <c r="S62" s="108"/>
      <c r="T62" s="108">
        <f>T17+T58</f>
        <v>0</v>
      </c>
      <c r="U62" s="108">
        <f>U17+U58</f>
        <v>0</v>
      </c>
      <c r="V62" s="248">
        <f>V17+V58</f>
        <v>0</v>
      </c>
      <c r="W62" s="108">
        <f>W17+W58</f>
        <v>0</v>
      </c>
      <c r="X62" s="248">
        <f t="shared" si="2"/>
        <v>0</v>
      </c>
      <c r="Y62" s="138">
        <f>R62+X62+Y60</f>
        <v>4167413.9510000004</v>
      </c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</row>
    <row r="63" spans="1:72" ht="17.25" hidden="1" thickTop="1" x14ac:dyDescent="0.2">
      <c r="A63" s="24"/>
      <c r="B63" s="116" t="s">
        <v>41</v>
      </c>
      <c r="C63" s="78" t="s">
        <v>96</v>
      </c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>
        <f t="shared" si="1"/>
        <v>0</v>
      </c>
      <c r="S63" s="79"/>
      <c r="T63" s="79"/>
      <c r="U63" s="79"/>
      <c r="V63" s="83"/>
      <c r="W63" s="79"/>
      <c r="X63" s="83">
        <f t="shared" si="2"/>
        <v>0</v>
      </c>
      <c r="Y63" s="390">
        <f t="shared" si="3"/>
        <v>0</v>
      </c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</row>
    <row r="64" spans="1:72" hidden="1" x14ac:dyDescent="0.2">
      <c r="A64" s="24"/>
      <c r="B64" s="64" t="s">
        <v>44</v>
      </c>
      <c r="C64" s="80" t="s">
        <v>96</v>
      </c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>
        <f t="shared" si="1"/>
        <v>0</v>
      </c>
      <c r="S64" s="81"/>
      <c r="T64" s="81"/>
      <c r="U64" s="81"/>
      <c r="V64" s="84"/>
      <c r="W64" s="81"/>
      <c r="X64" s="84">
        <f t="shared" si="2"/>
        <v>0</v>
      </c>
      <c r="Y64" s="391">
        <f t="shared" si="3"/>
        <v>0</v>
      </c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</row>
    <row r="65" spans="1:72" hidden="1" x14ac:dyDescent="0.2">
      <c r="A65" s="24"/>
      <c r="B65" s="64" t="s">
        <v>49</v>
      </c>
      <c r="C65" s="80" t="s">
        <v>96</v>
      </c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>
        <f t="shared" si="1"/>
        <v>0</v>
      </c>
      <c r="S65" s="81"/>
      <c r="T65" s="81"/>
      <c r="U65" s="81"/>
      <c r="V65" s="84"/>
      <c r="W65" s="81"/>
      <c r="X65" s="84">
        <f t="shared" si="2"/>
        <v>0</v>
      </c>
      <c r="Y65" s="391">
        <f t="shared" si="3"/>
        <v>0</v>
      </c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</row>
    <row r="66" spans="1:72" ht="16.5" hidden="1" customHeight="1" x14ac:dyDescent="0.2">
      <c r="A66" s="24"/>
      <c r="B66" s="64" t="s">
        <v>172</v>
      </c>
      <c r="C66" s="80" t="s">
        <v>96</v>
      </c>
      <c r="D66" s="388"/>
      <c r="E66" s="388"/>
      <c r="F66" s="388">
        <f>360+98+3000.39</f>
        <v>3458.39</v>
      </c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>
        <f t="shared" si="1"/>
        <v>3458.39</v>
      </c>
      <c r="S66" s="81"/>
      <c r="T66" s="81"/>
      <c r="U66" s="81"/>
      <c r="V66" s="84"/>
      <c r="W66" s="81"/>
      <c r="X66" s="84">
        <f t="shared" si="2"/>
        <v>0</v>
      </c>
      <c r="Y66" s="391">
        <f t="shared" si="3"/>
        <v>3458.39</v>
      </c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</row>
    <row r="67" spans="1:72" hidden="1" x14ac:dyDescent="0.2">
      <c r="A67" s="24"/>
      <c r="B67" s="64" t="s">
        <v>173</v>
      </c>
      <c r="C67" s="80" t="s">
        <v>96</v>
      </c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>
        <f t="shared" si="1"/>
        <v>0</v>
      </c>
      <c r="S67" s="81"/>
      <c r="T67" s="81"/>
      <c r="U67" s="81"/>
      <c r="V67" s="84"/>
      <c r="W67" s="81"/>
      <c r="X67" s="84">
        <f t="shared" si="2"/>
        <v>0</v>
      </c>
      <c r="Y67" s="391">
        <f t="shared" si="3"/>
        <v>0</v>
      </c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</row>
    <row r="68" spans="1:72" hidden="1" x14ac:dyDescent="0.2">
      <c r="A68" s="24"/>
      <c r="B68" s="64" t="s">
        <v>174</v>
      </c>
      <c r="C68" s="80" t="s">
        <v>96</v>
      </c>
      <c r="D68" s="388">
        <f>41481</f>
        <v>41481</v>
      </c>
      <c r="E68" s="388">
        <f>22252</f>
        <v>22252</v>
      </c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>
        <f t="shared" si="1"/>
        <v>63733</v>
      </c>
      <c r="S68" s="81"/>
      <c r="T68" s="81"/>
      <c r="U68" s="81"/>
      <c r="V68" s="84"/>
      <c r="W68" s="81"/>
      <c r="X68" s="84">
        <f t="shared" si="2"/>
        <v>0</v>
      </c>
      <c r="Y68" s="391">
        <f t="shared" si="3"/>
        <v>63733</v>
      </c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</row>
    <row r="69" spans="1:72" hidden="1" x14ac:dyDescent="0.2">
      <c r="A69" s="24"/>
      <c r="B69" s="64" t="s">
        <v>175</v>
      </c>
      <c r="C69" s="80" t="s">
        <v>96</v>
      </c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P69" s="388"/>
      <c r="Q69" s="388"/>
      <c r="R69" s="388">
        <f t="shared" si="1"/>
        <v>0</v>
      </c>
      <c r="S69" s="81"/>
      <c r="T69" s="81"/>
      <c r="U69" s="81"/>
      <c r="V69" s="84"/>
      <c r="W69" s="81"/>
      <c r="X69" s="84">
        <f t="shared" si="2"/>
        <v>0</v>
      </c>
      <c r="Y69" s="391">
        <f t="shared" si="3"/>
        <v>0</v>
      </c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</row>
    <row r="70" spans="1:72" hidden="1" x14ac:dyDescent="0.2">
      <c r="A70" s="24"/>
      <c r="B70" s="64" t="s">
        <v>192</v>
      </c>
      <c r="C70" s="80" t="s">
        <v>96</v>
      </c>
      <c r="D70" s="388"/>
      <c r="E70" s="388"/>
      <c r="F70" s="388">
        <f>145+39+1000+270</f>
        <v>1454</v>
      </c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>
        <f t="shared" si="1"/>
        <v>1454</v>
      </c>
      <c r="S70" s="81"/>
      <c r="T70" s="81"/>
      <c r="U70" s="81"/>
      <c r="V70" s="84"/>
      <c r="W70" s="81"/>
      <c r="X70" s="84">
        <f t="shared" ref="X70:X71" si="12">SUM(T70:W70)</f>
        <v>0</v>
      </c>
      <c r="Y70" s="391">
        <f t="shared" ref="Y70:Y71" si="13">R70+X70</f>
        <v>1454</v>
      </c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</row>
    <row r="71" spans="1:72" hidden="1" x14ac:dyDescent="0.2">
      <c r="A71" s="24"/>
      <c r="B71" s="64" t="s">
        <v>193</v>
      </c>
      <c r="C71" s="80" t="s">
        <v>96</v>
      </c>
      <c r="D71" s="388"/>
      <c r="E71" s="388"/>
      <c r="F71" s="388">
        <f>11274+2926</f>
        <v>14200</v>
      </c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>
        <f t="shared" si="1"/>
        <v>14200</v>
      </c>
      <c r="S71" s="81"/>
      <c r="T71" s="81"/>
      <c r="U71" s="81"/>
      <c r="V71" s="84"/>
      <c r="W71" s="81"/>
      <c r="X71" s="84">
        <f t="shared" si="12"/>
        <v>0</v>
      </c>
      <c r="Y71" s="391">
        <f t="shared" si="13"/>
        <v>14200</v>
      </c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</row>
    <row r="72" spans="1:72" hidden="1" x14ac:dyDescent="0.2">
      <c r="A72" s="24"/>
      <c r="B72" s="64" t="s">
        <v>194</v>
      </c>
      <c r="C72" s="80" t="s">
        <v>96</v>
      </c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>
        <f t="shared" si="1"/>
        <v>0</v>
      </c>
      <c r="S72" s="81"/>
      <c r="T72" s="81"/>
      <c r="U72" s="81"/>
      <c r="V72" s="84"/>
      <c r="W72" s="81"/>
      <c r="X72" s="84">
        <f t="shared" ref="X72:X74" si="14">SUM(T72:W72)</f>
        <v>0</v>
      </c>
      <c r="Y72" s="391">
        <f t="shared" ref="Y72:Y74" si="15">R72+X72</f>
        <v>0</v>
      </c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</row>
    <row r="73" spans="1:72" hidden="1" x14ac:dyDescent="0.2">
      <c r="A73" s="24"/>
      <c r="B73" s="64" t="s">
        <v>195</v>
      </c>
      <c r="C73" s="80" t="s">
        <v>96</v>
      </c>
      <c r="D73" s="388"/>
      <c r="E73" s="388"/>
      <c r="F73" s="388">
        <f>1145+309</f>
        <v>1454</v>
      </c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>
        <f t="shared" si="1"/>
        <v>1454</v>
      </c>
      <c r="S73" s="81"/>
      <c r="T73" s="81"/>
      <c r="U73" s="81"/>
      <c r="V73" s="84"/>
      <c r="W73" s="81"/>
      <c r="X73" s="84">
        <f t="shared" si="14"/>
        <v>0</v>
      </c>
      <c r="Y73" s="391">
        <f t="shared" si="15"/>
        <v>1454</v>
      </c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</row>
    <row r="74" spans="1:72" hidden="1" x14ac:dyDescent="0.2">
      <c r="A74" s="24"/>
      <c r="B74" s="64" t="s">
        <v>196</v>
      </c>
      <c r="C74" s="80" t="s">
        <v>96</v>
      </c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>
        <f t="shared" si="1"/>
        <v>0</v>
      </c>
      <c r="S74" s="81"/>
      <c r="T74" s="81"/>
      <c r="U74" s="81"/>
      <c r="V74" s="84"/>
      <c r="W74" s="81"/>
      <c r="X74" s="84">
        <f t="shared" si="14"/>
        <v>0</v>
      </c>
      <c r="Y74" s="391">
        <f t="shared" si="15"/>
        <v>0</v>
      </c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</row>
    <row r="75" spans="1:72" hidden="1" x14ac:dyDescent="0.2">
      <c r="A75" s="24"/>
      <c r="B75" s="64" t="s">
        <v>176</v>
      </c>
      <c r="C75" s="80" t="s">
        <v>96</v>
      </c>
      <c r="D75" s="388"/>
      <c r="E75" s="388"/>
      <c r="F75" s="388">
        <f>460+124</f>
        <v>584</v>
      </c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>
        <f t="shared" si="1"/>
        <v>584</v>
      </c>
      <c r="S75" s="81"/>
      <c r="T75" s="81"/>
      <c r="U75" s="81"/>
      <c r="V75" s="84"/>
      <c r="W75" s="81"/>
      <c r="X75" s="84">
        <f t="shared" si="2"/>
        <v>0</v>
      </c>
      <c r="Y75" s="391">
        <f t="shared" si="3"/>
        <v>584</v>
      </c>
      <c r="Z75" s="7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</row>
    <row r="76" spans="1:72" hidden="1" x14ac:dyDescent="0.2">
      <c r="A76" s="24"/>
      <c r="B76" s="64" t="s">
        <v>190</v>
      </c>
      <c r="C76" s="80" t="s">
        <v>96</v>
      </c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>
        <f t="shared" si="1"/>
        <v>0</v>
      </c>
      <c r="S76" s="81"/>
      <c r="T76" s="81"/>
      <c r="U76" s="81"/>
      <c r="V76" s="84"/>
      <c r="W76" s="81"/>
      <c r="X76" s="84">
        <f t="shared" si="2"/>
        <v>0</v>
      </c>
      <c r="Y76" s="391">
        <f t="shared" si="3"/>
        <v>0</v>
      </c>
      <c r="Z76" s="7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</row>
    <row r="77" spans="1:72" hidden="1" x14ac:dyDescent="0.2">
      <c r="A77" s="24"/>
      <c r="B77" s="64" t="s">
        <v>177</v>
      </c>
      <c r="C77" s="80" t="s">
        <v>96</v>
      </c>
      <c r="D77" s="388">
        <f>315</f>
        <v>315</v>
      </c>
      <c r="E77" s="388"/>
      <c r="F77" s="388">
        <f>51+14+27988+7557+3566+963+500+135+400+108+85+669+181+755+204+787+213+1563+422+1909+516+787+213+4+1+3561+962+200+54+3937+1063+1000+270+977+264+865+235+858+231+110+30+6090+1645+7408+2000+2031+319+118+162+44+51+14+8+3</f>
        <v>84101</v>
      </c>
      <c r="G77" s="388"/>
      <c r="H77" s="388"/>
      <c r="I77" s="388"/>
      <c r="J77" s="388"/>
      <c r="K77" s="388"/>
      <c r="L77" s="388">
        <f>231+63+150+41</f>
        <v>485</v>
      </c>
      <c r="M77" s="388"/>
      <c r="N77" s="388"/>
      <c r="O77" s="388"/>
      <c r="P77" s="388"/>
      <c r="Q77" s="388"/>
      <c r="R77" s="388">
        <f t="shared" si="1"/>
        <v>84901</v>
      </c>
      <c r="S77" s="81"/>
      <c r="T77" s="81"/>
      <c r="U77" s="81"/>
      <c r="V77" s="84"/>
      <c r="W77" s="81"/>
      <c r="X77" s="84">
        <f t="shared" si="2"/>
        <v>0</v>
      </c>
      <c r="Y77" s="391">
        <f t="shared" si="3"/>
        <v>84901</v>
      </c>
      <c r="Z77" s="7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</row>
    <row r="78" spans="1:72" hidden="1" x14ac:dyDescent="0.2">
      <c r="A78" s="24"/>
      <c r="B78" s="64" t="s">
        <v>191</v>
      </c>
      <c r="C78" s="80" t="s">
        <v>96</v>
      </c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>
        <f t="shared" si="1"/>
        <v>0</v>
      </c>
      <c r="S78" s="81"/>
      <c r="T78" s="81"/>
      <c r="U78" s="81"/>
      <c r="V78" s="84"/>
      <c r="W78" s="81"/>
      <c r="X78" s="84">
        <f t="shared" ref="X78" si="16">SUM(T78:W78)</f>
        <v>0</v>
      </c>
      <c r="Y78" s="391">
        <f t="shared" ref="Y78" si="17">R78+X78</f>
        <v>0</v>
      </c>
      <c r="Z78" s="7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</row>
    <row r="79" spans="1:72" hidden="1" x14ac:dyDescent="0.2">
      <c r="A79" s="24"/>
      <c r="B79" s="64" t="s">
        <v>178</v>
      </c>
      <c r="C79" s="80" t="s">
        <v>96</v>
      </c>
      <c r="D79" s="388"/>
      <c r="E79" s="388"/>
      <c r="F79" s="388">
        <f>491</f>
        <v>491</v>
      </c>
      <c r="G79" s="388"/>
      <c r="H79" s="388"/>
      <c r="I79" s="388"/>
      <c r="J79" s="388"/>
      <c r="K79" s="388"/>
      <c r="L79" s="388">
        <f>800+216</f>
        <v>1016</v>
      </c>
      <c r="M79" s="388"/>
      <c r="N79" s="388"/>
      <c r="O79" s="388"/>
      <c r="P79" s="388"/>
      <c r="Q79" s="388"/>
      <c r="R79" s="388">
        <f t="shared" si="1"/>
        <v>1507</v>
      </c>
      <c r="S79" s="81"/>
      <c r="T79" s="81"/>
      <c r="U79" s="81"/>
      <c r="V79" s="84"/>
      <c r="W79" s="81"/>
      <c r="X79" s="84">
        <f t="shared" si="2"/>
        <v>0</v>
      </c>
      <c r="Y79" s="391">
        <f t="shared" si="3"/>
        <v>1507</v>
      </c>
      <c r="Z79" s="7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</row>
    <row r="80" spans="1:72" hidden="1" x14ac:dyDescent="0.2">
      <c r="A80" s="24"/>
      <c r="B80" s="64" t="s">
        <v>179</v>
      </c>
      <c r="C80" s="80" t="s">
        <v>96</v>
      </c>
      <c r="D80" s="389"/>
      <c r="E80" s="389"/>
      <c r="F80" s="389">
        <f>1043+282+50+14+13420+3624+12890+3781</f>
        <v>35104</v>
      </c>
      <c r="G80" s="389"/>
      <c r="H80" s="389"/>
      <c r="I80" s="389"/>
      <c r="J80" s="389"/>
      <c r="K80" s="389"/>
      <c r="L80" s="389">
        <f>4250+1148+6452+1742+514+139</f>
        <v>14245</v>
      </c>
      <c r="M80" s="389"/>
      <c r="N80" s="389"/>
      <c r="O80" s="389"/>
      <c r="P80" s="389"/>
      <c r="Q80" s="389"/>
      <c r="R80" s="389">
        <f t="shared" si="1"/>
        <v>49349</v>
      </c>
      <c r="S80" s="213"/>
      <c r="T80" s="213"/>
      <c r="U80" s="213"/>
      <c r="V80" s="214"/>
      <c r="W80" s="213"/>
      <c r="X80" s="214">
        <f t="shared" si="2"/>
        <v>0</v>
      </c>
      <c r="Y80" s="391">
        <f t="shared" si="3"/>
        <v>49349</v>
      </c>
      <c r="Z80" s="7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</row>
    <row r="81" spans="1:72" ht="17.25" hidden="1" thickBot="1" x14ac:dyDescent="0.25">
      <c r="A81" s="24"/>
      <c r="B81" s="286"/>
      <c r="C81" s="287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9"/>
      <c r="W81" s="288"/>
      <c r="X81" s="289"/>
      <c r="Y81" s="290"/>
      <c r="Z81" s="7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</row>
    <row r="82" spans="1:72" s="69" customFormat="1" ht="30" hidden="1" customHeight="1" thickTop="1" thickBot="1" x14ac:dyDescent="0.25">
      <c r="A82" s="115"/>
      <c r="B82" s="215"/>
      <c r="C82" s="216" t="s">
        <v>163</v>
      </c>
      <c r="D82" s="395">
        <f t="shared" ref="D82:I82" si="18">SUM(D63:D80)</f>
        <v>41796</v>
      </c>
      <c r="E82" s="395">
        <f t="shared" si="18"/>
        <v>22252</v>
      </c>
      <c r="F82" s="395">
        <f t="shared" si="18"/>
        <v>140846.39000000001</v>
      </c>
      <c r="G82" s="395">
        <f t="shared" si="18"/>
        <v>0</v>
      </c>
      <c r="H82" s="395">
        <f t="shared" si="18"/>
        <v>0</v>
      </c>
      <c r="I82" s="395">
        <f t="shared" si="18"/>
        <v>0</v>
      </c>
      <c r="J82" s="395"/>
      <c r="K82" s="395">
        <f t="shared" ref="K82:Q82" si="19">SUM(K63:K80)</f>
        <v>0</v>
      </c>
      <c r="L82" s="395">
        <f t="shared" si="19"/>
        <v>15746</v>
      </c>
      <c r="M82" s="395">
        <f t="shared" si="19"/>
        <v>0</v>
      </c>
      <c r="N82" s="395">
        <f t="shared" si="19"/>
        <v>0</v>
      </c>
      <c r="O82" s="395">
        <f t="shared" si="19"/>
        <v>0</v>
      </c>
      <c r="P82" s="395">
        <f t="shared" si="19"/>
        <v>0</v>
      </c>
      <c r="Q82" s="395">
        <f t="shared" si="19"/>
        <v>0</v>
      </c>
      <c r="R82" s="395">
        <f t="shared" si="1"/>
        <v>220640.39</v>
      </c>
      <c r="S82" s="217"/>
      <c r="T82" s="217">
        <f>SUM(T63:T80)</f>
        <v>0</v>
      </c>
      <c r="U82" s="217">
        <f>SUM(U63:U80)</f>
        <v>0</v>
      </c>
      <c r="V82" s="307">
        <f>SUM(V63:V80)</f>
        <v>0</v>
      </c>
      <c r="W82" s="217">
        <f>SUM(W63:W80)</f>
        <v>0</v>
      </c>
      <c r="X82" s="307">
        <f t="shared" si="2"/>
        <v>0</v>
      </c>
      <c r="Y82" s="392">
        <f t="shared" si="3"/>
        <v>220640.39</v>
      </c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</row>
    <row r="83" spans="1:72" s="43" customFormat="1" ht="16.5" hidden="1" customHeight="1" thickTop="1" thickBot="1" x14ac:dyDescent="0.25">
      <c r="A83" s="129"/>
      <c r="B83" s="220"/>
      <c r="C83" s="221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308"/>
      <c r="W83" s="222"/>
      <c r="X83" s="308"/>
      <c r="Y83" s="223"/>
    </row>
    <row r="84" spans="1:72" ht="30" hidden="1" customHeight="1" thickTop="1" thickBot="1" x14ac:dyDescent="0.35">
      <c r="A84" s="114"/>
      <c r="B84" s="291" t="s">
        <v>122</v>
      </c>
      <c r="C84" s="40" t="s">
        <v>165</v>
      </c>
      <c r="D84" s="74">
        <f t="shared" ref="D84:Q84" si="20">D62+D82</f>
        <v>2614117.7000000002</v>
      </c>
      <c r="E84" s="74">
        <f t="shared" si="20"/>
        <v>556822.09699999995</v>
      </c>
      <c r="F84" s="74">
        <f t="shared" si="20"/>
        <v>881635.54399999999</v>
      </c>
      <c r="G84" s="74">
        <f t="shared" si="20"/>
        <v>185</v>
      </c>
      <c r="H84" s="74">
        <f t="shared" si="20"/>
        <v>0</v>
      </c>
      <c r="I84" s="74">
        <f t="shared" si="20"/>
        <v>0</v>
      </c>
      <c r="J84" s="74">
        <f t="shared" si="20"/>
        <v>0</v>
      </c>
      <c r="K84" s="74">
        <f t="shared" si="20"/>
        <v>0</v>
      </c>
      <c r="L84" s="74">
        <f t="shared" si="20"/>
        <v>317794</v>
      </c>
      <c r="M84" s="74">
        <f t="shared" si="20"/>
        <v>12500</v>
      </c>
      <c r="N84" s="74">
        <f t="shared" si="20"/>
        <v>0</v>
      </c>
      <c r="O84" s="74">
        <f t="shared" si="20"/>
        <v>5000</v>
      </c>
      <c r="P84" s="74">
        <f t="shared" si="20"/>
        <v>0</v>
      </c>
      <c r="Q84" s="74">
        <f t="shared" si="20"/>
        <v>0</v>
      </c>
      <c r="R84" s="74">
        <f t="shared" si="1"/>
        <v>4388054.341</v>
      </c>
      <c r="S84" s="74"/>
      <c r="T84" s="74">
        <f>T62+T82</f>
        <v>0</v>
      </c>
      <c r="U84" s="74">
        <f>U62+U82</f>
        <v>0</v>
      </c>
      <c r="V84" s="74">
        <f>V62+V82</f>
        <v>0</v>
      </c>
      <c r="W84" s="74">
        <f>W62+W82</f>
        <v>0</v>
      </c>
      <c r="X84" s="74">
        <f t="shared" si="2"/>
        <v>0</v>
      </c>
      <c r="Y84" s="74">
        <f t="shared" si="3"/>
        <v>4388054.341</v>
      </c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</row>
    <row r="85" spans="1:72" ht="24" customHeight="1" x14ac:dyDescent="0.25">
      <c r="A85" s="112"/>
      <c r="B85" s="210"/>
      <c r="C85" s="113" t="s">
        <v>18</v>
      </c>
      <c r="D85" s="173">
        <f t="shared" ref="D85:L85" si="21">D84</f>
        <v>2614117.7000000002</v>
      </c>
      <c r="E85" s="173">
        <f t="shared" si="21"/>
        <v>556822.09699999995</v>
      </c>
      <c r="F85" s="173">
        <f t="shared" si="21"/>
        <v>881635.54399999999</v>
      </c>
      <c r="G85" s="173">
        <f t="shared" si="21"/>
        <v>185</v>
      </c>
      <c r="H85" s="173">
        <f t="shared" si="21"/>
        <v>0</v>
      </c>
      <c r="I85" s="173">
        <f t="shared" si="21"/>
        <v>0</v>
      </c>
      <c r="J85" s="173">
        <f t="shared" si="21"/>
        <v>0</v>
      </c>
      <c r="K85" s="173">
        <f t="shared" si="21"/>
        <v>0</v>
      </c>
      <c r="L85" s="173">
        <f t="shared" si="21"/>
        <v>317794</v>
      </c>
      <c r="M85" s="173">
        <f t="shared" ref="M85:W85" si="22">M84</f>
        <v>12500</v>
      </c>
      <c r="N85" s="173">
        <f t="shared" si="22"/>
        <v>0</v>
      </c>
      <c r="O85" s="173">
        <f t="shared" si="22"/>
        <v>5000</v>
      </c>
      <c r="P85" s="173">
        <f t="shared" si="22"/>
        <v>0</v>
      </c>
      <c r="Q85" s="173">
        <f t="shared" si="22"/>
        <v>0</v>
      </c>
      <c r="R85" s="173">
        <f t="shared" si="1"/>
        <v>4388054.341</v>
      </c>
      <c r="S85" s="173"/>
      <c r="T85" s="173">
        <f>T84</f>
        <v>0</v>
      </c>
      <c r="U85" s="173">
        <f>U84</f>
        <v>0</v>
      </c>
      <c r="V85" s="205">
        <f t="shared" si="22"/>
        <v>0</v>
      </c>
      <c r="W85" s="132">
        <f t="shared" si="22"/>
        <v>0</v>
      </c>
      <c r="X85" s="271">
        <f t="shared" si="2"/>
        <v>0</v>
      </c>
      <c r="Y85" s="231">
        <f t="shared" si="3"/>
        <v>4388054.341</v>
      </c>
    </row>
    <row r="86" spans="1:72" ht="24" customHeight="1" x14ac:dyDescent="0.25">
      <c r="A86" s="16"/>
      <c r="B86" s="321"/>
      <c r="C86" s="38"/>
      <c r="D86" s="320"/>
      <c r="E86" s="320"/>
      <c r="F86" s="320"/>
      <c r="G86" s="319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34"/>
      <c r="W86" s="319"/>
      <c r="X86" s="330"/>
      <c r="Y86" s="209"/>
    </row>
    <row r="87" spans="1:72" ht="33.75" customHeight="1" x14ac:dyDescent="0.2">
      <c r="A87" s="70">
        <v>1</v>
      </c>
      <c r="B87" s="27" t="s">
        <v>433</v>
      </c>
      <c r="C87" s="30" t="s">
        <v>432</v>
      </c>
      <c r="D87" s="136"/>
      <c r="E87" s="136"/>
      <c r="F87" s="136"/>
      <c r="G87" s="136"/>
      <c r="H87" s="136"/>
      <c r="I87" s="136"/>
      <c r="J87" s="136"/>
      <c r="K87" s="136"/>
      <c r="L87" s="62">
        <f>4304+1163</f>
        <v>5467</v>
      </c>
      <c r="M87" s="136"/>
      <c r="N87" s="136"/>
      <c r="O87" s="136"/>
      <c r="P87" s="136"/>
      <c r="Q87" s="136"/>
      <c r="R87" s="62">
        <f t="shared" si="1"/>
        <v>5467</v>
      </c>
      <c r="S87" s="136"/>
      <c r="T87" s="136"/>
      <c r="U87" s="136"/>
      <c r="V87" s="142"/>
      <c r="W87" s="136"/>
      <c r="X87" s="161">
        <f t="shared" si="2"/>
        <v>0</v>
      </c>
      <c r="Y87" s="206">
        <f t="shared" si="3"/>
        <v>5467</v>
      </c>
    </row>
    <row r="88" spans="1:72" ht="33.75" customHeight="1" x14ac:dyDescent="0.2">
      <c r="A88" s="70">
        <v>2</v>
      </c>
      <c r="B88" s="179" t="s">
        <v>435</v>
      </c>
      <c r="C88" s="30" t="s">
        <v>432</v>
      </c>
      <c r="D88" s="62"/>
      <c r="E88" s="62"/>
      <c r="F88" s="62">
        <f>885+240</f>
        <v>1125</v>
      </c>
      <c r="G88" s="62"/>
      <c r="H88" s="62"/>
      <c r="I88" s="62"/>
      <c r="J88" s="62"/>
      <c r="K88" s="62"/>
      <c r="L88" s="62"/>
      <c r="M88" s="136"/>
      <c r="N88" s="136"/>
      <c r="O88" s="136"/>
      <c r="P88" s="136"/>
      <c r="Q88" s="136"/>
      <c r="R88" s="62">
        <f t="shared" si="1"/>
        <v>1125</v>
      </c>
      <c r="S88" s="136"/>
      <c r="T88" s="136"/>
      <c r="U88" s="136"/>
      <c r="V88" s="142"/>
      <c r="W88" s="136"/>
      <c r="X88" s="161">
        <f t="shared" si="2"/>
        <v>0</v>
      </c>
      <c r="Y88" s="206">
        <f t="shared" si="3"/>
        <v>1125</v>
      </c>
    </row>
    <row r="89" spans="1:72" ht="33.75" customHeight="1" x14ac:dyDescent="0.2">
      <c r="A89" s="70">
        <v>3</v>
      </c>
      <c r="B89" s="27" t="s">
        <v>436</v>
      </c>
      <c r="C89" s="30" t="s">
        <v>437</v>
      </c>
      <c r="D89" s="62"/>
      <c r="E89" s="62"/>
      <c r="F89" s="62">
        <f>750+203</f>
        <v>953</v>
      </c>
      <c r="G89" s="62"/>
      <c r="H89" s="62"/>
      <c r="I89" s="62"/>
      <c r="J89" s="62"/>
      <c r="K89" s="62"/>
      <c r="L89" s="62"/>
      <c r="M89" s="136"/>
      <c r="N89" s="136"/>
      <c r="O89" s="136"/>
      <c r="P89" s="136"/>
      <c r="Q89" s="136"/>
      <c r="R89" s="62">
        <f t="shared" si="1"/>
        <v>953</v>
      </c>
      <c r="S89" s="136"/>
      <c r="T89" s="136"/>
      <c r="U89" s="136"/>
      <c r="V89" s="142"/>
      <c r="W89" s="136"/>
      <c r="X89" s="161">
        <f t="shared" si="2"/>
        <v>0</v>
      </c>
      <c r="Y89" s="206">
        <f t="shared" si="3"/>
        <v>953</v>
      </c>
    </row>
    <row r="90" spans="1:72" ht="33.75" customHeight="1" x14ac:dyDescent="0.2">
      <c r="A90" s="70">
        <v>4</v>
      </c>
      <c r="B90" s="179" t="s">
        <v>442</v>
      </c>
      <c r="C90" s="30" t="s">
        <v>432</v>
      </c>
      <c r="D90" s="62"/>
      <c r="E90" s="62"/>
      <c r="F90" s="62">
        <f>1811+489</f>
        <v>2300</v>
      </c>
      <c r="G90" s="62"/>
      <c r="H90" s="62"/>
      <c r="I90" s="62"/>
      <c r="J90" s="62"/>
      <c r="K90" s="62"/>
      <c r="L90" s="62"/>
      <c r="M90" s="136"/>
      <c r="N90" s="136"/>
      <c r="O90" s="136"/>
      <c r="P90" s="136"/>
      <c r="Q90" s="136"/>
      <c r="R90" s="62">
        <f t="shared" si="1"/>
        <v>2300</v>
      </c>
      <c r="S90" s="136"/>
      <c r="T90" s="136"/>
      <c r="U90" s="136"/>
      <c r="V90" s="142"/>
      <c r="W90" s="136"/>
      <c r="X90" s="161">
        <f t="shared" si="2"/>
        <v>0</v>
      </c>
      <c r="Y90" s="206">
        <f t="shared" si="3"/>
        <v>2300</v>
      </c>
    </row>
    <row r="91" spans="1:72" ht="33.75" customHeight="1" x14ac:dyDescent="0.2">
      <c r="A91" s="70">
        <v>5</v>
      </c>
      <c r="B91" s="179" t="s">
        <v>462</v>
      </c>
      <c r="C91" s="30" t="s">
        <v>458</v>
      </c>
      <c r="D91" s="62">
        <f>39</f>
        <v>39</v>
      </c>
      <c r="E91" s="62">
        <f>7.605</f>
        <v>7.6050000000000004</v>
      </c>
      <c r="F91" s="62"/>
      <c r="G91" s="62"/>
      <c r="H91" s="62"/>
      <c r="I91" s="62"/>
      <c r="J91" s="62"/>
      <c r="K91" s="62"/>
      <c r="L91" s="62"/>
      <c r="M91" s="136"/>
      <c r="N91" s="136"/>
      <c r="O91" s="136"/>
      <c r="P91" s="136"/>
      <c r="Q91" s="136"/>
      <c r="R91" s="62">
        <f t="shared" si="1"/>
        <v>46.605000000000004</v>
      </c>
      <c r="S91" s="136"/>
      <c r="T91" s="136"/>
      <c r="U91" s="136"/>
      <c r="V91" s="142"/>
      <c r="W91" s="136"/>
      <c r="X91" s="161">
        <f t="shared" si="2"/>
        <v>0</v>
      </c>
      <c r="Y91" s="206">
        <f t="shared" si="3"/>
        <v>46.605000000000004</v>
      </c>
    </row>
    <row r="92" spans="1:72" ht="33.75" customHeight="1" x14ac:dyDescent="0.2">
      <c r="A92" s="70">
        <v>6</v>
      </c>
      <c r="B92" s="179" t="s">
        <v>492</v>
      </c>
      <c r="C92" s="30" t="s">
        <v>491</v>
      </c>
      <c r="D92" s="62">
        <f>39</f>
        <v>39</v>
      </c>
      <c r="E92" s="62">
        <f>7.605</f>
        <v>7.6050000000000004</v>
      </c>
      <c r="F92" s="62"/>
      <c r="G92" s="62"/>
      <c r="H92" s="62"/>
      <c r="I92" s="62"/>
      <c r="J92" s="62"/>
      <c r="K92" s="62"/>
      <c r="L92" s="62"/>
      <c r="M92" s="136"/>
      <c r="N92" s="136"/>
      <c r="O92" s="136"/>
      <c r="P92" s="136"/>
      <c r="Q92" s="136"/>
      <c r="R92" s="62">
        <f t="shared" si="1"/>
        <v>46.605000000000004</v>
      </c>
      <c r="S92" s="136"/>
      <c r="T92" s="136"/>
      <c r="U92" s="136"/>
      <c r="V92" s="142"/>
      <c r="W92" s="136"/>
      <c r="X92" s="161">
        <f t="shared" si="2"/>
        <v>0</v>
      </c>
      <c r="Y92" s="206">
        <f t="shared" si="3"/>
        <v>46.605000000000004</v>
      </c>
    </row>
    <row r="93" spans="1:72" ht="33.75" customHeight="1" x14ac:dyDescent="0.2">
      <c r="A93" s="70">
        <v>7</v>
      </c>
      <c r="B93" s="421" t="s">
        <v>507</v>
      </c>
      <c r="C93" s="30" t="s">
        <v>434</v>
      </c>
      <c r="D93" s="62"/>
      <c r="E93" s="62"/>
      <c r="F93" s="62">
        <f>415+112</f>
        <v>527</v>
      </c>
      <c r="G93" s="62"/>
      <c r="H93" s="62"/>
      <c r="I93" s="62"/>
      <c r="J93" s="62"/>
      <c r="K93" s="62"/>
      <c r="L93" s="62"/>
      <c r="M93" s="136"/>
      <c r="N93" s="136"/>
      <c r="O93" s="136"/>
      <c r="P93" s="136"/>
      <c r="Q93" s="136"/>
      <c r="R93" s="62">
        <f t="shared" si="1"/>
        <v>527</v>
      </c>
      <c r="S93" s="136"/>
      <c r="T93" s="136"/>
      <c r="U93" s="136"/>
      <c r="V93" s="142"/>
      <c r="W93" s="136"/>
      <c r="X93" s="161">
        <f t="shared" si="2"/>
        <v>0</v>
      </c>
      <c r="Y93" s="206">
        <f t="shared" si="3"/>
        <v>527</v>
      </c>
    </row>
    <row r="94" spans="1:72" ht="33.75" customHeight="1" x14ac:dyDescent="0.2">
      <c r="A94" s="70">
        <v>8</v>
      </c>
      <c r="B94" s="179" t="s">
        <v>578</v>
      </c>
      <c r="C94" s="30" t="s">
        <v>579</v>
      </c>
      <c r="D94" s="62">
        <v>39.200000000000003</v>
      </c>
      <c r="E94" s="62">
        <v>7.6440000000000001</v>
      </c>
      <c r="F94" s="62"/>
      <c r="G94" s="62"/>
      <c r="H94" s="62"/>
      <c r="I94" s="62"/>
      <c r="J94" s="62"/>
      <c r="K94" s="62"/>
      <c r="L94" s="62"/>
      <c r="M94" s="136"/>
      <c r="N94" s="136"/>
      <c r="O94" s="136"/>
      <c r="P94" s="136"/>
      <c r="Q94" s="136"/>
      <c r="R94" s="62">
        <f t="shared" si="1"/>
        <v>46.844000000000001</v>
      </c>
      <c r="S94" s="136"/>
      <c r="T94" s="136"/>
      <c r="U94" s="136"/>
      <c r="V94" s="142"/>
      <c r="W94" s="136"/>
      <c r="X94" s="161">
        <f t="shared" si="2"/>
        <v>0</v>
      </c>
      <c r="Y94" s="206">
        <f t="shared" si="3"/>
        <v>46.844000000000001</v>
      </c>
    </row>
    <row r="95" spans="1:72" ht="33.75" customHeight="1" x14ac:dyDescent="0.2">
      <c r="A95" s="70">
        <v>9</v>
      </c>
      <c r="B95" s="179" t="s">
        <v>606</v>
      </c>
      <c r="C95" s="30" t="s">
        <v>605</v>
      </c>
      <c r="D95" s="62"/>
      <c r="E95" s="62"/>
      <c r="F95" s="62">
        <f>1575+425</f>
        <v>2000</v>
      </c>
      <c r="G95" s="62"/>
      <c r="H95" s="62"/>
      <c r="I95" s="62"/>
      <c r="J95" s="62"/>
      <c r="K95" s="62"/>
      <c r="L95" s="62"/>
      <c r="M95" s="136"/>
      <c r="N95" s="136"/>
      <c r="O95" s="136"/>
      <c r="P95" s="136"/>
      <c r="Q95" s="136"/>
      <c r="R95" s="62">
        <f t="shared" si="1"/>
        <v>2000</v>
      </c>
      <c r="S95" s="136"/>
      <c r="T95" s="136"/>
      <c r="U95" s="136"/>
      <c r="V95" s="142"/>
      <c r="W95" s="136"/>
      <c r="X95" s="161">
        <f t="shared" si="2"/>
        <v>0</v>
      </c>
      <c r="Y95" s="206">
        <f t="shared" si="3"/>
        <v>2000</v>
      </c>
    </row>
    <row r="96" spans="1:72" ht="33.75" customHeight="1" x14ac:dyDescent="0.2">
      <c r="A96" s="70">
        <v>10</v>
      </c>
      <c r="B96" s="179" t="s">
        <v>609</v>
      </c>
      <c r="C96" s="30" t="s">
        <v>607</v>
      </c>
      <c r="D96" s="62"/>
      <c r="E96" s="62"/>
      <c r="F96" s="62"/>
      <c r="G96" s="62"/>
      <c r="H96" s="62"/>
      <c r="I96" s="62"/>
      <c r="J96" s="62"/>
      <c r="K96" s="62"/>
      <c r="L96" s="62">
        <f>1999+540</f>
        <v>2539</v>
      </c>
      <c r="M96" s="136"/>
      <c r="N96" s="136"/>
      <c r="O96" s="136"/>
      <c r="P96" s="136"/>
      <c r="Q96" s="136"/>
      <c r="R96" s="62">
        <f t="shared" si="1"/>
        <v>2539</v>
      </c>
      <c r="S96" s="136"/>
      <c r="T96" s="136"/>
      <c r="U96" s="136"/>
      <c r="V96" s="142"/>
      <c r="W96" s="136"/>
      <c r="X96" s="161">
        <f t="shared" si="2"/>
        <v>0</v>
      </c>
      <c r="Y96" s="206">
        <f t="shared" si="3"/>
        <v>2539</v>
      </c>
    </row>
    <row r="97" spans="1:25" ht="33.75" customHeight="1" x14ac:dyDescent="0.2">
      <c r="A97" s="70">
        <v>11</v>
      </c>
      <c r="B97" s="179" t="s">
        <v>610</v>
      </c>
      <c r="C97" s="30" t="s">
        <v>611</v>
      </c>
      <c r="D97" s="62">
        <v>781</v>
      </c>
      <c r="E97" s="62"/>
      <c r="F97" s="62"/>
      <c r="G97" s="62"/>
      <c r="H97" s="62"/>
      <c r="I97" s="62"/>
      <c r="J97" s="62"/>
      <c r="K97" s="62"/>
      <c r="L97" s="62"/>
      <c r="M97" s="136"/>
      <c r="N97" s="136"/>
      <c r="O97" s="136"/>
      <c r="P97" s="136"/>
      <c r="Q97" s="136"/>
      <c r="R97" s="62">
        <f t="shared" si="1"/>
        <v>781</v>
      </c>
      <c r="S97" s="136"/>
      <c r="T97" s="136"/>
      <c r="U97" s="136"/>
      <c r="V97" s="142"/>
      <c r="W97" s="136"/>
      <c r="X97" s="161">
        <f t="shared" si="2"/>
        <v>0</v>
      </c>
      <c r="Y97" s="206">
        <f t="shared" si="3"/>
        <v>781</v>
      </c>
    </row>
    <row r="98" spans="1:25" ht="33.75" customHeight="1" x14ac:dyDescent="0.2">
      <c r="A98" s="70">
        <v>12</v>
      </c>
      <c r="B98" s="179" t="s">
        <v>617</v>
      </c>
      <c r="C98" s="30" t="s">
        <v>616</v>
      </c>
      <c r="D98" s="62"/>
      <c r="E98" s="62"/>
      <c r="F98" s="62">
        <f>2094+565</f>
        <v>2659</v>
      </c>
      <c r="G98" s="62"/>
      <c r="H98" s="62"/>
      <c r="I98" s="62"/>
      <c r="J98" s="62"/>
      <c r="K98" s="62"/>
      <c r="L98" s="62"/>
      <c r="M98" s="136"/>
      <c r="N98" s="136"/>
      <c r="O98" s="136"/>
      <c r="P98" s="136"/>
      <c r="Q98" s="136"/>
      <c r="R98" s="62">
        <f t="shared" si="1"/>
        <v>2659</v>
      </c>
      <c r="S98" s="136"/>
      <c r="T98" s="136"/>
      <c r="U98" s="136"/>
      <c r="V98" s="142"/>
      <c r="W98" s="136"/>
      <c r="X98" s="161">
        <f t="shared" si="2"/>
        <v>0</v>
      </c>
      <c r="Y98" s="206">
        <f t="shared" si="3"/>
        <v>2659</v>
      </c>
    </row>
    <row r="99" spans="1:25" ht="33.75" customHeight="1" x14ac:dyDescent="0.2">
      <c r="A99" s="70">
        <v>13</v>
      </c>
      <c r="B99" s="179" t="s">
        <v>618</v>
      </c>
      <c r="C99" s="30" t="s">
        <v>619</v>
      </c>
      <c r="D99" s="62"/>
      <c r="E99" s="62"/>
      <c r="F99" s="62"/>
      <c r="G99" s="62"/>
      <c r="H99" s="62"/>
      <c r="I99" s="62"/>
      <c r="J99" s="62"/>
      <c r="K99" s="62"/>
      <c r="L99" s="62">
        <f>2140+578</f>
        <v>2718</v>
      </c>
      <c r="M99" s="136"/>
      <c r="N99" s="136"/>
      <c r="O99" s="136"/>
      <c r="P99" s="136"/>
      <c r="Q99" s="136"/>
      <c r="R99" s="62">
        <f t="shared" si="1"/>
        <v>2718</v>
      </c>
      <c r="S99" s="136"/>
      <c r="T99" s="136"/>
      <c r="U99" s="136"/>
      <c r="V99" s="142"/>
      <c r="W99" s="136"/>
      <c r="X99" s="161">
        <f t="shared" si="2"/>
        <v>0</v>
      </c>
      <c r="Y99" s="206">
        <f t="shared" si="3"/>
        <v>2718</v>
      </c>
    </row>
    <row r="100" spans="1:25" ht="33.75" customHeight="1" x14ac:dyDescent="0.2">
      <c r="A100" s="70">
        <v>14</v>
      </c>
      <c r="B100" s="179" t="s">
        <v>634</v>
      </c>
      <c r="C100" s="30" t="s">
        <v>633</v>
      </c>
      <c r="D100" s="62"/>
      <c r="E100" s="62"/>
      <c r="F100" s="62"/>
      <c r="G100" s="62">
        <f>469.5</f>
        <v>469.5</v>
      </c>
      <c r="H100" s="62"/>
      <c r="I100" s="62"/>
      <c r="J100" s="62"/>
      <c r="K100" s="62"/>
      <c r="L100" s="62"/>
      <c r="M100" s="136"/>
      <c r="N100" s="136"/>
      <c r="O100" s="136"/>
      <c r="P100" s="136"/>
      <c r="Q100" s="136"/>
      <c r="R100" s="62">
        <f t="shared" si="1"/>
        <v>469.5</v>
      </c>
      <c r="S100" s="136"/>
      <c r="T100" s="136"/>
      <c r="U100" s="136"/>
      <c r="V100" s="142"/>
      <c r="W100" s="136"/>
      <c r="X100" s="161">
        <f t="shared" si="2"/>
        <v>0</v>
      </c>
      <c r="Y100" s="206">
        <f t="shared" si="3"/>
        <v>469.5</v>
      </c>
    </row>
    <row r="101" spans="1:25" ht="33.75" customHeight="1" x14ac:dyDescent="0.2">
      <c r="A101" s="70">
        <v>15</v>
      </c>
      <c r="B101" s="432" t="s">
        <v>636</v>
      </c>
      <c r="C101" s="30" t="s">
        <v>635</v>
      </c>
      <c r="D101" s="62">
        <v>40.1</v>
      </c>
      <c r="E101" s="62">
        <v>7.0170000000000003</v>
      </c>
      <c r="F101" s="62"/>
      <c r="G101" s="62"/>
      <c r="H101" s="62"/>
      <c r="I101" s="62"/>
      <c r="J101" s="62"/>
      <c r="K101" s="62"/>
      <c r="L101" s="62"/>
      <c r="M101" s="136"/>
      <c r="N101" s="136"/>
      <c r="O101" s="136"/>
      <c r="P101" s="136"/>
      <c r="Q101" s="136"/>
      <c r="R101" s="62">
        <f t="shared" si="1"/>
        <v>47.117000000000004</v>
      </c>
      <c r="S101" s="136"/>
      <c r="T101" s="136"/>
      <c r="U101" s="136"/>
      <c r="V101" s="142"/>
      <c r="W101" s="136"/>
      <c r="X101" s="161">
        <f t="shared" si="2"/>
        <v>0</v>
      </c>
      <c r="Y101" s="206">
        <f t="shared" si="3"/>
        <v>47.117000000000004</v>
      </c>
    </row>
    <row r="102" spans="1:25" ht="33.75" customHeight="1" x14ac:dyDescent="0.2">
      <c r="A102" s="70">
        <v>16</v>
      </c>
      <c r="B102" s="179" t="s">
        <v>659</v>
      </c>
      <c r="C102" s="30" t="s">
        <v>658</v>
      </c>
      <c r="D102" s="62"/>
      <c r="E102" s="62"/>
      <c r="F102" s="62">
        <f>-581</f>
        <v>-581</v>
      </c>
      <c r="G102" s="62"/>
      <c r="H102" s="62"/>
      <c r="I102" s="62"/>
      <c r="J102" s="62"/>
      <c r="K102" s="62"/>
      <c r="L102" s="62"/>
      <c r="M102" s="136"/>
      <c r="N102" s="136"/>
      <c r="O102" s="136"/>
      <c r="P102" s="136"/>
      <c r="Q102" s="136"/>
      <c r="R102" s="62">
        <f t="shared" si="1"/>
        <v>-581</v>
      </c>
      <c r="S102" s="136"/>
      <c r="T102" s="136"/>
      <c r="U102" s="136"/>
      <c r="V102" s="142"/>
      <c r="W102" s="136"/>
      <c r="X102" s="161">
        <f t="shared" si="2"/>
        <v>0</v>
      </c>
      <c r="Y102" s="206">
        <f t="shared" si="3"/>
        <v>-581</v>
      </c>
    </row>
    <row r="103" spans="1:25" ht="33.75" customHeight="1" x14ac:dyDescent="0.2">
      <c r="A103" s="70">
        <v>17</v>
      </c>
      <c r="B103" s="433" t="s">
        <v>681</v>
      </c>
      <c r="C103" s="30" t="s">
        <v>680</v>
      </c>
      <c r="D103" s="62"/>
      <c r="E103" s="62"/>
      <c r="F103" s="62">
        <f>3000+810</f>
        <v>3810</v>
      </c>
      <c r="G103" s="62"/>
      <c r="H103" s="62"/>
      <c r="I103" s="62"/>
      <c r="J103" s="62"/>
      <c r="K103" s="62"/>
      <c r="L103" s="62"/>
      <c r="M103" s="136"/>
      <c r="N103" s="136"/>
      <c r="O103" s="136"/>
      <c r="P103" s="136"/>
      <c r="Q103" s="136"/>
      <c r="R103" s="62">
        <f t="shared" ref="R103:R110" si="23">SUM(D103:Q103)</f>
        <v>3810</v>
      </c>
      <c r="S103" s="136"/>
      <c r="T103" s="136"/>
      <c r="U103" s="136"/>
      <c r="V103" s="142"/>
      <c r="W103" s="136"/>
      <c r="X103" s="161">
        <f t="shared" ref="X103:X110" si="24">SUM(T103:W103)</f>
        <v>0</v>
      </c>
      <c r="Y103" s="206">
        <f t="shared" ref="Y103:Y110" si="25">R103+X103</f>
        <v>3810</v>
      </c>
    </row>
    <row r="104" spans="1:25" ht="33.75" customHeight="1" x14ac:dyDescent="0.2">
      <c r="A104" s="70">
        <v>18</v>
      </c>
      <c r="B104" s="433" t="s">
        <v>682</v>
      </c>
      <c r="C104" s="30" t="s">
        <v>683</v>
      </c>
      <c r="D104" s="62"/>
      <c r="E104" s="62"/>
      <c r="F104" s="62"/>
      <c r="G104" s="62"/>
      <c r="H104" s="62"/>
      <c r="I104" s="62"/>
      <c r="J104" s="62"/>
      <c r="K104" s="62"/>
      <c r="L104" s="62">
        <f>296+80</f>
        <v>376</v>
      </c>
      <c r="M104" s="136"/>
      <c r="N104" s="136"/>
      <c r="O104" s="136"/>
      <c r="P104" s="136"/>
      <c r="Q104" s="136"/>
      <c r="R104" s="62">
        <f t="shared" si="23"/>
        <v>376</v>
      </c>
      <c r="S104" s="136"/>
      <c r="T104" s="136"/>
      <c r="U104" s="136"/>
      <c r="V104" s="142"/>
      <c r="W104" s="136"/>
      <c r="X104" s="161">
        <f t="shared" si="24"/>
        <v>0</v>
      </c>
      <c r="Y104" s="206">
        <f t="shared" si="25"/>
        <v>376</v>
      </c>
    </row>
    <row r="105" spans="1:25" ht="33.75" customHeight="1" x14ac:dyDescent="0.2">
      <c r="A105" s="70">
        <v>19</v>
      </c>
      <c r="B105" s="433" t="s">
        <v>688</v>
      </c>
      <c r="C105" s="38" t="s">
        <v>687</v>
      </c>
      <c r="D105" s="62">
        <f>40.1</f>
        <v>40.1</v>
      </c>
      <c r="E105" s="62">
        <f>7.017</f>
        <v>7.0170000000000003</v>
      </c>
      <c r="F105" s="62"/>
      <c r="G105" s="62"/>
      <c r="H105" s="62"/>
      <c r="I105" s="62"/>
      <c r="J105" s="62"/>
      <c r="K105" s="62"/>
      <c r="L105" s="62"/>
      <c r="M105" s="136"/>
      <c r="N105" s="136"/>
      <c r="O105" s="136"/>
      <c r="P105" s="136"/>
      <c r="Q105" s="136"/>
      <c r="R105" s="62">
        <f t="shared" si="23"/>
        <v>47.117000000000004</v>
      </c>
      <c r="S105" s="136"/>
      <c r="T105" s="136"/>
      <c r="U105" s="136"/>
      <c r="V105" s="142"/>
      <c r="W105" s="136"/>
      <c r="X105" s="161">
        <f t="shared" si="24"/>
        <v>0</v>
      </c>
      <c r="Y105" s="206">
        <f t="shared" si="25"/>
        <v>47.117000000000004</v>
      </c>
    </row>
    <row r="106" spans="1:25" ht="33.75" customHeight="1" x14ac:dyDescent="0.2">
      <c r="A106" s="70">
        <v>20</v>
      </c>
      <c r="B106" s="150" t="s">
        <v>707</v>
      </c>
      <c r="C106" s="38" t="s">
        <v>706</v>
      </c>
      <c r="D106" s="62">
        <f>13425+1000+1110</f>
        <v>15535</v>
      </c>
      <c r="E106" s="62">
        <f>2544</f>
        <v>2544</v>
      </c>
      <c r="F106" s="62">
        <f>270+762+206+79+21+2204+596+157+43+580+70+275+75+1600+630+170</f>
        <v>7738</v>
      </c>
      <c r="G106" s="62"/>
      <c r="H106" s="62"/>
      <c r="I106" s="62"/>
      <c r="J106" s="62"/>
      <c r="K106" s="62"/>
      <c r="L106" s="62"/>
      <c r="M106" s="136"/>
      <c r="N106" s="136"/>
      <c r="O106" s="136"/>
      <c r="P106" s="136"/>
      <c r="Q106" s="136"/>
      <c r="R106" s="62">
        <f t="shared" si="23"/>
        <v>25817</v>
      </c>
      <c r="S106" s="136"/>
      <c r="T106" s="136"/>
      <c r="U106" s="136"/>
      <c r="V106" s="142"/>
      <c r="W106" s="136"/>
      <c r="X106" s="161">
        <f t="shared" si="24"/>
        <v>0</v>
      </c>
      <c r="Y106" s="206">
        <f t="shared" si="25"/>
        <v>25817</v>
      </c>
    </row>
    <row r="107" spans="1:25" ht="33.75" customHeight="1" x14ac:dyDescent="0.2">
      <c r="A107" s="70">
        <v>21</v>
      </c>
      <c r="B107" s="433" t="s">
        <v>727</v>
      </c>
      <c r="C107" s="30" t="s">
        <v>726</v>
      </c>
      <c r="D107" s="62"/>
      <c r="E107" s="62"/>
      <c r="F107" s="62">
        <f>600+162</f>
        <v>762</v>
      </c>
      <c r="G107" s="62"/>
      <c r="H107" s="62"/>
      <c r="I107" s="62"/>
      <c r="J107" s="62"/>
      <c r="K107" s="62"/>
      <c r="L107" s="62"/>
      <c r="M107" s="136"/>
      <c r="N107" s="136"/>
      <c r="O107" s="136"/>
      <c r="P107" s="136"/>
      <c r="Q107" s="136"/>
      <c r="R107" s="62">
        <f t="shared" si="23"/>
        <v>762</v>
      </c>
      <c r="S107" s="136"/>
      <c r="T107" s="136"/>
      <c r="U107" s="136"/>
      <c r="V107" s="142"/>
      <c r="W107" s="136"/>
      <c r="X107" s="161">
        <f t="shared" si="24"/>
        <v>0</v>
      </c>
      <c r="Y107" s="206">
        <f t="shared" si="25"/>
        <v>762</v>
      </c>
    </row>
    <row r="108" spans="1:25" ht="33.75" customHeight="1" x14ac:dyDescent="0.2">
      <c r="A108" s="70">
        <v>22</v>
      </c>
      <c r="B108" s="433" t="s">
        <v>732</v>
      </c>
      <c r="C108" s="30" t="s">
        <v>731</v>
      </c>
      <c r="D108" s="62"/>
      <c r="E108" s="62"/>
      <c r="F108" s="62">
        <f>15654+1524+378</f>
        <v>17556</v>
      </c>
      <c r="G108" s="62"/>
      <c r="H108" s="62"/>
      <c r="I108" s="62"/>
      <c r="J108" s="62"/>
      <c r="K108" s="62"/>
      <c r="L108" s="62"/>
      <c r="M108" s="136"/>
      <c r="N108" s="136"/>
      <c r="O108" s="136"/>
      <c r="P108" s="136"/>
      <c r="Q108" s="136"/>
      <c r="R108" s="62">
        <f t="shared" si="23"/>
        <v>17556</v>
      </c>
      <c r="S108" s="136"/>
      <c r="T108" s="136"/>
      <c r="U108" s="136"/>
      <c r="V108" s="142"/>
      <c r="W108" s="136"/>
      <c r="X108" s="161">
        <f t="shared" si="24"/>
        <v>0</v>
      </c>
      <c r="Y108" s="206">
        <f t="shared" si="25"/>
        <v>17556</v>
      </c>
    </row>
    <row r="109" spans="1:25" ht="33.75" customHeight="1" x14ac:dyDescent="0.2">
      <c r="A109" s="70">
        <v>23</v>
      </c>
      <c r="B109" s="433" t="s">
        <v>737</v>
      </c>
      <c r="C109" s="30" t="s">
        <v>736</v>
      </c>
      <c r="D109" s="62">
        <v>40.1</v>
      </c>
      <c r="E109" s="62">
        <v>7.0179999999999998</v>
      </c>
      <c r="F109" s="62"/>
      <c r="G109" s="62"/>
      <c r="H109" s="62"/>
      <c r="I109" s="62"/>
      <c r="J109" s="62"/>
      <c r="K109" s="62"/>
      <c r="L109" s="62"/>
      <c r="M109" s="136"/>
      <c r="N109" s="136"/>
      <c r="O109" s="136"/>
      <c r="P109" s="136"/>
      <c r="Q109" s="136"/>
      <c r="R109" s="62">
        <f t="shared" si="23"/>
        <v>47.118000000000002</v>
      </c>
      <c r="S109" s="136"/>
      <c r="T109" s="136"/>
      <c r="U109" s="136"/>
      <c r="V109" s="142"/>
      <c r="W109" s="136"/>
      <c r="X109" s="161">
        <f t="shared" si="24"/>
        <v>0</v>
      </c>
      <c r="Y109" s="206">
        <f t="shared" si="25"/>
        <v>47.118000000000002</v>
      </c>
    </row>
    <row r="110" spans="1:25" ht="33.75" customHeight="1" x14ac:dyDescent="0.2">
      <c r="A110" s="70">
        <v>24</v>
      </c>
      <c r="B110" s="439" t="s">
        <v>740</v>
      </c>
      <c r="C110" s="30" t="s">
        <v>739</v>
      </c>
      <c r="D110" s="62"/>
      <c r="E110" s="62"/>
      <c r="F110" s="62"/>
      <c r="G110" s="62"/>
      <c r="H110" s="62"/>
      <c r="I110" s="62"/>
      <c r="J110" s="62"/>
      <c r="K110" s="62"/>
      <c r="L110" s="62">
        <f>-2301-621</f>
        <v>-2922</v>
      </c>
      <c r="M110" s="136"/>
      <c r="N110" s="136"/>
      <c r="O110" s="136"/>
      <c r="P110" s="136"/>
      <c r="Q110" s="136"/>
      <c r="R110" s="62">
        <f t="shared" si="23"/>
        <v>-2922</v>
      </c>
      <c r="S110" s="136"/>
      <c r="T110" s="136"/>
      <c r="U110" s="136"/>
      <c r="V110" s="142"/>
      <c r="W110" s="136"/>
      <c r="X110" s="161">
        <f t="shared" si="24"/>
        <v>0</v>
      </c>
      <c r="Y110" s="206">
        <f t="shared" si="25"/>
        <v>-2922</v>
      </c>
    </row>
    <row r="111" spans="1:25" ht="33.75" customHeight="1" x14ac:dyDescent="0.2">
      <c r="A111" s="70"/>
      <c r="B111" s="433"/>
      <c r="C111" s="30"/>
      <c r="D111" s="62"/>
      <c r="E111" s="62"/>
      <c r="F111" s="62"/>
      <c r="G111" s="62"/>
      <c r="H111" s="62"/>
      <c r="I111" s="62"/>
      <c r="J111" s="62"/>
      <c r="K111" s="62"/>
      <c r="L111" s="62"/>
      <c r="M111" s="136"/>
      <c r="N111" s="136"/>
      <c r="O111" s="136"/>
      <c r="P111" s="136"/>
      <c r="Q111" s="136"/>
      <c r="R111" s="62"/>
      <c r="S111" s="136"/>
      <c r="T111" s="136"/>
      <c r="U111" s="136"/>
      <c r="V111" s="142"/>
      <c r="W111" s="136"/>
      <c r="X111" s="275"/>
      <c r="Y111" s="209"/>
    </row>
    <row r="112" spans="1:25" ht="9.9499999999999993" customHeight="1" x14ac:dyDescent="0.2">
      <c r="A112" s="70"/>
      <c r="B112" s="27"/>
      <c r="C112" s="26"/>
      <c r="D112" s="62"/>
      <c r="E112" s="62"/>
      <c r="F112" s="62"/>
      <c r="G112" s="62"/>
      <c r="H112" s="62"/>
      <c r="I112" s="62"/>
      <c r="J112" s="62"/>
      <c r="K112" s="62"/>
      <c r="L112" s="62"/>
      <c r="M112" s="136"/>
      <c r="N112" s="136"/>
      <c r="O112" s="136"/>
      <c r="P112" s="136"/>
      <c r="Q112" s="136"/>
      <c r="R112" s="62"/>
      <c r="S112" s="136"/>
      <c r="T112" s="136"/>
      <c r="U112" s="136"/>
      <c r="V112" s="142"/>
      <c r="W112" s="136"/>
      <c r="X112" s="275"/>
      <c r="Y112" s="209"/>
    </row>
    <row r="113" spans="1:40" ht="30" customHeight="1" x14ac:dyDescent="0.2">
      <c r="A113" s="163" t="s">
        <v>53</v>
      </c>
      <c r="B113" s="160"/>
      <c r="C113" s="164" t="s">
        <v>51</v>
      </c>
      <c r="D113" s="62">
        <f t="shared" ref="D113:Q113" si="26">SUM(D86:D112)</f>
        <v>16553.5</v>
      </c>
      <c r="E113" s="62">
        <f t="shared" si="26"/>
        <v>2587.9059999999999</v>
      </c>
      <c r="F113" s="62">
        <f t="shared" si="26"/>
        <v>38849</v>
      </c>
      <c r="G113" s="62">
        <f t="shared" si="26"/>
        <v>469.5</v>
      </c>
      <c r="H113" s="62">
        <f t="shared" si="26"/>
        <v>0</v>
      </c>
      <c r="I113" s="62">
        <f t="shared" si="26"/>
        <v>0</v>
      </c>
      <c r="J113" s="62">
        <f t="shared" si="26"/>
        <v>0</v>
      </c>
      <c r="K113" s="62">
        <f t="shared" si="26"/>
        <v>0</v>
      </c>
      <c r="L113" s="62">
        <f t="shared" si="26"/>
        <v>8178</v>
      </c>
      <c r="M113" s="62">
        <f t="shared" si="26"/>
        <v>0</v>
      </c>
      <c r="N113" s="62">
        <f t="shared" si="26"/>
        <v>0</v>
      </c>
      <c r="O113" s="62">
        <f t="shared" si="26"/>
        <v>0</v>
      </c>
      <c r="P113" s="62">
        <f t="shared" si="26"/>
        <v>0</v>
      </c>
      <c r="Q113" s="62">
        <f t="shared" si="26"/>
        <v>0</v>
      </c>
      <c r="R113" s="62">
        <f t="shared" ref="R113:R140" si="27">SUM(D113:Q113)</f>
        <v>66637.906000000003</v>
      </c>
      <c r="S113" s="136"/>
      <c r="T113" s="62">
        <f>SUM(T86:T112)</f>
        <v>0</v>
      </c>
      <c r="U113" s="62">
        <f>SUM(U86:U112)</f>
        <v>0</v>
      </c>
      <c r="V113" s="63">
        <f>SUM(V86:V112)</f>
        <v>0</v>
      </c>
      <c r="W113" s="62">
        <f>SUM(W86:W112)</f>
        <v>0</v>
      </c>
      <c r="X113" s="161">
        <f t="shared" ref="X113:X141" si="28">SUM(T113:W113)</f>
        <v>0</v>
      </c>
      <c r="Y113" s="506">
        <f t="shared" ref="Y113:Y140" si="29">R113+X113</f>
        <v>66637.906000000003</v>
      </c>
    </row>
    <row r="114" spans="1:40" ht="21" customHeight="1" x14ac:dyDescent="0.2">
      <c r="A114" s="488"/>
      <c r="B114" s="489"/>
      <c r="C114" s="475"/>
      <c r="D114" s="476"/>
      <c r="E114" s="476"/>
      <c r="F114" s="476"/>
      <c r="G114" s="476"/>
      <c r="H114" s="476"/>
      <c r="I114" s="476"/>
      <c r="J114" s="476"/>
      <c r="K114" s="476"/>
      <c r="L114" s="476"/>
      <c r="M114" s="476"/>
      <c r="N114" s="476"/>
      <c r="O114" s="476"/>
      <c r="P114" s="476"/>
      <c r="Q114" s="476"/>
      <c r="R114" s="476"/>
      <c r="S114" s="476"/>
      <c r="T114" s="476"/>
      <c r="U114" s="476"/>
      <c r="V114" s="477"/>
      <c r="W114" s="476"/>
      <c r="X114" s="478"/>
      <c r="Y114" s="490"/>
    </row>
    <row r="115" spans="1:40" ht="21" customHeight="1" x14ac:dyDescent="0.2">
      <c r="A115" s="70"/>
      <c r="B115" s="118"/>
      <c r="C115" s="38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42"/>
      <c r="W115" s="136"/>
      <c r="X115" s="275"/>
      <c r="Y115" s="209"/>
    </row>
    <row r="116" spans="1:40" ht="33.75" customHeight="1" x14ac:dyDescent="0.2">
      <c r="A116" s="37">
        <v>25</v>
      </c>
      <c r="B116" s="321" t="s">
        <v>419</v>
      </c>
      <c r="C116" s="229" t="s">
        <v>420</v>
      </c>
      <c r="D116" s="62"/>
      <c r="E116" s="62"/>
      <c r="F116" s="62">
        <f>-310-84</f>
        <v>-394</v>
      </c>
      <c r="G116" s="62"/>
      <c r="H116" s="62"/>
      <c r="I116" s="62"/>
      <c r="J116" s="62"/>
      <c r="K116" s="62"/>
      <c r="L116" s="62">
        <f>310+84</f>
        <v>394</v>
      </c>
      <c r="M116" s="136"/>
      <c r="N116" s="136"/>
      <c r="O116" s="136"/>
      <c r="P116" s="136"/>
      <c r="Q116" s="136"/>
      <c r="R116" s="62">
        <f t="shared" si="27"/>
        <v>0</v>
      </c>
      <c r="S116" s="329"/>
      <c r="T116" s="329"/>
      <c r="U116" s="329"/>
      <c r="V116" s="335"/>
      <c r="W116" s="329"/>
      <c r="X116" s="161">
        <f t="shared" si="28"/>
        <v>0</v>
      </c>
      <c r="Y116" s="206">
        <f t="shared" si="29"/>
        <v>0</v>
      </c>
    </row>
    <row r="117" spans="1:40" ht="33.75" customHeight="1" x14ac:dyDescent="0.2">
      <c r="A117" s="176">
        <v>26</v>
      </c>
      <c r="B117" s="27" t="s">
        <v>421</v>
      </c>
      <c r="C117" s="38" t="s">
        <v>422</v>
      </c>
      <c r="D117" s="62"/>
      <c r="E117" s="62"/>
      <c r="F117" s="62">
        <f>770+208</f>
        <v>978</v>
      </c>
      <c r="G117" s="62"/>
      <c r="H117" s="62"/>
      <c r="I117" s="62"/>
      <c r="J117" s="62"/>
      <c r="K117" s="62"/>
      <c r="L117" s="62">
        <f>-770-208</f>
        <v>-978</v>
      </c>
      <c r="M117" s="136"/>
      <c r="N117" s="136"/>
      <c r="O117" s="136"/>
      <c r="P117" s="136"/>
      <c r="Q117" s="136"/>
      <c r="R117" s="62">
        <f t="shared" si="27"/>
        <v>0</v>
      </c>
      <c r="S117" s="136"/>
      <c r="T117" s="136"/>
      <c r="U117" s="136"/>
      <c r="V117" s="142"/>
      <c r="W117" s="136"/>
      <c r="X117" s="161">
        <f t="shared" si="28"/>
        <v>0</v>
      </c>
      <c r="Y117" s="206">
        <f t="shared" si="29"/>
        <v>0</v>
      </c>
    </row>
    <row r="118" spans="1:40" ht="33.75" customHeight="1" x14ac:dyDescent="0.2">
      <c r="A118" s="37">
        <v>27</v>
      </c>
      <c r="B118" s="27" t="s">
        <v>423</v>
      </c>
      <c r="C118" s="38" t="s">
        <v>288</v>
      </c>
      <c r="D118" s="62">
        <f>-135</f>
        <v>-135</v>
      </c>
      <c r="E118" s="62"/>
      <c r="F118" s="62">
        <f>135</f>
        <v>135</v>
      </c>
      <c r="G118" s="62"/>
      <c r="H118" s="62"/>
      <c r="I118" s="62"/>
      <c r="J118" s="62"/>
      <c r="K118" s="62"/>
      <c r="L118" s="62"/>
      <c r="M118" s="136"/>
      <c r="N118" s="136"/>
      <c r="O118" s="136"/>
      <c r="P118" s="136"/>
      <c r="Q118" s="136"/>
      <c r="R118" s="62">
        <f t="shared" si="27"/>
        <v>0</v>
      </c>
      <c r="S118" s="136"/>
      <c r="T118" s="136"/>
      <c r="U118" s="136"/>
      <c r="V118" s="142"/>
      <c r="W118" s="136"/>
      <c r="X118" s="161">
        <f t="shared" si="28"/>
        <v>0</v>
      </c>
      <c r="Y118" s="206">
        <f t="shared" si="29"/>
        <v>0</v>
      </c>
    </row>
    <row r="119" spans="1:40" ht="33.75" customHeight="1" x14ac:dyDescent="0.2">
      <c r="A119" s="176">
        <v>28</v>
      </c>
      <c r="B119" s="179" t="s">
        <v>424</v>
      </c>
      <c r="C119" s="38" t="s">
        <v>425</v>
      </c>
      <c r="D119" s="62"/>
      <c r="E119" s="62"/>
      <c r="F119" s="62">
        <f>220+60</f>
        <v>280</v>
      </c>
      <c r="G119" s="62"/>
      <c r="H119" s="62"/>
      <c r="I119" s="62"/>
      <c r="J119" s="62"/>
      <c r="K119" s="62"/>
      <c r="L119" s="62"/>
      <c r="M119" s="136"/>
      <c r="N119" s="136"/>
      <c r="O119" s="136"/>
      <c r="P119" s="136"/>
      <c r="Q119" s="136"/>
      <c r="R119" s="62">
        <f t="shared" si="27"/>
        <v>280</v>
      </c>
      <c r="S119" s="136"/>
      <c r="T119" s="136"/>
      <c r="U119" s="136"/>
      <c r="V119" s="142"/>
      <c r="W119" s="136"/>
      <c r="X119" s="161">
        <f t="shared" si="28"/>
        <v>0</v>
      </c>
      <c r="Y119" s="206">
        <f t="shared" si="29"/>
        <v>280</v>
      </c>
    </row>
    <row r="120" spans="1:40" ht="33.75" customHeight="1" x14ac:dyDescent="0.2">
      <c r="A120" s="37">
        <v>29</v>
      </c>
      <c r="B120" s="27" t="s">
        <v>475</v>
      </c>
      <c r="C120" s="26" t="s">
        <v>474</v>
      </c>
      <c r="D120" s="62"/>
      <c r="E120" s="62"/>
      <c r="F120" s="62">
        <f>48</f>
        <v>48</v>
      </c>
      <c r="G120" s="62"/>
      <c r="H120" s="62"/>
      <c r="I120" s="62"/>
      <c r="J120" s="62"/>
      <c r="K120" s="62"/>
      <c r="L120" s="62"/>
      <c r="M120" s="136"/>
      <c r="N120" s="136"/>
      <c r="O120" s="136"/>
      <c r="P120" s="136"/>
      <c r="Q120" s="136"/>
      <c r="R120" s="62">
        <f t="shared" si="27"/>
        <v>48</v>
      </c>
      <c r="S120" s="136"/>
      <c r="T120" s="136"/>
      <c r="U120" s="136"/>
      <c r="V120" s="142"/>
      <c r="W120" s="136"/>
      <c r="X120" s="161">
        <f t="shared" si="28"/>
        <v>0</v>
      </c>
      <c r="Y120" s="206">
        <f t="shared" si="29"/>
        <v>48</v>
      </c>
    </row>
    <row r="121" spans="1:40" ht="33.75" customHeight="1" x14ac:dyDescent="0.2">
      <c r="A121" s="176">
        <v>30</v>
      </c>
      <c r="B121" s="27" t="s">
        <v>547</v>
      </c>
      <c r="C121" s="26" t="s">
        <v>548</v>
      </c>
      <c r="D121" s="62">
        <f>20</f>
        <v>20</v>
      </c>
      <c r="E121" s="62">
        <f>4</f>
        <v>4</v>
      </c>
      <c r="F121" s="62"/>
      <c r="G121" s="62"/>
      <c r="H121" s="62"/>
      <c r="I121" s="62"/>
      <c r="J121" s="62"/>
      <c r="K121" s="62"/>
      <c r="L121" s="62"/>
      <c r="M121" s="136"/>
      <c r="N121" s="136"/>
      <c r="O121" s="136"/>
      <c r="P121" s="136"/>
      <c r="Q121" s="136"/>
      <c r="R121" s="62">
        <f t="shared" si="27"/>
        <v>24</v>
      </c>
      <c r="S121" s="136"/>
      <c r="T121" s="136"/>
      <c r="U121" s="136"/>
      <c r="V121" s="142"/>
      <c r="W121" s="136"/>
      <c r="X121" s="161">
        <f t="shared" si="28"/>
        <v>0</v>
      </c>
      <c r="Y121" s="206">
        <f t="shared" si="29"/>
        <v>24</v>
      </c>
    </row>
    <row r="122" spans="1:40" ht="33.75" customHeight="1" x14ac:dyDescent="0.2">
      <c r="A122" s="37">
        <v>31</v>
      </c>
      <c r="B122" s="321" t="s">
        <v>549</v>
      </c>
      <c r="C122" s="38" t="s">
        <v>550</v>
      </c>
      <c r="D122" s="62">
        <f>447</f>
        <v>447</v>
      </c>
      <c r="E122" s="62">
        <f>78.225</f>
        <v>78.224999999999994</v>
      </c>
      <c r="F122" s="62"/>
      <c r="G122" s="62"/>
      <c r="H122" s="62"/>
      <c r="I122" s="62"/>
      <c r="J122" s="62"/>
      <c r="K122" s="62"/>
      <c r="L122" s="62"/>
      <c r="M122" s="136"/>
      <c r="N122" s="136"/>
      <c r="O122" s="136"/>
      <c r="P122" s="136"/>
      <c r="Q122" s="136"/>
      <c r="R122" s="62">
        <f t="shared" si="27"/>
        <v>525.22500000000002</v>
      </c>
      <c r="S122" s="136"/>
      <c r="T122" s="136"/>
      <c r="U122" s="136"/>
      <c r="V122" s="142"/>
      <c r="W122" s="136"/>
      <c r="X122" s="161">
        <f t="shared" si="28"/>
        <v>0</v>
      </c>
      <c r="Y122" s="206">
        <f t="shared" si="29"/>
        <v>525.22500000000002</v>
      </c>
    </row>
    <row r="123" spans="1:40" ht="33.75" customHeight="1" x14ac:dyDescent="0.2">
      <c r="A123" s="176">
        <v>32</v>
      </c>
      <c r="B123" s="174" t="s">
        <v>551</v>
      </c>
      <c r="C123" s="38" t="s">
        <v>552</v>
      </c>
      <c r="D123" s="62"/>
      <c r="E123" s="62"/>
      <c r="F123" s="62">
        <v>32</v>
      </c>
      <c r="G123" s="62"/>
      <c r="H123" s="62"/>
      <c r="I123" s="62"/>
      <c r="J123" s="62"/>
      <c r="K123" s="62"/>
      <c r="L123" s="62"/>
      <c r="M123" s="136"/>
      <c r="N123" s="136"/>
      <c r="O123" s="136"/>
      <c r="P123" s="136"/>
      <c r="Q123" s="136"/>
      <c r="R123" s="62">
        <f t="shared" si="27"/>
        <v>32</v>
      </c>
      <c r="S123" s="136"/>
      <c r="T123" s="136"/>
      <c r="U123" s="136"/>
      <c r="V123" s="142"/>
      <c r="W123" s="136"/>
      <c r="X123" s="161">
        <f t="shared" si="28"/>
        <v>0</v>
      </c>
      <c r="Y123" s="206">
        <f t="shared" si="29"/>
        <v>32</v>
      </c>
    </row>
    <row r="124" spans="1:40" ht="33.75" customHeight="1" x14ac:dyDescent="0.2">
      <c r="A124" s="37">
        <v>33</v>
      </c>
      <c r="B124" s="174" t="s">
        <v>580</v>
      </c>
      <c r="C124" s="38" t="s">
        <v>581</v>
      </c>
      <c r="D124" s="62">
        <f>-107</f>
        <v>-107</v>
      </c>
      <c r="E124" s="62"/>
      <c r="F124" s="62">
        <f>107</f>
        <v>107</v>
      </c>
      <c r="G124" s="62"/>
      <c r="H124" s="62"/>
      <c r="I124" s="62"/>
      <c r="J124" s="62"/>
      <c r="K124" s="62"/>
      <c r="L124" s="62"/>
      <c r="M124" s="136"/>
      <c r="N124" s="136"/>
      <c r="O124" s="136"/>
      <c r="P124" s="136"/>
      <c r="Q124" s="136"/>
      <c r="R124" s="62">
        <f t="shared" si="27"/>
        <v>0</v>
      </c>
      <c r="S124" s="136"/>
      <c r="T124" s="136"/>
      <c r="U124" s="136"/>
      <c r="V124" s="142"/>
      <c r="W124" s="136"/>
      <c r="X124" s="161">
        <f t="shared" ref="X124" si="30">SUM(T124:W124)</f>
        <v>0</v>
      </c>
      <c r="Y124" s="206">
        <f t="shared" ref="Y124" si="31">R124+X124</f>
        <v>0</v>
      </c>
    </row>
    <row r="125" spans="1:40" ht="33.75" customHeight="1" x14ac:dyDescent="0.2">
      <c r="A125" s="176">
        <v>34</v>
      </c>
      <c r="B125" s="420" t="s">
        <v>553</v>
      </c>
      <c r="C125" s="38" t="s">
        <v>554</v>
      </c>
      <c r="D125" s="62"/>
      <c r="E125" s="62"/>
      <c r="F125" s="62"/>
      <c r="G125" s="62"/>
      <c r="H125" s="62"/>
      <c r="I125" s="62">
        <f>165.494+12.494</f>
        <v>177.988</v>
      </c>
      <c r="J125" s="62">
        <f>277.597+18.83+75.35+20.075</f>
        <v>391.85199999999992</v>
      </c>
      <c r="K125" s="62"/>
      <c r="L125" s="62"/>
      <c r="M125" s="136"/>
      <c r="N125" s="136"/>
      <c r="O125" s="136"/>
      <c r="P125" s="136"/>
      <c r="Q125" s="136"/>
      <c r="R125" s="62">
        <f t="shared" si="27"/>
        <v>569.83999999999992</v>
      </c>
      <c r="S125" s="136"/>
      <c r="T125" s="136"/>
      <c r="U125" s="136"/>
      <c r="V125" s="142"/>
      <c r="W125" s="136"/>
      <c r="X125" s="161">
        <f t="shared" si="28"/>
        <v>0</v>
      </c>
      <c r="Y125" s="206">
        <f t="shared" si="29"/>
        <v>569.83999999999992</v>
      </c>
    </row>
    <row r="126" spans="1:40" s="336" customFormat="1" ht="33.75" customHeight="1" x14ac:dyDescent="0.2">
      <c r="A126" s="37">
        <v>35</v>
      </c>
      <c r="B126" s="423" t="s">
        <v>585</v>
      </c>
      <c r="C126" s="38" t="s">
        <v>554</v>
      </c>
      <c r="D126" s="62">
        <f>1425-725</f>
        <v>700</v>
      </c>
      <c r="E126" s="62">
        <f>194.466-136.22</f>
        <v>58.246000000000009</v>
      </c>
      <c r="F126" s="62">
        <f>-0.045-0.687-0.615-0.14-1.298+20+52.211-0.852-1.502</f>
        <v>67.072000000000003</v>
      </c>
      <c r="G126" s="61"/>
      <c r="H126" s="61"/>
      <c r="I126" s="61"/>
      <c r="J126" s="61"/>
      <c r="K126" s="61"/>
      <c r="L126" s="61"/>
      <c r="M126" s="141"/>
      <c r="N126" s="141"/>
      <c r="O126" s="141"/>
      <c r="P126" s="141"/>
      <c r="Q126" s="141"/>
      <c r="R126" s="62">
        <f t="shared" si="27"/>
        <v>825.31799999999998</v>
      </c>
      <c r="S126" s="141"/>
      <c r="T126" s="141"/>
      <c r="U126" s="141"/>
      <c r="V126" s="424"/>
      <c r="W126" s="141"/>
      <c r="X126" s="161">
        <f t="shared" ref="X126" si="32">SUM(T126:W126)</f>
        <v>0</v>
      </c>
      <c r="Y126" s="206">
        <f t="shared" ref="Y126" si="33">R126+X126</f>
        <v>825.31799999999998</v>
      </c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337"/>
      <c r="AK126" s="337"/>
      <c r="AL126" s="337"/>
      <c r="AM126" s="337"/>
      <c r="AN126" s="337"/>
    </row>
    <row r="127" spans="1:40" ht="33.75" customHeight="1" x14ac:dyDescent="0.2">
      <c r="A127" s="176">
        <v>36</v>
      </c>
      <c r="B127" s="29" t="s">
        <v>582</v>
      </c>
      <c r="C127" s="31" t="s">
        <v>583</v>
      </c>
      <c r="D127" s="62">
        <f>162.436</f>
        <v>162.43600000000001</v>
      </c>
      <c r="E127" s="62">
        <f>28.426</f>
        <v>28.425999999999998</v>
      </c>
      <c r="F127" s="62"/>
      <c r="G127" s="62"/>
      <c r="H127" s="62"/>
      <c r="I127" s="62"/>
      <c r="J127" s="62"/>
      <c r="K127" s="62"/>
      <c r="L127" s="62"/>
      <c r="M127" s="136"/>
      <c r="N127" s="136"/>
      <c r="O127" s="136"/>
      <c r="P127" s="136"/>
      <c r="Q127" s="136"/>
      <c r="R127" s="62">
        <f t="shared" si="27"/>
        <v>190.86199999999999</v>
      </c>
      <c r="S127" s="136"/>
      <c r="T127" s="136"/>
      <c r="U127" s="136"/>
      <c r="V127" s="142"/>
      <c r="W127" s="136"/>
      <c r="X127" s="161">
        <f t="shared" si="28"/>
        <v>0</v>
      </c>
      <c r="Y127" s="206">
        <f t="shared" si="29"/>
        <v>190.86199999999999</v>
      </c>
    </row>
    <row r="128" spans="1:40" ht="33.75" customHeight="1" x14ac:dyDescent="0.2">
      <c r="A128" s="37">
        <v>37</v>
      </c>
      <c r="B128" s="29" t="s">
        <v>584</v>
      </c>
      <c r="C128" s="31" t="s">
        <v>583</v>
      </c>
      <c r="D128" s="62">
        <f>157.234</f>
        <v>157.23400000000001</v>
      </c>
      <c r="E128" s="62">
        <f>27.516</f>
        <v>27.515999999999998</v>
      </c>
      <c r="F128" s="62"/>
      <c r="G128" s="62"/>
      <c r="H128" s="62"/>
      <c r="I128" s="62"/>
      <c r="J128" s="62"/>
      <c r="K128" s="62"/>
      <c r="L128" s="62"/>
      <c r="M128" s="136"/>
      <c r="N128" s="136"/>
      <c r="O128" s="136"/>
      <c r="P128" s="136"/>
      <c r="Q128" s="136"/>
      <c r="R128" s="62">
        <f t="shared" si="27"/>
        <v>184.75</v>
      </c>
      <c r="S128" s="136"/>
      <c r="T128" s="136"/>
      <c r="U128" s="136"/>
      <c r="V128" s="142"/>
      <c r="W128" s="136"/>
      <c r="X128" s="161">
        <f t="shared" si="28"/>
        <v>0</v>
      </c>
      <c r="Y128" s="206">
        <f t="shared" si="29"/>
        <v>184.75</v>
      </c>
    </row>
    <row r="129" spans="1:25" ht="33.75" customHeight="1" x14ac:dyDescent="0.2">
      <c r="A129" s="176">
        <v>38</v>
      </c>
      <c r="B129" s="180" t="s">
        <v>602</v>
      </c>
      <c r="C129" s="31" t="s">
        <v>603</v>
      </c>
      <c r="D129" s="62">
        <f>6330-5669+48</f>
        <v>709</v>
      </c>
      <c r="E129" s="62">
        <f>290+206</f>
        <v>496</v>
      </c>
      <c r="F129" s="62">
        <f>-11-1.094-8.906-7-5-1-120-33-28-181-130-1-486-113-31-48</f>
        <v>-1205</v>
      </c>
      <c r="G129" s="62"/>
      <c r="H129" s="62"/>
      <c r="I129" s="62"/>
      <c r="J129" s="62"/>
      <c r="K129" s="62"/>
      <c r="L129" s="62"/>
      <c r="M129" s="136"/>
      <c r="N129" s="136"/>
      <c r="O129" s="136"/>
      <c r="P129" s="136"/>
      <c r="Q129" s="136"/>
      <c r="R129" s="62">
        <f t="shared" si="27"/>
        <v>0</v>
      </c>
      <c r="S129" s="136"/>
      <c r="T129" s="136"/>
      <c r="U129" s="136"/>
      <c r="V129" s="142"/>
      <c r="W129" s="136"/>
      <c r="X129" s="161">
        <f t="shared" si="28"/>
        <v>0</v>
      </c>
      <c r="Y129" s="206">
        <f t="shared" si="29"/>
        <v>0</v>
      </c>
    </row>
    <row r="130" spans="1:25" ht="33.75" customHeight="1" x14ac:dyDescent="0.2">
      <c r="A130" s="37">
        <v>39</v>
      </c>
      <c r="B130" s="431" t="s">
        <v>643</v>
      </c>
      <c r="C130" s="31" t="s">
        <v>603</v>
      </c>
      <c r="D130" s="62"/>
      <c r="E130" s="62">
        <f>-4-6</f>
        <v>-10</v>
      </c>
      <c r="F130" s="62">
        <f>-0.092-0.933-0.873-17.702-0.768-0.769-0.541-0.13-0.375-0.42-0.673-0.346-0.192-0.186+26.772+7.228</f>
        <v>9.9999999999999947</v>
      </c>
      <c r="G130" s="62"/>
      <c r="H130" s="62"/>
      <c r="I130" s="62"/>
      <c r="J130" s="62"/>
      <c r="K130" s="62"/>
      <c r="L130" s="62"/>
      <c r="M130" s="136"/>
      <c r="N130" s="136"/>
      <c r="O130" s="136"/>
      <c r="P130" s="136"/>
      <c r="Q130" s="136"/>
      <c r="R130" s="62">
        <f t="shared" si="27"/>
        <v>0</v>
      </c>
      <c r="S130" s="136"/>
      <c r="T130" s="136"/>
      <c r="U130" s="136"/>
      <c r="V130" s="142"/>
      <c r="W130" s="136"/>
      <c r="X130" s="161">
        <f t="shared" si="28"/>
        <v>0</v>
      </c>
      <c r="Y130" s="206">
        <f t="shared" si="29"/>
        <v>0</v>
      </c>
    </row>
    <row r="131" spans="1:25" ht="33.75" customHeight="1" x14ac:dyDescent="0.2">
      <c r="A131" s="176">
        <v>40</v>
      </c>
      <c r="B131" s="180" t="s">
        <v>698</v>
      </c>
      <c r="C131" s="31" t="s">
        <v>697</v>
      </c>
      <c r="D131" s="62"/>
      <c r="E131" s="62"/>
      <c r="F131" s="62">
        <f>151.08+320+86.4+197+53+63+17+143.4+38.718+43.5+11.745+219+59+280+327+88.535+0.611+0.165</f>
        <v>2099.154</v>
      </c>
      <c r="G131" s="62"/>
      <c r="H131" s="62"/>
      <c r="I131" s="62"/>
      <c r="J131" s="62"/>
      <c r="K131" s="62"/>
      <c r="L131" s="62"/>
      <c r="M131" s="136"/>
      <c r="N131" s="136"/>
      <c r="O131" s="136"/>
      <c r="P131" s="136"/>
      <c r="Q131" s="136"/>
      <c r="R131" s="62">
        <f t="shared" si="27"/>
        <v>2099.154</v>
      </c>
      <c r="S131" s="136"/>
      <c r="T131" s="136"/>
      <c r="U131" s="136"/>
      <c r="V131" s="142"/>
      <c r="W131" s="136"/>
      <c r="X131" s="161">
        <f t="shared" si="28"/>
        <v>0</v>
      </c>
      <c r="Y131" s="206">
        <f t="shared" si="29"/>
        <v>2099.154</v>
      </c>
    </row>
    <row r="132" spans="1:25" ht="33.75" customHeight="1" x14ac:dyDescent="0.2">
      <c r="A132" s="37">
        <v>41</v>
      </c>
      <c r="B132" s="180" t="s">
        <v>708</v>
      </c>
      <c r="C132" s="31" t="s">
        <v>697</v>
      </c>
      <c r="D132" s="62">
        <f>3765+559+8013</f>
        <v>12337</v>
      </c>
      <c r="E132" s="62">
        <f>2061.15+272.316-0.2+0.2</f>
        <v>2333.4659999999999</v>
      </c>
      <c r="F132" s="62"/>
      <c r="G132" s="62"/>
      <c r="H132" s="62"/>
      <c r="I132" s="62"/>
      <c r="J132" s="62"/>
      <c r="K132" s="62"/>
      <c r="L132" s="62"/>
      <c r="M132" s="136"/>
      <c r="N132" s="136"/>
      <c r="O132" s="136"/>
      <c r="P132" s="136"/>
      <c r="Q132" s="136"/>
      <c r="R132" s="62">
        <f t="shared" si="27"/>
        <v>14670.466</v>
      </c>
      <c r="S132" s="136"/>
      <c r="T132" s="136"/>
      <c r="U132" s="136"/>
      <c r="V132" s="142"/>
      <c r="W132" s="136"/>
      <c r="X132" s="161">
        <f t="shared" si="28"/>
        <v>0</v>
      </c>
      <c r="Y132" s="206">
        <f t="shared" si="29"/>
        <v>14670.466</v>
      </c>
    </row>
    <row r="133" spans="1:25" ht="33.75" customHeight="1" x14ac:dyDescent="0.2">
      <c r="A133" s="176">
        <v>42</v>
      </c>
      <c r="B133" s="435" t="s">
        <v>744</v>
      </c>
      <c r="C133" s="31" t="s">
        <v>420</v>
      </c>
      <c r="D133" s="62"/>
      <c r="E133" s="62"/>
      <c r="F133" s="62">
        <f>-118-32</f>
        <v>-150</v>
      </c>
      <c r="G133" s="62"/>
      <c r="H133" s="62"/>
      <c r="I133" s="62"/>
      <c r="J133" s="62"/>
      <c r="K133" s="62"/>
      <c r="L133" s="62">
        <f>118+32</f>
        <v>150</v>
      </c>
      <c r="M133" s="136"/>
      <c r="N133" s="136"/>
      <c r="O133" s="136"/>
      <c r="P133" s="136"/>
      <c r="Q133" s="136"/>
      <c r="R133" s="62">
        <f t="shared" si="27"/>
        <v>0</v>
      </c>
      <c r="S133" s="136"/>
      <c r="T133" s="136"/>
      <c r="U133" s="136"/>
      <c r="V133" s="142"/>
      <c r="W133" s="136"/>
      <c r="X133" s="161">
        <f t="shared" si="28"/>
        <v>0</v>
      </c>
      <c r="Y133" s="206">
        <f t="shared" si="29"/>
        <v>0</v>
      </c>
    </row>
    <row r="134" spans="1:25" ht="24" customHeight="1" x14ac:dyDescent="0.2">
      <c r="A134" s="70"/>
      <c r="B134" s="86"/>
      <c r="C134" s="2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42"/>
      <c r="W134" s="136"/>
      <c r="X134" s="275"/>
      <c r="Y134" s="209"/>
    </row>
    <row r="135" spans="1:25" ht="9.9499999999999993" customHeight="1" x14ac:dyDescent="0.2">
      <c r="A135" s="70"/>
      <c r="B135" s="105"/>
      <c r="C135" s="38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42"/>
      <c r="W135" s="136"/>
      <c r="X135" s="275"/>
      <c r="Y135" s="209"/>
    </row>
    <row r="136" spans="1:25" ht="30" customHeight="1" x14ac:dyDescent="0.2">
      <c r="A136" s="163" t="s">
        <v>54</v>
      </c>
      <c r="B136" s="160"/>
      <c r="C136" s="164" t="s">
        <v>52</v>
      </c>
      <c r="D136" s="62">
        <f t="shared" ref="D136:Q136" si="34">SUM(D116:D135)</f>
        <v>14290.67</v>
      </c>
      <c r="E136" s="62">
        <f t="shared" si="34"/>
        <v>3015.8789999999999</v>
      </c>
      <c r="F136" s="62">
        <f t="shared" si="34"/>
        <v>2007.2260000000001</v>
      </c>
      <c r="G136" s="62">
        <f t="shared" si="34"/>
        <v>0</v>
      </c>
      <c r="H136" s="62">
        <f t="shared" si="34"/>
        <v>0</v>
      </c>
      <c r="I136" s="62">
        <f t="shared" si="34"/>
        <v>177.988</v>
      </c>
      <c r="J136" s="62">
        <f t="shared" si="34"/>
        <v>391.85199999999992</v>
      </c>
      <c r="K136" s="62">
        <f t="shared" si="34"/>
        <v>0</v>
      </c>
      <c r="L136" s="62">
        <f t="shared" si="34"/>
        <v>-434</v>
      </c>
      <c r="M136" s="62">
        <f t="shared" si="34"/>
        <v>0</v>
      </c>
      <c r="N136" s="62">
        <f t="shared" si="34"/>
        <v>0</v>
      </c>
      <c r="O136" s="62">
        <f t="shared" si="34"/>
        <v>0</v>
      </c>
      <c r="P136" s="62">
        <f t="shared" si="34"/>
        <v>0</v>
      </c>
      <c r="Q136" s="62">
        <f t="shared" si="34"/>
        <v>0</v>
      </c>
      <c r="R136" s="62">
        <f t="shared" si="27"/>
        <v>19449.614999999998</v>
      </c>
      <c r="S136" s="136"/>
      <c r="T136" s="62">
        <f>SUM(T116:T135)</f>
        <v>0</v>
      </c>
      <c r="U136" s="62">
        <f>SUM(U116:U135)</f>
        <v>0</v>
      </c>
      <c r="V136" s="63">
        <f>SUM(V116:V135)</f>
        <v>0</v>
      </c>
      <c r="W136" s="62">
        <f>SUM(W116:W135)</f>
        <v>0</v>
      </c>
      <c r="X136" s="161">
        <f t="shared" si="28"/>
        <v>0</v>
      </c>
      <c r="Y136" s="506">
        <f>R136+X136-0.2</f>
        <v>19449.414999999997</v>
      </c>
    </row>
    <row r="137" spans="1:25" ht="9.9499999999999993" customHeight="1" x14ac:dyDescent="0.2">
      <c r="A137" s="70"/>
      <c r="B137" s="105"/>
      <c r="C137" s="38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3"/>
      <c r="W137" s="62"/>
      <c r="X137" s="161"/>
      <c r="Y137" s="206"/>
    </row>
    <row r="138" spans="1:25" ht="24" hidden="1" customHeight="1" x14ac:dyDescent="0.2">
      <c r="A138" s="70"/>
      <c r="B138" s="28"/>
      <c r="C138" s="38" t="s">
        <v>43</v>
      </c>
      <c r="D138" s="62"/>
      <c r="E138" s="62">
        <v>0.2</v>
      </c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>
        <f t="shared" si="27"/>
        <v>0.2</v>
      </c>
      <c r="S138" s="62"/>
      <c r="T138" s="62"/>
      <c r="U138" s="62"/>
      <c r="V138" s="63"/>
      <c r="W138" s="62"/>
      <c r="X138" s="161">
        <f t="shared" si="28"/>
        <v>0</v>
      </c>
      <c r="Y138" s="206">
        <f t="shared" si="29"/>
        <v>0.2</v>
      </c>
    </row>
    <row r="139" spans="1:25" ht="17.25" thickBot="1" x14ac:dyDescent="0.25">
      <c r="A139" s="70"/>
      <c r="B139" s="86"/>
      <c r="C139" s="87"/>
      <c r="D139" s="88"/>
      <c r="E139" s="88"/>
      <c r="F139" s="62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9"/>
      <c r="W139" s="88"/>
      <c r="X139" s="331"/>
      <c r="Y139" s="207"/>
    </row>
    <row r="140" spans="1:25" ht="30" customHeight="1" thickTop="1" thickBot="1" x14ac:dyDescent="0.25">
      <c r="A140" s="39"/>
      <c r="B140" s="230" t="s">
        <v>127</v>
      </c>
      <c r="C140" s="40" t="s">
        <v>55</v>
      </c>
      <c r="D140" s="74">
        <f t="shared" ref="D140:Q140" si="35">D113+D136</f>
        <v>30844.17</v>
      </c>
      <c r="E140" s="74">
        <f>E113+E136+0.2-0.2</f>
        <v>5603.7849999999999</v>
      </c>
      <c r="F140" s="74">
        <f t="shared" si="35"/>
        <v>40856.226000000002</v>
      </c>
      <c r="G140" s="74">
        <f t="shared" si="35"/>
        <v>469.5</v>
      </c>
      <c r="H140" s="74">
        <f t="shared" si="35"/>
        <v>0</v>
      </c>
      <c r="I140" s="74">
        <f t="shared" si="35"/>
        <v>177.988</v>
      </c>
      <c r="J140" s="74">
        <f t="shared" si="35"/>
        <v>391.85199999999992</v>
      </c>
      <c r="K140" s="74">
        <f t="shared" si="35"/>
        <v>0</v>
      </c>
      <c r="L140" s="74">
        <f t="shared" si="35"/>
        <v>7744</v>
      </c>
      <c r="M140" s="74">
        <f t="shared" si="35"/>
        <v>0</v>
      </c>
      <c r="N140" s="74">
        <f t="shared" si="35"/>
        <v>0</v>
      </c>
      <c r="O140" s="74">
        <f t="shared" si="35"/>
        <v>0</v>
      </c>
      <c r="P140" s="74">
        <f t="shared" si="35"/>
        <v>0</v>
      </c>
      <c r="Q140" s="74">
        <f t="shared" si="35"/>
        <v>0</v>
      </c>
      <c r="R140" s="74">
        <f t="shared" si="27"/>
        <v>86087.521000000008</v>
      </c>
      <c r="S140" s="74"/>
      <c r="T140" s="74">
        <f>T113+T136</f>
        <v>0</v>
      </c>
      <c r="U140" s="74">
        <f>U113+U136</f>
        <v>0</v>
      </c>
      <c r="V140" s="75">
        <f>V113+V136</f>
        <v>0</v>
      </c>
      <c r="W140" s="332">
        <f>W113+W136</f>
        <v>0</v>
      </c>
      <c r="X140" s="333">
        <f t="shared" si="28"/>
        <v>0</v>
      </c>
      <c r="Y140" s="208">
        <f t="shared" si="29"/>
        <v>86087.521000000008</v>
      </c>
    </row>
    <row r="141" spans="1:25" ht="30" customHeight="1" thickTop="1" thickBot="1" x14ac:dyDescent="0.25">
      <c r="A141" s="39"/>
      <c r="B141" s="230" t="s">
        <v>127</v>
      </c>
      <c r="C141" s="40" t="s">
        <v>103</v>
      </c>
      <c r="D141" s="204">
        <f t="shared" ref="D141:Q141" si="36">D85+D140</f>
        <v>2644961.87</v>
      </c>
      <c r="E141" s="204">
        <f t="shared" si="36"/>
        <v>562425.88199999998</v>
      </c>
      <c r="F141" s="204">
        <f t="shared" si="36"/>
        <v>922491.77</v>
      </c>
      <c r="G141" s="204">
        <f t="shared" si="36"/>
        <v>654.5</v>
      </c>
      <c r="H141" s="204">
        <f t="shared" si="36"/>
        <v>0</v>
      </c>
      <c r="I141" s="204">
        <f t="shared" si="36"/>
        <v>177.988</v>
      </c>
      <c r="J141" s="204">
        <f t="shared" si="36"/>
        <v>391.85199999999992</v>
      </c>
      <c r="K141" s="204">
        <f t="shared" si="36"/>
        <v>0</v>
      </c>
      <c r="L141" s="204">
        <f t="shared" si="36"/>
        <v>325538</v>
      </c>
      <c r="M141" s="204">
        <f t="shared" si="36"/>
        <v>12500</v>
      </c>
      <c r="N141" s="204">
        <f t="shared" si="36"/>
        <v>0</v>
      </c>
      <c r="O141" s="204">
        <f t="shared" si="36"/>
        <v>5000</v>
      </c>
      <c r="P141" s="204">
        <f t="shared" si="36"/>
        <v>0</v>
      </c>
      <c r="Q141" s="204">
        <f t="shared" si="36"/>
        <v>0</v>
      </c>
      <c r="R141" s="204">
        <f>SUM(D141:Q141)</f>
        <v>4474141.8619999997</v>
      </c>
      <c r="S141" s="204"/>
      <c r="T141" s="204">
        <f>T85+T140</f>
        <v>0</v>
      </c>
      <c r="U141" s="204">
        <f>U85+U140</f>
        <v>0</v>
      </c>
      <c r="V141" s="204">
        <f>V85+V140</f>
        <v>0</v>
      </c>
      <c r="W141" s="225">
        <f>W85+W140</f>
        <v>0</v>
      </c>
      <c r="X141" s="272">
        <f t="shared" si="28"/>
        <v>0</v>
      </c>
      <c r="Y141" s="183">
        <f>R141+X141</f>
        <v>4474141.8619999997</v>
      </c>
    </row>
    <row r="142" spans="1:25" ht="17.25" thickTop="1" x14ac:dyDescent="0.25"/>
  </sheetData>
  <mergeCells count="8">
    <mergeCell ref="T8:W8"/>
    <mergeCell ref="AH14:AI14"/>
    <mergeCell ref="A2:Y2"/>
    <mergeCell ref="A4:Y4"/>
    <mergeCell ref="AH9:AI9"/>
    <mergeCell ref="D8:K8"/>
    <mergeCell ref="L8:Q8"/>
    <mergeCell ref="D7:X7"/>
  </mergeCells>
  <phoneticPr fontId="3" type="noConversion"/>
  <printOptions horizontalCentered="1"/>
  <pageMargins left="0" right="0" top="0.62992125984251968" bottom="0.82677165354330717" header="0.27559055118110237" footer="0.15748031496062992"/>
  <pageSetup paperSize="9" scale="41" firstPageNumber="0" orientation="landscape" horizontalDpi="300" verticalDpi="300" r:id="rId1"/>
  <headerFooter alignWithMargins="0">
    <oddFooter>&amp;C4. sz. melléklet 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10</vt:i4>
      </vt:variant>
    </vt:vector>
  </HeadingPairs>
  <TitlesOfParts>
    <vt:vector size="14" baseType="lpstr">
      <vt:lpstr>1.sz.melléklet</vt:lpstr>
      <vt:lpstr>2.sz.melléklet</vt:lpstr>
      <vt:lpstr>3.sz.melléklet</vt:lpstr>
      <vt:lpstr>4.sz.melléklet</vt:lpstr>
      <vt:lpstr>Excel_BuiltIn__FilterDatabase_2</vt:lpstr>
      <vt:lpstr>Excel_BuiltIn__FilterDatabase_3_3</vt:lpstr>
      <vt:lpstr>'1.sz.melléklet'!Nyomtatási_cím</vt:lpstr>
      <vt:lpstr>'2.sz.melléklet'!Nyomtatási_cím</vt:lpstr>
      <vt:lpstr>'3.sz.melléklet'!Nyomtatási_cím</vt:lpstr>
      <vt:lpstr>'4.sz.melléklet'!Nyomtatási_cím</vt:lpstr>
      <vt:lpstr>'1.sz.melléklet'!Nyomtatási_terület</vt:lpstr>
      <vt:lpstr>'2.sz.melléklet'!Nyomtatási_terület</vt:lpstr>
      <vt:lpstr>'3.sz.melléklet'!Nyomtatási_terület</vt:lpstr>
      <vt:lpstr>'4.sz.melléklet'!Nyomtatási_terület</vt:lpstr>
    </vt:vector>
  </TitlesOfParts>
  <Company>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</dc:creator>
  <cp:lastModifiedBy>Balog Lászlóné Zsuzsa</cp:lastModifiedBy>
  <cp:lastPrinted>2019-11-18T10:17:54Z</cp:lastPrinted>
  <dcterms:created xsi:type="dcterms:W3CDTF">2009-03-23T07:49:10Z</dcterms:created>
  <dcterms:modified xsi:type="dcterms:W3CDTF">2019-11-18T10:18:17Z</dcterms:modified>
</cp:coreProperties>
</file>