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enzugyi es Koltsegvetesi Osztaly\HUPENZU\2019\Rendelet módosítások\Első mód maradványos\Leadott\"/>
    </mc:Choice>
  </mc:AlternateContent>
  <bookViews>
    <workbookView xWindow="0" yWindow="0" windowWidth="19200" windowHeight="10605"/>
  </bookViews>
  <sheets>
    <sheet name="12.sz. melléklet" sheetId="20" r:id="rId1"/>
    <sheet name="13. sz. melléklet" sheetId="2" r:id="rId2"/>
  </sheets>
  <definedNames>
    <definedName name="a">#REF!</definedName>
    <definedName name="Excel_BuiltIn_Print_Area_100_1" localSheetId="0">#REF!</definedName>
    <definedName name="Excel_BuiltIn_Print_Area_100_1" localSheetId="1">#REF!</definedName>
    <definedName name="Excel_BuiltIn_Print_Area_109_1" localSheetId="0">#REF!</definedName>
    <definedName name="Excel_BuiltIn_Print_Area_109_1" localSheetId="1">#REF!</definedName>
    <definedName name="Excel_BuiltIn_Print_Area_109_1">#REF!</definedName>
    <definedName name="Excel_BuiltIn_Print_Area_111" localSheetId="0">#REF!</definedName>
    <definedName name="Excel_BuiltIn_Print_Area_111" localSheetId="1">#REF!</definedName>
    <definedName name="Excel_BuiltIn_Print_Area_14_1" localSheetId="0">#REF!</definedName>
    <definedName name="Excel_BuiltIn_Print_Area_14_1">#REF!</definedName>
    <definedName name="Excel_BuiltIn_Print_Area_14_1_1" localSheetId="0">#REF!</definedName>
    <definedName name="Excel_BuiltIn_Print_Area_14_1_1">#REF!</definedName>
    <definedName name="Excel_BuiltIn_Print_Area_29_1" localSheetId="0">#REF!</definedName>
    <definedName name="Excel_BuiltIn_Print_Area_29_1">#REF!</definedName>
    <definedName name="Excel_BuiltIn_Print_Area_29_1_1" localSheetId="0">#REF!</definedName>
    <definedName name="Excel_BuiltIn_Print_Area_29_1_1">#REF!</definedName>
    <definedName name="Excel_BuiltIn_Print_Area_31_1" localSheetId="0">#REF!</definedName>
    <definedName name="Excel_BuiltIn_Print_Area_31_1">#REF!</definedName>
    <definedName name="Excel_BuiltIn_Print_Area_32_1" localSheetId="0">#REF!</definedName>
    <definedName name="Excel_BuiltIn_Print_Area_32_1">#REF!</definedName>
    <definedName name="Excel_BuiltIn_Print_Area_34_1" localSheetId="0">#REF!</definedName>
    <definedName name="Excel_BuiltIn_Print_Area_34_1">#REF!</definedName>
    <definedName name="Excel_BuiltIn_Print_Area_37_1" localSheetId="0">#REF!</definedName>
    <definedName name="Excel_BuiltIn_Print_Area_37_1">#REF!</definedName>
    <definedName name="Excel_BuiltIn_Print_Area_55_1" localSheetId="0">#REF!</definedName>
    <definedName name="Excel_BuiltIn_Print_Area_55_1">#REF!</definedName>
    <definedName name="mama">#REF!</definedName>
    <definedName name="_xlnm.Print_Area" localSheetId="0">'12.sz. melléklet'!$A$1:$M$52</definedName>
    <definedName name="_xlnm.Print_Area" localSheetId="1">'13. sz. melléklet'!$A$1:$O$52</definedName>
    <definedName name="pm" localSheetId="0">#REF!</definedName>
    <definedName name="pm">#REF!</definedName>
    <definedName name="teszt">#REF!</definedName>
  </definedNames>
  <calcPr calcId="152511"/>
</workbook>
</file>

<file path=xl/calcChain.xml><?xml version="1.0" encoding="utf-8"?>
<calcChain xmlns="http://schemas.openxmlformats.org/spreadsheetml/2006/main">
  <c r="K42" i="2" l="1"/>
  <c r="M42" i="2"/>
  <c r="I42" i="20"/>
  <c r="F42" i="20"/>
  <c r="E42" i="20"/>
  <c r="D42" i="20"/>
  <c r="E41" i="20" l="1"/>
  <c r="D41" i="20"/>
  <c r="E38" i="20"/>
  <c r="D38" i="20"/>
  <c r="E19" i="20" l="1"/>
  <c r="D19" i="20"/>
  <c r="E27" i="2" l="1"/>
  <c r="F27" i="20"/>
  <c r="F46" i="20" l="1"/>
  <c r="F31" i="20"/>
  <c r="F30" i="20"/>
  <c r="F19" i="20"/>
  <c r="E19" i="2"/>
  <c r="E30" i="2"/>
  <c r="E31" i="2"/>
  <c r="E46" i="2"/>
  <c r="F23" i="20"/>
  <c r="F25" i="20"/>
  <c r="F28" i="20"/>
  <c r="F29" i="20"/>
  <c r="F39" i="20"/>
  <c r="F38" i="20"/>
  <c r="F34" i="20"/>
  <c r="F32" i="20"/>
  <c r="F26" i="20"/>
  <c r="E32" i="2"/>
  <c r="E26" i="2"/>
  <c r="M38" i="2"/>
  <c r="K38" i="2"/>
  <c r="I38" i="20"/>
  <c r="K46" i="2" l="1"/>
  <c r="K41" i="2"/>
  <c r="K40" i="2"/>
  <c r="K39" i="2"/>
  <c r="K30" i="2"/>
  <c r="K29" i="2"/>
  <c r="K27" i="2"/>
  <c r="K24" i="2"/>
  <c r="K19" i="2"/>
  <c r="E46" i="20"/>
  <c r="D46" i="20"/>
  <c r="E40" i="20"/>
  <c r="D40" i="20"/>
  <c r="E39" i="20"/>
  <c r="D39" i="20"/>
  <c r="E30" i="20"/>
  <c r="E29" i="20"/>
  <c r="D30" i="20"/>
  <c r="D29" i="20"/>
  <c r="D27" i="20"/>
  <c r="E27" i="20"/>
  <c r="E24" i="20"/>
  <c r="D24" i="20"/>
  <c r="D34" i="20" l="1"/>
  <c r="E32" i="20"/>
  <c r="D32" i="20"/>
  <c r="D25" i="20"/>
  <c r="E23" i="20" l="1"/>
  <c r="D23" i="20"/>
  <c r="J46" i="20" l="1"/>
  <c r="M46" i="2"/>
  <c r="C27" i="20" l="1"/>
  <c r="C19" i="2" l="1"/>
  <c r="C35" i="2" l="1"/>
  <c r="C50" i="2" l="1"/>
  <c r="C41" i="2"/>
  <c r="C30" i="2"/>
  <c r="K36" i="2"/>
  <c r="C39" i="20"/>
  <c r="C28" i="20"/>
  <c r="C26" i="20"/>
  <c r="C30" i="20" l="1"/>
  <c r="C40" i="20"/>
  <c r="C42" i="20" l="1"/>
  <c r="C24" i="20" l="1"/>
  <c r="C46" i="20" l="1"/>
  <c r="C46" i="2" l="1"/>
  <c r="C40" i="2" l="1"/>
  <c r="C34" i="2" l="1"/>
  <c r="C34" i="20"/>
  <c r="N52" i="2" l="1"/>
  <c r="O52" i="2"/>
  <c r="C50" i="20"/>
  <c r="K21" i="2" l="1"/>
  <c r="J44" i="2"/>
  <c r="J36" i="2"/>
  <c r="J21" i="2"/>
  <c r="J48" i="2" l="1"/>
  <c r="J52" i="2" s="1"/>
  <c r="K44" i="2"/>
  <c r="K48" i="2" l="1"/>
  <c r="K52" i="2" s="1"/>
  <c r="M44" i="20"/>
  <c r="L44" i="20"/>
  <c r="K44" i="20"/>
  <c r="J44" i="20"/>
  <c r="I44" i="20"/>
  <c r="H44" i="20"/>
  <c r="G44" i="20"/>
  <c r="F44" i="20"/>
  <c r="E44" i="20"/>
  <c r="D44" i="20"/>
  <c r="C41" i="20"/>
  <c r="C38" i="20"/>
  <c r="M36" i="20"/>
  <c r="L36" i="20"/>
  <c r="K36" i="20"/>
  <c r="J36" i="20"/>
  <c r="I36" i="20"/>
  <c r="H36" i="20"/>
  <c r="G36" i="20"/>
  <c r="F36" i="20"/>
  <c r="E36" i="20"/>
  <c r="D36" i="20"/>
  <c r="C33" i="20"/>
  <c r="C32" i="20"/>
  <c r="C31" i="20"/>
  <c r="C29" i="20"/>
  <c r="C25" i="20"/>
  <c r="C23" i="20"/>
  <c r="M21" i="20"/>
  <c r="M48" i="20" s="1"/>
  <c r="M52" i="20" s="1"/>
  <c r="L21" i="20"/>
  <c r="K21" i="20"/>
  <c r="J21" i="20"/>
  <c r="I21" i="20"/>
  <c r="H21" i="20"/>
  <c r="G21" i="20"/>
  <c r="F21" i="20"/>
  <c r="E21" i="20"/>
  <c r="D21" i="20"/>
  <c r="C19" i="20"/>
  <c r="C44" i="20" l="1"/>
  <c r="H48" i="20"/>
  <c r="H52" i="20" s="1"/>
  <c r="L48" i="20"/>
  <c r="L52" i="20" s="1"/>
  <c r="E48" i="20"/>
  <c r="E52" i="20" s="1"/>
  <c r="D48" i="20"/>
  <c r="D52" i="20" s="1"/>
  <c r="J48" i="20"/>
  <c r="J52" i="20" s="1"/>
  <c r="K48" i="20"/>
  <c r="K52" i="20" s="1"/>
  <c r="G48" i="20"/>
  <c r="G52" i="20" s="1"/>
  <c r="I48" i="20"/>
  <c r="I52" i="20" s="1"/>
  <c r="F48" i="20"/>
  <c r="F52" i="20" s="1"/>
  <c r="C21" i="20"/>
  <c r="C36" i="20"/>
  <c r="C48" i="20" l="1"/>
  <c r="E44" i="2"/>
  <c r="C39" i="2"/>
  <c r="C33" i="2"/>
  <c r="C29" i="2"/>
  <c r="C28" i="2"/>
  <c r="C27" i="2"/>
  <c r="C26" i="2"/>
  <c r="C24" i="2"/>
  <c r="C31" i="2"/>
  <c r="C42" i="2"/>
  <c r="D36" i="2"/>
  <c r="D21" i="2"/>
  <c r="E21" i="2"/>
  <c r="H21" i="2"/>
  <c r="C25" i="2"/>
  <c r="F21" i="2"/>
  <c r="G21" i="2"/>
  <c r="I21" i="2"/>
  <c r="L21" i="2"/>
  <c r="M21" i="2"/>
  <c r="N21" i="2"/>
  <c r="O21" i="2"/>
  <c r="E36" i="2"/>
  <c r="F36" i="2"/>
  <c r="G36" i="2"/>
  <c r="I36" i="2"/>
  <c r="L36" i="2"/>
  <c r="M36" i="2"/>
  <c r="N36" i="2"/>
  <c r="O36" i="2"/>
  <c r="F44" i="2"/>
  <c r="G44" i="2"/>
  <c r="H44" i="2"/>
  <c r="I44" i="2"/>
  <c r="L44" i="2"/>
  <c r="M44" i="2"/>
  <c r="N44" i="2"/>
  <c r="O44" i="2"/>
  <c r="H36" i="2"/>
  <c r="C38" i="2"/>
  <c r="C52" i="20" l="1"/>
  <c r="C44" i="2"/>
  <c r="E48" i="2"/>
  <c r="E52" i="2" s="1"/>
  <c r="G48" i="2"/>
  <c r="G52" i="2" s="1"/>
  <c r="M48" i="2"/>
  <c r="M52" i="2" s="1"/>
  <c r="F48" i="2"/>
  <c r="F52" i="2" s="1"/>
  <c r="L48" i="2"/>
  <c r="L52" i="2" s="1"/>
  <c r="I48" i="2"/>
  <c r="I52" i="2" s="1"/>
  <c r="H48" i="2"/>
  <c r="H52" i="2" s="1"/>
  <c r="C23" i="2"/>
  <c r="D44" i="2"/>
  <c r="D48" i="2" s="1"/>
  <c r="D52" i="2" s="1"/>
  <c r="C32" i="2"/>
  <c r="C36" i="2" l="1"/>
  <c r="C21" i="2"/>
  <c r="C48" i="2" l="1"/>
  <c r="C52" i="2" l="1"/>
</calcChain>
</file>

<file path=xl/sharedStrings.xml><?xml version="1.0" encoding="utf-8"?>
<sst xmlns="http://schemas.openxmlformats.org/spreadsheetml/2006/main" count="193" uniqueCount="95">
  <si>
    <t>ezer Ft-ban</t>
  </si>
  <si>
    <t>Kötelező feladatok</t>
  </si>
  <si>
    <t>Önként vállalt feladatok</t>
  </si>
  <si>
    <t>Költségvetési</t>
  </si>
  <si>
    <t>Munkaadókat</t>
  </si>
  <si>
    <t>kiadások</t>
  </si>
  <si>
    <t>Személyi</t>
  </si>
  <si>
    <t>terhelő</t>
  </si>
  <si>
    <t>Dologi</t>
  </si>
  <si>
    <t>Ellátottak</t>
  </si>
  <si>
    <t>Működési</t>
  </si>
  <si>
    <t>Beruházások</t>
  </si>
  <si>
    <t>Felújítások</t>
  </si>
  <si>
    <t>Felhalmozási</t>
  </si>
  <si>
    <t>összesen</t>
  </si>
  <si>
    <t>juttatások</t>
  </si>
  <si>
    <t>pénzbeli</t>
  </si>
  <si>
    <t>célú</t>
  </si>
  <si>
    <t>felhalmozási</t>
  </si>
  <si>
    <t>Ssz.</t>
  </si>
  <si>
    <t>megnevezése</t>
  </si>
  <si>
    <t>szocilis</t>
  </si>
  <si>
    <t>juttatásai</t>
  </si>
  <si>
    <t>pénzeszköz</t>
  </si>
  <si>
    <t>hozzájárulási</t>
  </si>
  <si>
    <t>adó</t>
  </si>
  <si>
    <t>1.</t>
  </si>
  <si>
    <t xml:space="preserve">Egyesített Bölcsődék </t>
  </si>
  <si>
    <t>Bolyai Utcai Óvoda</t>
  </si>
  <si>
    <t>2.</t>
  </si>
  <si>
    <t>Budakeszi Úti Óvoda</t>
  </si>
  <si>
    <t>3.</t>
  </si>
  <si>
    <t>Hűvösvölgyi Gesztenyéskert Óvoda</t>
  </si>
  <si>
    <t>4.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</si>
  <si>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</si>
  <si>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</si>
  <si>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</si>
  <si>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</si>
  <si>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</si>
  <si>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</si>
  <si>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</si>
  <si>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ÉNO</t>
  </si>
  <si>
    <t xml:space="preserve">I. Gondozási Központ </t>
  </si>
  <si>
    <t xml:space="preserve">II. Gondozási Központ </t>
  </si>
  <si>
    <t xml:space="preserve">III. Gondozási Központ </t>
  </si>
  <si>
    <t>Intézmény Működtetési Központ</t>
  </si>
  <si>
    <t>bevételek</t>
  </si>
  <si>
    <t>Egyéb</t>
  </si>
  <si>
    <t>támogatás</t>
  </si>
  <si>
    <t xml:space="preserve">Felhalmozási </t>
  </si>
  <si>
    <t>államháztartáson</t>
  </si>
  <si>
    <t xml:space="preserve">működési </t>
  </si>
  <si>
    <t>belülről</t>
  </si>
  <si>
    <t>járulékok és</t>
  </si>
  <si>
    <t>átvett</t>
  </si>
  <si>
    <t>maradvány</t>
  </si>
  <si>
    <t>Finanszírozási bevételek</t>
  </si>
  <si>
    <t>költségvetési</t>
  </si>
  <si>
    <t>igénybevétel</t>
  </si>
  <si>
    <t>irányító szervi</t>
  </si>
  <si>
    <t xml:space="preserve">Költségvetési szerv </t>
  </si>
  <si>
    <t>Költségvetési bevételek</t>
  </si>
  <si>
    <t>Működési költségvetési kiadások</t>
  </si>
  <si>
    <t>Felhalmozási költségvetési kiadások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</si>
  <si>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</si>
  <si>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</si>
  <si>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</si>
  <si>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</si>
  <si>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</si>
  <si>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</si>
  <si>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</si>
  <si>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</si>
  <si>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</si>
  <si>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</si>
  <si>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</si>
  <si>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I.</t>
  </si>
  <si>
    <t>II.</t>
  </si>
  <si>
    <t>Egészségügyi Szolgálat</t>
  </si>
  <si>
    <t>A</t>
  </si>
  <si>
    <t>Gazdasági szervezettel nem rendelkező intézmények összesen:</t>
  </si>
  <si>
    <t>Egyesített Bölcsődék összesen:</t>
  </si>
  <si>
    <t>Óvodák összesen:</t>
  </si>
  <si>
    <t>Humán szolgáltatás összesen:</t>
  </si>
  <si>
    <t>Humán szolgáltatás összsen:</t>
  </si>
  <si>
    <t>Mindösszesen: (I.+II.)</t>
  </si>
  <si>
    <t>Virág árok Óvoda</t>
  </si>
  <si>
    <t xml:space="preserve">Budapest Főváros II. Kerületi Önkormányzat irányítása alá tartozó gazdasági szervezettel nem rendelkező költségvetési szervek és az Egészségügyi Szolgálat kiadási előirányzat változásai </t>
  </si>
  <si>
    <t>l</t>
  </si>
  <si>
    <t>Völgy  Utcai Óvoda</t>
  </si>
  <si>
    <t>Völgy Utcai Óvoda</t>
  </si>
  <si>
    <t>Budapest Főváros II. Kerületi Önkormányzat irányítása alá tartozó gazdasági szervezettel nem rendelkező költségvetési szervek és az Egészségügyi Szolgálat bevételi előirányzat változásai</t>
  </si>
  <si>
    <t>Család és Gyermekjóléti Központ</t>
  </si>
  <si>
    <t>2019. január 1-től április 30-ig.</t>
  </si>
  <si>
    <t>12. sz. melléklet</t>
  </si>
  <si>
    <t>13.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</si>
</sst>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3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8"/>
      <color indexed="10"/>
      <name val="Times New Roman"/>
      <family val="1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19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2" fillId="0" borderId="0" xfId="0" applyFont="1"/>
    <xf numFmtId="0" fontId="21" fillId="0" borderId="0" xfId="0" applyFont="1" applyAlignment="1"/>
    <xf numFmtId="0" fontId="23" fillId="0" borderId="0" xfId="0" applyFont="1"/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2" fillId="0" borderId="10" xfId="0" applyFont="1" applyBorder="1"/>
    <xf numFmtId="0" fontId="21" fillId="0" borderId="11" xfId="0" applyFont="1" applyBorder="1" applyAlignment="1"/>
    <xf numFmtId="0" fontId="26" fillId="0" borderId="12" xfId="0" applyFont="1" applyBorder="1"/>
    <xf numFmtId="0" fontId="26" fillId="0" borderId="13" xfId="0" applyFont="1" applyBorder="1"/>
    <xf numFmtId="0" fontId="22" fillId="0" borderId="15" xfId="0" applyFont="1" applyBorder="1"/>
    <xf numFmtId="0" fontId="22" fillId="0" borderId="17" xfId="0" applyFont="1" applyBorder="1"/>
    <xf numFmtId="0" fontId="21" fillId="0" borderId="15" xfId="0" applyFont="1" applyBorder="1" applyAlignment="1"/>
    <xf numFmtId="0" fontId="21" fillId="0" borderId="18" xfId="0" applyFont="1" applyBorder="1" applyAlignment="1"/>
    <xf numFmtId="0" fontId="22" fillId="0" borderId="17" xfId="0" applyFont="1" applyBorder="1" applyAlignment="1">
      <alignment horizontal="center"/>
    </xf>
    <xf numFmtId="0" fontId="22" fillId="0" borderId="0" xfId="0" applyFont="1" applyBorder="1"/>
    <xf numFmtId="0" fontId="22" fillId="0" borderId="2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/>
    <xf numFmtId="0" fontId="22" fillId="0" borderId="1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0" fillId="0" borderId="15" xfId="0" applyFont="1" applyBorder="1"/>
    <xf numFmtId="0" fontId="20" fillId="0" borderId="20" xfId="0" applyFont="1" applyBorder="1"/>
    <xf numFmtId="0" fontId="28" fillId="0" borderId="17" xfId="0" applyFont="1" applyBorder="1" applyAlignment="1">
      <alignment horizontal="center"/>
    </xf>
    <xf numFmtId="0" fontId="20" fillId="0" borderId="25" xfId="0" applyFont="1" applyBorder="1"/>
    <xf numFmtId="0" fontId="20" fillId="0" borderId="26" xfId="0" applyFont="1" applyBorder="1"/>
    <xf numFmtId="0" fontId="22" fillId="0" borderId="27" xfId="0" applyFont="1" applyBorder="1"/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19" xfId="0" applyFont="1" applyBorder="1"/>
    <xf numFmtId="3" fontId="22" fillId="0" borderId="17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9" xfId="0" applyNumberFormat="1" applyFont="1" applyBorder="1"/>
    <xf numFmtId="3" fontId="29" fillId="0" borderId="30" xfId="0" applyNumberFormat="1" applyFont="1" applyBorder="1" applyAlignment="1">
      <alignment horizontal="right"/>
    </xf>
    <xf numFmtId="3" fontId="29" fillId="0" borderId="29" xfId="0" applyNumberFormat="1" applyFont="1" applyBorder="1"/>
    <xf numFmtId="3" fontId="29" fillId="0" borderId="32" xfId="0" applyNumberFormat="1" applyFont="1" applyBorder="1"/>
    <xf numFmtId="3" fontId="29" fillId="0" borderId="34" xfId="0" applyNumberFormat="1" applyFont="1" applyBorder="1"/>
    <xf numFmtId="3" fontId="29" fillId="0" borderId="37" xfId="0" applyNumberFormat="1" applyFont="1" applyBorder="1"/>
    <xf numFmtId="3" fontId="22" fillId="0" borderId="36" xfId="0" applyNumberFormat="1" applyFont="1" applyBorder="1" applyAlignment="1">
      <alignment horizontal="right"/>
    </xf>
    <xf numFmtId="3" fontId="29" fillId="0" borderId="29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3" fontId="29" fillId="0" borderId="34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3" fontId="29" fillId="0" borderId="19" xfId="0" applyNumberFormat="1" applyFont="1" applyBorder="1" applyAlignment="1">
      <alignment horizontal="right"/>
    </xf>
    <xf numFmtId="3" fontId="31" fillId="0" borderId="30" xfId="0" applyNumberFormat="1" applyFont="1" applyBorder="1" applyAlignment="1">
      <alignment horizontal="right"/>
    </xf>
    <xf numFmtId="3" fontId="31" fillId="0" borderId="33" xfId="0" applyNumberFormat="1" applyFont="1" applyBorder="1" applyAlignment="1">
      <alignment horizontal="right"/>
    </xf>
    <xf numFmtId="3" fontId="29" fillId="0" borderId="33" xfId="0" applyNumberFormat="1" applyFont="1" applyBorder="1" applyAlignment="1">
      <alignment horizontal="right"/>
    </xf>
    <xf numFmtId="0" fontId="20" fillId="0" borderId="0" xfId="0" applyFont="1" applyBorder="1"/>
    <xf numFmtId="0" fontId="22" fillId="0" borderId="0" xfId="0" applyFont="1" applyAlignment="1">
      <alignment horizontal="right"/>
    </xf>
    <xf numFmtId="3" fontId="20" fillId="0" borderId="0" xfId="0" applyNumberFormat="1" applyFont="1"/>
    <xf numFmtId="0" fontId="23" fillId="0" borderId="0" xfId="0" applyFont="1" applyBorder="1"/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2" fillId="0" borderId="25" xfId="0" applyFont="1" applyBorder="1"/>
    <xf numFmtId="0" fontId="22" fillId="0" borderId="37" xfId="0" applyFont="1" applyBorder="1" applyAlignment="1">
      <alignment horizontal="center"/>
    </xf>
    <xf numFmtId="3" fontId="20" fillId="0" borderId="0" xfId="0" applyNumberFormat="1" applyFont="1" applyBorder="1"/>
    <xf numFmtId="3" fontId="29" fillId="0" borderId="40" xfId="0" applyNumberFormat="1" applyFont="1" applyBorder="1" applyAlignment="1">
      <alignment horizontal="right"/>
    </xf>
    <xf numFmtId="3" fontId="29" fillId="0" borderId="41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3" fontId="29" fillId="0" borderId="39" xfId="0" applyNumberFormat="1" applyFont="1" applyBorder="1" applyAlignment="1">
      <alignment horizontal="right"/>
    </xf>
    <xf numFmtId="0" fontId="22" fillId="0" borderId="15" xfId="0" applyFont="1" applyBorder="1" applyAlignment="1">
      <alignment horizontal="center"/>
    </xf>
    <xf numFmtId="0" fontId="22" fillId="0" borderId="21" xfId="0" applyFont="1" applyBorder="1"/>
    <xf numFmtId="164" fontId="20" fillId="0" borderId="0" xfId="0" applyNumberFormat="1" applyFont="1"/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3" fillId="0" borderId="0" xfId="0" applyFont="1" applyAlignment="1"/>
    <xf numFmtId="0" fontId="20" fillId="0" borderId="16" xfId="0" applyFont="1" applyBorder="1"/>
    <xf numFmtId="0" fontId="31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29" fillId="0" borderId="30" xfId="0" applyFont="1" applyBorder="1"/>
    <xf numFmtId="0" fontId="29" fillId="0" borderId="17" xfId="0" applyFont="1" applyBorder="1"/>
    <xf numFmtId="0" fontId="22" fillId="0" borderId="43" xfId="0" applyFont="1" applyBorder="1"/>
    <xf numFmtId="0" fontId="29" fillId="0" borderId="15" xfId="0" applyFont="1" applyBorder="1"/>
    <xf numFmtId="0" fontId="28" fillId="0" borderId="44" xfId="0" applyFont="1" applyBorder="1" applyAlignment="1">
      <alignment horizontal="center"/>
    </xf>
    <xf numFmtId="0" fontId="30" fillId="0" borderId="17" xfId="0" applyFont="1" applyBorder="1"/>
    <xf numFmtId="0" fontId="30" fillId="0" borderId="17" xfId="0" applyFont="1" applyFill="1" applyBorder="1" applyAlignment="1">
      <alignment horizontal="left"/>
    </xf>
    <xf numFmtId="0" fontId="30" fillId="0" borderId="36" xfId="0" applyFont="1" applyBorder="1"/>
    <xf numFmtId="0" fontId="30" fillId="0" borderId="30" xfId="0" applyFont="1" applyBorder="1"/>
    <xf numFmtId="0" fontId="32" fillId="0" borderId="17" xfId="0" applyFont="1" applyBorder="1"/>
    <xf numFmtId="0" fontId="21" fillId="0" borderId="17" xfId="0" applyFont="1" applyBorder="1" applyAlignment="1"/>
    <xf numFmtId="0" fontId="26" fillId="0" borderId="18" xfId="0" applyFont="1" applyBorder="1" applyAlignment="1">
      <alignment horizontal="center"/>
    </xf>
    <xf numFmtId="3" fontId="22" fillId="0" borderId="18" xfId="0" applyNumberFormat="1" applyFont="1" applyBorder="1"/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3" fontId="29" fillId="0" borderId="45" xfId="0" applyNumberFormat="1" applyFont="1" applyBorder="1" applyAlignment="1">
      <alignment horizontal="right"/>
    </xf>
    <xf numFmtId="0" fontId="20" fillId="0" borderId="46" xfId="0" applyFont="1" applyBorder="1"/>
    <xf numFmtId="0" fontId="20" fillId="0" borderId="44" xfId="0" applyFont="1" applyBorder="1"/>
    <xf numFmtId="0" fontId="22" fillId="0" borderId="16" xfId="0" applyFont="1" applyBorder="1"/>
    <xf numFmtId="0" fontId="22" fillId="0" borderId="34" xfId="0" applyFont="1" applyBorder="1"/>
    <xf numFmtId="3" fontId="29" fillId="0" borderId="33" xfId="0" applyNumberFormat="1" applyFont="1" applyBorder="1"/>
    <xf numFmtId="0" fontId="22" fillId="0" borderId="47" xfId="0" applyFont="1" applyBorder="1"/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3" fontId="29" fillId="0" borderId="35" xfId="0" applyNumberFormat="1" applyFont="1" applyBorder="1"/>
    <xf numFmtId="0" fontId="26" fillId="0" borderId="4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9" fillId="0" borderId="30" xfId="0" applyFont="1" applyFill="1" applyBorder="1"/>
    <xf numFmtId="0" fontId="20" fillId="0" borderId="36" xfId="0" applyFont="1" applyBorder="1"/>
    <xf numFmtId="0" fontId="22" fillId="0" borderId="17" xfId="0" applyFont="1" applyFill="1" applyBorder="1"/>
    <xf numFmtId="0" fontId="29" fillId="0" borderId="40" xfId="0" applyFont="1" applyBorder="1" applyAlignment="1">
      <alignment wrapText="1"/>
    </xf>
    <xf numFmtId="3" fontId="22" fillId="0" borderId="30" xfId="0" applyNumberFormat="1" applyFont="1" applyBorder="1"/>
    <xf numFmtId="3" fontId="22" fillId="0" borderId="17" xfId="0" applyNumberFormat="1" applyFont="1" applyBorder="1"/>
    <xf numFmtId="3" fontId="36" fillId="0" borderId="40" xfId="0" applyNumberFormat="1" applyFont="1" applyBorder="1"/>
    <xf numFmtId="3" fontId="22" fillId="0" borderId="44" xfId="0" applyNumberFormat="1" applyFont="1" applyBorder="1" applyAlignment="1">
      <alignment horizontal="right"/>
    </xf>
    <xf numFmtId="0" fontId="22" fillId="0" borderId="37" xfId="0" applyFont="1" applyBorder="1"/>
    <xf numFmtId="3" fontId="22" fillId="0" borderId="33" xfId="0" applyNumberFormat="1" applyFont="1" applyBorder="1"/>
    <xf numFmtId="3" fontId="22" fillId="0" borderId="12" xfId="0" applyNumberFormat="1" applyFont="1" applyBorder="1"/>
    <xf numFmtId="3" fontId="22" fillId="0" borderId="39" xfId="0" applyNumberFormat="1" applyFont="1" applyBorder="1"/>
    <xf numFmtId="0" fontId="29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0" fillId="0" borderId="18" xfId="0" applyFont="1" applyBorder="1"/>
    <xf numFmtId="3" fontId="22" fillId="0" borderId="3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3" fontId="22" fillId="0" borderId="45" xfId="0" applyNumberFormat="1" applyFont="1" applyBorder="1"/>
    <xf numFmtId="0" fontId="22" fillId="0" borderId="12" xfId="0" applyFont="1" applyBorder="1"/>
    <xf numFmtId="0" fontId="22" fillId="0" borderId="39" xfId="0" applyFont="1" applyBorder="1"/>
    <xf numFmtId="3" fontId="22" fillId="0" borderId="49" xfId="0" applyNumberFormat="1" applyFont="1" applyBorder="1"/>
    <xf numFmtId="0" fontId="22" fillId="0" borderId="33" xfId="0" applyFont="1" applyBorder="1"/>
    <xf numFmtId="3" fontId="22" fillId="0" borderId="37" xfId="0" applyNumberFormat="1" applyFont="1" applyBorder="1"/>
    <xf numFmtId="3" fontId="22" fillId="0" borderId="34" xfId="0" applyNumberFormat="1" applyFont="1" applyBorder="1"/>
    <xf numFmtId="0" fontId="22" fillId="0" borderId="38" xfId="0" applyFont="1" applyBorder="1"/>
    <xf numFmtId="3" fontId="36" fillId="0" borderId="40" xfId="0" applyNumberFormat="1" applyFont="1" applyBorder="1" applyAlignment="1">
      <alignment horizontal="right"/>
    </xf>
    <xf numFmtId="3" fontId="36" fillId="0" borderId="42" xfId="0" applyNumberFormat="1" applyFont="1" applyBorder="1"/>
    <xf numFmtId="3" fontId="36" fillId="0" borderId="12" xfId="0" applyNumberFormat="1" applyFont="1" applyBorder="1"/>
    <xf numFmtId="3" fontId="36" fillId="0" borderId="39" xfId="0" applyNumberFormat="1" applyFont="1" applyBorder="1"/>
    <xf numFmtId="3" fontId="36" fillId="0" borderId="12" xfId="0" applyNumberFormat="1" applyFont="1" applyBorder="1" applyAlignment="1">
      <alignment horizontal="right"/>
    </xf>
    <xf numFmtId="3" fontId="36" fillId="0" borderId="42" xfId="0" applyNumberFormat="1" applyFont="1" applyBorder="1" applyAlignment="1">
      <alignment horizontal="right"/>
    </xf>
    <xf numFmtId="3" fontId="36" fillId="0" borderId="39" xfId="0" applyNumberFormat="1" applyFont="1" applyBorder="1" applyAlignment="1">
      <alignment horizontal="right"/>
    </xf>
    <xf numFmtId="3" fontId="22" fillId="0" borderId="36" xfId="0" applyNumberFormat="1" applyFont="1" applyBorder="1" applyAlignment="1">
      <alignment horizontal="center"/>
    </xf>
    <xf numFmtId="3" fontId="22" fillId="0" borderId="43" xfId="0" applyNumberFormat="1" applyFont="1" applyBorder="1"/>
    <xf numFmtId="3" fontId="22" fillId="0" borderId="25" xfId="0" applyNumberFormat="1" applyFont="1" applyBorder="1"/>
    <xf numFmtId="3" fontId="22" fillId="0" borderId="48" xfId="0" applyNumberFormat="1" applyFont="1" applyBorder="1"/>
    <xf numFmtId="3" fontId="22" fillId="0" borderId="28" xfId="0" applyNumberFormat="1" applyFont="1" applyBorder="1"/>
    <xf numFmtId="3" fontId="22" fillId="0" borderId="29" xfId="0" applyNumberFormat="1" applyFont="1" applyBorder="1"/>
    <xf numFmtId="3" fontId="22" fillId="0" borderId="32" xfId="0" applyNumberFormat="1" applyFont="1" applyBorder="1"/>
    <xf numFmtId="3" fontId="37" fillId="0" borderId="0" xfId="0" applyNumberFormat="1" applyFont="1"/>
    <xf numFmtId="3" fontId="31" fillId="0" borderId="35" xfId="0" applyNumberFormat="1" applyFont="1" applyBorder="1" applyAlignment="1">
      <alignment horizontal="right"/>
    </xf>
    <xf numFmtId="3" fontId="29" fillId="0" borderId="41" xfId="0" applyNumberFormat="1" applyFont="1" applyBorder="1"/>
    <xf numFmtId="3" fontId="29" fillId="0" borderId="42" xfId="0" applyNumberFormat="1" applyFont="1" applyBorder="1"/>
    <xf numFmtId="3" fontId="36" fillId="0" borderId="41" xfId="0" applyNumberFormat="1" applyFont="1" applyBorder="1"/>
    <xf numFmtId="3" fontId="22" fillId="0" borderId="13" xfId="0" applyNumberFormat="1" applyFont="1" applyBorder="1"/>
    <xf numFmtId="0" fontId="22" fillId="0" borderId="35" xfId="0" applyFont="1" applyBorder="1"/>
    <xf numFmtId="3" fontId="22" fillId="0" borderId="51" xfId="0" applyNumberFormat="1" applyFont="1" applyBorder="1"/>
    <xf numFmtId="3" fontId="22" fillId="0" borderId="52" xfId="0" applyNumberFormat="1" applyFont="1" applyBorder="1"/>
    <xf numFmtId="3" fontId="29" fillId="0" borderId="52" xfId="0" applyNumberFormat="1" applyFont="1" applyBorder="1" applyAlignment="1">
      <alignment horizontal="right"/>
    </xf>
    <xf numFmtId="0" fontId="22" fillId="0" borderId="52" xfId="0" applyFont="1" applyBorder="1"/>
    <xf numFmtId="3" fontId="22" fillId="0" borderId="42" xfId="0" applyNumberFormat="1" applyFont="1" applyBorder="1"/>
    <xf numFmtId="3" fontId="22" fillId="0" borderId="53" xfId="0" applyNumberFormat="1" applyFont="1" applyBorder="1"/>
    <xf numFmtId="3" fontId="22" fillId="0" borderId="50" xfId="0" applyNumberFormat="1" applyFont="1" applyBorder="1"/>
    <xf numFmtId="165" fontId="22" fillId="0" borderId="0" xfId="0" applyNumberFormat="1" applyFont="1" applyBorder="1"/>
    <xf numFmtId="165" fontId="22" fillId="0" borderId="52" xfId="0" applyNumberFormat="1" applyFont="1" applyBorder="1"/>
    <xf numFmtId="165" fontId="22" fillId="0" borderId="15" xfId="0" applyNumberFormat="1" applyFont="1" applyBorder="1"/>
    <xf numFmtId="165" fontId="22" fillId="0" borderId="19" xfId="0" applyNumberFormat="1" applyFont="1" applyBorder="1"/>
    <xf numFmtId="3" fontId="22" fillId="0" borderId="35" xfId="0" applyNumberFormat="1" applyFont="1" applyBorder="1" applyAlignment="1">
      <alignment horizontal="right"/>
    </xf>
    <xf numFmtId="3" fontId="31" fillId="0" borderId="3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33" xfId="0" applyNumberFormat="1" applyFont="1" applyBorder="1" applyAlignment="1">
      <alignment horizontal="right"/>
    </xf>
    <xf numFmtId="3" fontId="31" fillId="0" borderId="34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al_KARSZJ3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="110" zoomScaleNormal="110" workbookViewId="0">
      <pane xSplit="3" ySplit="17" topLeftCell="D38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C42" sqref="C42"/>
    </sheetView>
  </sheetViews>
  <sheetFormatPr defaultRowHeight="12.75" x14ac:dyDescent="0.2"/>
  <cols>
    <col min="1" max="1" width="3.85546875" style="1" customWidth="1"/>
    <col min="2" max="2" width="30.7109375" style="1" customWidth="1"/>
    <col min="3" max="13" width="10.7109375" style="1" customWidth="1"/>
    <col min="14" max="14" width="8.7109375" style="1" customWidth="1"/>
    <col min="15" max="16" width="7.7109375" style="1" customWidth="1"/>
    <col min="17" max="16384" width="9.140625" style="1"/>
  </cols>
  <sheetData>
    <row r="1" spans="1:15" x14ac:dyDescent="0.2">
      <c r="L1" s="185" t="s">
        <v>93</v>
      </c>
      <c r="M1" s="185"/>
    </row>
    <row r="2" spans="1:15" x14ac:dyDescent="0.2">
      <c r="M2" s="2"/>
    </row>
    <row r="3" spans="1:15" x14ac:dyDescent="0.2">
      <c r="M3" s="2"/>
    </row>
    <row r="4" spans="1:15" x14ac:dyDescent="0.2">
      <c r="A4" s="186" t="s">
        <v>86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5" hidden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x14ac:dyDescent="0.2">
      <c r="A6" s="186" t="s">
        <v>92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5"/>
      <c r="O6" s="6"/>
    </row>
    <row r="7" spans="1:15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6"/>
    </row>
    <row r="8" spans="1:15" ht="13.5" thickBot="1" x14ac:dyDescent="0.25">
      <c r="A8" s="4"/>
      <c r="B8" s="5"/>
      <c r="C8" s="5"/>
      <c r="D8" s="5"/>
      <c r="E8" s="103"/>
      <c r="F8" s="5"/>
      <c r="G8" s="5"/>
      <c r="H8" s="5"/>
      <c r="I8" s="5"/>
      <c r="J8" s="5"/>
      <c r="K8" s="5"/>
      <c r="L8" s="5"/>
      <c r="M8" s="8" t="s">
        <v>0</v>
      </c>
      <c r="N8" s="5"/>
      <c r="O8" s="6"/>
    </row>
    <row r="9" spans="1:15" ht="13.5" thickBot="1" x14ac:dyDescent="0.25">
      <c r="A9" s="9"/>
      <c r="B9" s="10"/>
      <c r="C9" s="10"/>
      <c r="D9" s="187" t="s">
        <v>1</v>
      </c>
      <c r="E9" s="187"/>
      <c r="F9" s="187"/>
      <c r="G9" s="187"/>
      <c r="H9" s="187"/>
      <c r="I9" s="187"/>
      <c r="J9" s="187"/>
      <c r="K9" s="188"/>
      <c r="L9" s="11" t="s">
        <v>2</v>
      </c>
      <c r="M9" s="12"/>
    </row>
    <row r="10" spans="1:15" ht="13.5" thickBot="1" x14ac:dyDescent="0.25">
      <c r="A10" s="13"/>
      <c r="B10" s="14"/>
      <c r="C10" s="14"/>
      <c r="D10" s="189" t="s">
        <v>62</v>
      </c>
      <c r="E10" s="189"/>
      <c r="F10" s="189"/>
      <c r="G10" s="189"/>
      <c r="H10" s="189"/>
      <c r="I10" s="190" t="s">
        <v>63</v>
      </c>
      <c r="J10" s="189"/>
      <c r="K10" s="191"/>
      <c r="L10" s="15"/>
      <c r="M10" s="16"/>
    </row>
    <row r="11" spans="1:15" ht="12.75" customHeight="1" x14ac:dyDescent="0.2">
      <c r="A11" s="116"/>
      <c r="B11" s="28"/>
      <c r="C11" s="17" t="s">
        <v>3</v>
      </c>
      <c r="D11" s="18"/>
      <c r="E11" s="19" t="s">
        <v>4</v>
      </c>
      <c r="F11" s="19"/>
      <c r="G11" s="20"/>
      <c r="H11" s="20"/>
      <c r="I11" s="9"/>
      <c r="J11" s="111"/>
      <c r="K11" s="112"/>
      <c r="L11" s="22"/>
      <c r="M11" s="23"/>
    </row>
    <row r="12" spans="1:15" x14ac:dyDescent="0.2">
      <c r="A12" s="116"/>
      <c r="B12" s="17" t="s">
        <v>60</v>
      </c>
      <c r="C12" s="17" t="s">
        <v>5</v>
      </c>
      <c r="D12" s="24" t="s">
        <v>6</v>
      </c>
      <c r="E12" s="19" t="s">
        <v>7</v>
      </c>
      <c r="F12" s="19" t="s">
        <v>8</v>
      </c>
      <c r="G12" s="20" t="s">
        <v>9</v>
      </c>
      <c r="H12" s="20" t="s">
        <v>47</v>
      </c>
      <c r="I12" s="22" t="s">
        <v>11</v>
      </c>
      <c r="J12" s="25" t="s">
        <v>12</v>
      </c>
      <c r="K12" s="113" t="s">
        <v>47</v>
      </c>
      <c r="L12" s="22" t="s">
        <v>10</v>
      </c>
      <c r="M12" s="23" t="s">
        <v>13</v>
      </c>
    </row>
    <row r="13" spans="1:15" x14ac:dyDescent="0.2">
      <c r="A13" s="26"/>
      <c r="B13" s="17" t="s">
        <v>20</v>
      </c>
      <c r="C13" s="17" t="s">
        <v>14</v>
      </c>
      <c r="D13" s="24" t="s">
        <v>15</v>
      </c>
      <c r="E13" s="19" t="s">
        <v>53</v>
      </c>
      <c r="F13" s="19" t="s">
        <v>5</v>
      </c>
      <c r="G13" s="20" t="s">
        <v>16</v>
      </c>
      <c r="H13" s="20" t="s">
        <v>51</v>
      </c>
      <c r="I13" s="22"/>
      <c r="J13" s="25"/>
      <c r="K13" s="113" t="s">
        <v>18</v>
      </c>
      <c r="L13" s="22" t="s">
        <v>17</v>
      </c>
      <c r="M13" s="23" t="s">
        <v>17</v>
      </c>
    </row>
    <row r="14" spans="1:15" x14ac:dyDescent="0.2">
      <c r="A14" s="27" t="s">
        <v>19</v>
      </c>
      <c r="B14" s="17"/>
      <c r="C14" s="28"/>
      <c r="D14" s="18"/>
      <c r="E14" s="25" t="s">
        <v>21</v>
      </c>
      <c r="F14" s="19"/>
      <c r="G14" s="20" t="s">
        <v>22</v>
      </c>
      <c r="H14" s="20" t="s">
        <v>17</v>
      </c>
      <c r="I14" s="13"/>
      <c r="J14" s="21"/>
      <c r="K14" s="113" t="s">
        <v>17</v>
      </c>
      <c r="L14" s="22"/>
      <c r="M14" s="23"/>
    </row>
    <row r="15" spans="1:15" x14ac:dyDescent="0.2">
      <c r="A15" s="117"/>
      <c r="B15" s="17"/>
      <c r="C15" s="28"/>
      <c r="D15" s="18"/>
      <c r="E15" s="25" t="s">
        <v>24</v>
      </c>
      <c r="F15" s="19"/>
      <c r="G15" s="20"/>
      <c r="H15" s="20" t="s">
        <v>5</v>
      </c>
      <c r="I15" s="29"/>
      <c r="J15" s="30"/>
      <c r="K15" s="113" t="s">
        <v>5</v>
      </c>
      <c r="L15" s="22"/>
      <c r="M15" s="23"/>
    </row>
    <row r="16" spans="1:15" x14ac:dyDescent="0.2">
      <c r="A16" s="26"/>
      <c r="B16" s="93"/>
      <c r="C16" s="31"/>
      <c r="D16" s="18"/>
      <c r="E16" s="25" t="s">
        <v>25</v>
      </c>
      <c r="F16" s="19"/>
      <c r="G16" s="18"/>
      <c r="H16" s="108"/>
      <c r="I16" s="32"/>
      <c r="J16" s="33"/>
      <c r="K16" s="81"/>
      <c r="L16" s="13"/>
      <c r="M16" s="34"/>
    </row>
    <row r="17" spans="1:20" x14ac:dyDescent="0.2">
      <c r="A17" s="41">
        <v>1</v>
      </c>
      <c r="B17" s="36">
        <v>2</v>
      </c>
      <c r="C17" s="36">
        <v>3</v>
      </c>
      <c r="D17" s="37">
        <v>4</v>
      </c>
      <c r="E17" s="38">
        <v>5</v>
      </c>
      <c r="F17" s="38">
        <v>6</v>
      </c>
      <c r="G17" s="38">
        <v>7</v>
      </c>
      <c r="H17" s="39">
        <v>8</v>
      </c>
      <c r="I17" s="35">
        <v>9</v>
      </c>
      <c r="J17" s="40">
        <v>10</v>
      </c>
      <c r="K17" s="74">
        <v>11</v>
      </c>
      <c r="L17" s="41">
        <v>12</v>
      </c>
      <c r="M17" s="42">
        <v>13</v>
      </c>
    </row>
    <row r="18" spans="1:20" x14ac:dyDescent="0.2">
      <c r="A18" s="80"/>
      <c r="B18" s="17"/>
      <c r="C18" s="154"/>
      <c r="D18" s="46"/>
      <c r="E18" s="46"/>
      <c r="F18" s="46"/>
      <c r="G18" s="46"/>
      <c r="H18" s="46"/>
      <c r="I18" s="47"/>
      <c r="J18" s="46"/>
      <c r="K18" s="48"/>
      <c r="L18" s="47"/>
      <c r="M18" s="48"/>
      <c r="R18" s="69"/>
      <c r="S18" s="69"/>
      <c r="T18" s="69"/>
    </row>
    <row r="19" spans="1:20" x14ac:dyDescent="0.2">
      <c r="A19" s="80" t="s">
        <v>64</v>
      </c>
      <c r="B19" s="94" t="s">
        <v>27</v>
      </c>
      <c r="C19" s="45">
        <f>SUM(D19:M19)</f>
        <v>4801.2489999999998</v>
      </c>
      <c r="D19" s="46">
        <f>71.5+50+941.146+1976.335+24.998+0.002+952.964</f>
        <v>4016.9449999999997</v>
      </c>
      <c r="E19" s="46">
        <f>13.943+9.751+183.523+385.385+4.875-0.002+185.828</f>
        <v>783.303</v>
      </c>
      <c r="F19" s="46">
        <f>0.001+1</f>
        <v>1.0009999999999999</v>
      </c>
      <c r="G19" s="46"/>
      <c r="H19" s="46"/>
      <c r="I19" s="47"/>
      <c r="J19" s="46"/>
      <c r="K19" s="48"/>
      <c r="L19" s="47"/>
      <c r="M19" s="48"/>
      <c r="O19" s="69"/>
      <c r="R19" s="69"/>
      <c r="S19" s="69"/>
      <c r="T19" s="69"/>
    </row>
    <row r="20" spans="1:20" x14ac:dyDescent="0.2">
      <c r="A20" s="13"/>
      <c r="B20" s="95"/>
      <c r="C20" s="45"/>
      <c r="D20" s="46"/>
      <c r="E20" s="46"/>
      <c r="F20" s="46"/>
      <c r="G20" s="46"/>
      <c r="H20" s="46"/>
      <c r="I20" s="47"/>
      <c r="J20" s="46"/>
      <c r="K20" s="48"/>
      <c r="L20" s="47"/>
      <c r="M20" s="48"/>
      <c r="O20" s="69"/>
      <c r="R20" s="69"/>
      <c r="S20" s="69"/>
      <c r="T20" s="69"/>
    </row>
    <row r="21" spans="1:20" x14ac:dyDescent="0.2">
      <c r="A21" s="118" t="s">
        <v>26</v>
      </c>
      <c r="B21" s="120" t="s">
        <v>80</v>
      </c>
      <c r="C21" s="49">
        <f t="shared" ref="C21:M21" si="0">SUM(C19:C20)</f>
        <v>4801.2489999999998</v>
      </c>
      <c r="D21" s="50">
        <f t="shared" si="0"/>
        <v>4016.9449999999997</v>
      </c>
      <c r="E21" s="51">
        <f t="shared" si="0"/>
        <v>783.303</v>
      </c>
      <c r="F21" s="51">
        <f t="shared" si="0"/>
        <v>1.0009999999999999</v>
      </c>
      <c r="G21" s="51">
        <f t="shared" si="0"/>
        <v>0</v>
      </c>
      <c r="H21" s="110">
        <f t="shared" si="0"/>
        <v>0</v>
      </c>
      <c r="I21" s="52">
        <f t="shared" si="0"/>
        <v>0</v>
      </c>
      <c r="J21" s="51">
        <f t="shared" si="0"/>
        <v>0</v>
      </c>
      <c r="K21" s="114">
        <f t="shared" si="0"/>
        <v>0</v>
      </c>
      <c r="L21" s="52">
        <f t="shared" si="0"/>
        <v>0</v>
      </c>
      <c r="M21" s="53">
        <f t="shared" si="0"/>
        <v>0</v>
      </c>
      <c r="O21" s="69"/>
      <c r="R21" s="69"/>
      <c r="S21" s="69"/>
      <c r="T21" s="69"/>
    </row>
    <row r="22" spans="1:20" x14ac:dyDescent="0.2">
      <c r="A22" s="13"/>
      <c r="B22" s="121"/>
      <c r="C22" s="54"/>
      <c r="D22" s="46"/>
      <c r="E22" s="46"/>
      <c r="F22" s="46"/>
      <c r="G22" s="46"/>
      <c r="H22" s="46"/>
      <c r="I22" s="47"/>
      <c r="J22" s="46"/>
      <c r="K22" s="48"/>
      <c r="L22" s="47"/>
      <c r="M22" s="48"/>
      <c r="O22" s="69"/>
      <c r="R22" s="69"/>
      <c r="S22" s="69"/>
      <c r="T22" s="69"/>
    </row>
    <row r="23" spans="1:20" x14ac:dyDescent="0.2">
      <c r="A23" s="80" t="s">
        <v>64</v>
      </c>
      <c r="B23" s="94" t="s">
        <v>28</v>
      </c>
      <c r="C23" s="45">
        <f t="shared" ref="C23:C34" si="1">SUM(D23:M23)</f>
        <v>400.71300000000019</v>
      </c>
      <c r="D23" s="46">
        <f>-2655+66.97+298.143</f>
        <v>-2289.8870000000002</v>
      </c>
      <c r="E23" s="46">
        <f>-518+35.599</f>
        <v>-482.40100000000001</v>
      </c>
      <c r="F23" s="46">
        <f>3173+0.001</f>
        <v>3173.0010000000002</v>
      </c>
      <c r="G23" s="46"/>
      <c r="H23" s="46"/>
      <c r="I23" s="47"/>
      <c r="J23" s="175"/>
      <c r="K23" s="178"/>
      <c r="L23" s="47"/>
      <c r="M23" s="48"/>
      <c r="O23" s="69"/>
      <c r="R23" s="69"/>
      <c r="S23" s="69"/>
      <c r="T23" s="69"/>
    </row>
    <row r="24" spans="1:20" x14ac:dyDescent="0.2">
      <c r="A24" s="80" t="s">
        <v>65</v>
      </c>
      <c r="B24" s="94" t="s">
        <v>30</v>
      </c>
      <c r="C24" s="45">
        <f>SUM(D24:M24)</f>
        <v>21.988</v>
      </c>
      <c r="D24" s="46">
        <f>5+10.9+2.5</f>
        <v>18.399999999999999</v>
      </c>
      <c r="E24" s="46">
        <f>0.975+2.124+0.488</f>
        <v>3.5870000000000002</v>
      </c>
      <c r="F24" s="46">
        <v>1E-3</v>
      </c>
      <c r="G24" s="46"/>
      <c r="H24" s="46"/>
      <c r="I24" s="47"/>
      <c r="J24" s="175"/>
      <c r="K24" s="178"/>
      <c r="L24" s="47"/>
      <c r="M24" s="48"/>
      <c r="O24" s="69"/>
      <c r="R24" s="69"/>
      <c r="S24" s="69"/>
      <c r="T24" s="69"/>
    </row>
    <row r="25" spans="1:20" x14ac:dyDescent="0.2">
      <c r="A25" s="80" t="s">
        <v>66</v>
      </c>
      <c r="B25" s="94" t="s">
        <v>32</v>
      </c>
      <c r="C25" s="45">
        <f t="shared" si="1"/>
        <v>102.75</v>
      </c>
      <c r="D25" s="46">
        <f>2.3-347</f>
        <v>-344.7</v>
      </c>
      <c r="E25" s="46">
        <v>0.44900000000000001</v>
      </c>
      <c r="F25" s="46">
        <f>347+0.001</f>
        <v>347.00099999999998</v>
      </c>
      <c r="G25" s="46"/>
      <c r="H25" s="46"/>
      <c r="I25" s="47">
        <v>100</v>
      </c>
      <c r="J25" s="175"/>
      <c r="K25" s="178"/>
      <c r="L25" s="47"/>
      <c r="M25" s="48"/>
      <c r="O25" s="69"/>
      <c r="R25" s="69"/>
      <c r="S25" s="69"/>
      <c r="T25" s="69"/>
    </row>
    <row r="26" spans="1:20" x14ac:dyDescent="0.2">
      <c r="A26" s="80" t="s">
        <v>67</v>
      </c>
      <c r="B26" s="94" t="s">
        <v>34</v>
      </c>
      <c r="C26" s="45">
        <f>SUM(D26:M26)</f>
        <v>1.0010000000002037</v>
      </c>
      <c r="D26" s="46">
        <v>-6657</v>
      </c>
      <c r="E26" s="46">
        <v>-1298</v>
      </c>
      <c r="F26" s="46">
        <f>7955+1+0.001</f>
        <v>7956.0010000000002</v>
      </c>
      <c r="G26" s="46"/>
      <c r="H26" s="46"/>
      <c r="I26" s="47"/>
      <c r="J26" s="175"/>
      <c r="K26" s="178"/>
      <c r="L26" s="47"/>
      <c r="M26" s="48"/>
      <c r="O26" s="69"/>
      <c r="R26" s="69"/>
      <c r="S26" s="69"/>
      <c r="T26" s="69"/>
    </row>
    <row r="27" spans="1:20" x14ac:dyDescent="0.2">
      <c r="A27" s="80" t="s">
        <v>68</v>
      </c>
      <c r="B27" s="94" t="s">
        <v>35</v>
      </c>
      <c r="C27" s="45">
        <f>SUM(D27:M27)</f>
        <v>6.9320000000006985</v>
      </c>
      <c r="D27" s="46">
        <f>4.9+0.6-11959+0.3</f>
        <v>-11953.2</v>
      </c>
      <c r="E27" s="46">
        <f>0.955+0.116-2332+0.059</f>
        <v>-2330.87</v>
      </c>
      <c r="F27" s="46">
        <f>14291+0.001+0.001</f>
        <v>14291.002</v>
      </c>
      <c r="G27" s="46"/>
      <c r="H27" s="46"/>
      <c r="I27" s="47"/>
      <c r="J27" s="175"/>
      <c r="K27" s="178"/>
      <c r="L27" s="47"/>
      <c r="M27" s="48"/>
      <c r="O27" s="69"/>
      <c r="R27" s="69"/>
      <c r="S27" s="69"/>
      <c r="T27" s="69"/>
    </row>
    <row r="28" spans="1:20" x14ac:dyDescent="0.2">
      <c r="A28" s="80" t="s">
        <v>69</v>
      </c>
      <c r="B28" s="94" t="s">
        <v>36</v>
      </c>
      <c r="C28" s="45">
        <f>SUM(D28:M28)</f>
        <v>1.0000000002037268E-3</v>
      </c>
      <c r="D28" s="46">
        <v>-3416</v>
      </c>
      <c r="E28" s="46">
        <v>-662</v>
      </c>
      <c r="F28" s="46">
        <f>4078+0.001</f>
        <v>4078.0010000000002</v>
      </c>
      <c r="G28" s="46"/>
      <c r="H28" s="46"/>
      <c r="I28" s="47"/>
      <c r="J28" s="175"/>
      <c r="K28" s="178"/>
      <c r="L28" s="47"/>
      <c r="M28" s="48"/>
      <c r="O28" s="69"/>
      <c r="R28" s="161"/>
      <c r="S28" s="69"/>
      <c r="T28" s="69"/>
    </row>
    <row r="29" spans="1:20" x14ac:dyDescent="0.2">
      <c r="A29" s="80" t="s">
        <v>70</v>
      </c>
      <c r="B29" s="94" t="s">
        <v>37</v>
      </c>
      <c r="C29" s="45">
        <f t="shared" si="1"/>
        <v>13.624000000000024</v>
      </c>
      <c r="D29" s="46">
        <f>6.6+3.2-231+1.6</f>
        <v>-219.6</v>
      </c>
      <c r="E29" s="46">
        <f>1.287+0.624+0.312</f>
        <v>2.2229999999999999</v>
      </c>
      <c r="F29" s="46">
        <f>231+0.001</f>
        <v>231.001</v>
      </c>
      <c r="G29" s="46"/>
      <c r="H29" s="46"/>
      <c r="I29" s="47"/>
      <c r="J29" s="175"/>
      <c r="K29" s="178"/>
      <c r="L29" s="47"/>
      <c r="M29" s="48"/>
      <c r="O29" s="69"/>
      <c r="R29" s="69"/>
      <c r="S29" s="69"/>
      <c r="T29" s="69"/>
    </row>
    <row r="30" spans="1:20" x14ac:dyDescent="0.2">
      <c r="A30" s="80" t="s">
        <v>71</v>
      </c>
      <c r="B30" s="94" t="s">
        <v>38</v>
      </c>
      <c r="C30" s="45">
        <f t="shared" si="1"/>
        <v>42.468999999999824</v>
      </c>
      <c r="D30" s="46">
        <f>-925+13.8+14+6.9</f>
        <v>-890.30000000000007</v>
      </c>
      <c r="E30" s="46">
        <f>-180+2.692+2.73+1.346</f>
        <v>-173.232</v>
      </c>
      <c r="F30" s="46">
        <f>1105+0.001+1</f>
        <v>1106.001</v>
      </c>
      <c r="G30" s="46"/>
      <c r="H30" s="46"/>
      <c r="I30" s="47"/>
      <c r="J30" s="175"/>
      <c r="K30" s="178"/>
      <c r="L30" s="47"/>
      <c r="M30" s="48"/>
      <c r="O30" s="69"/>
      <c r="R30" s="69"/>
      <c r="S30" s="69"/>
      <c r="T30" s="69"/>
    </row>
    <row r="31" spans="1:20" x14ac:dyDescent="0.2">
      <c r="A31" s="80" t="s">
        <v>74</v>
      </c>
      <c r="B31" s="94" t="s">
        <v>39</v>
      </c>
      <c r="C31" s="45">
        <f t="shared" si="1"/>
        <v>973.00200000000041</v>
      </c>
      <c r="D31" s="46">
        <v>-6027</v>
      </c>
      <c r="E31" s="46">
        <v>-1094</v>
      </c>
      <c r="F31" s="46">
        <f>973+7121+0.001+0.001</f>
        <v>8094.0020000000004</v>
      </c>
      <c r="G31" s="46"/>
      <c r="H31" s="46"/>
      <c r="I31" s="47"/>
      <c r="J31" s="175"/>
      <c r="K31" s="178"/>
      <c r="L31" s="47"/>
      <c r="M31" s="48"/>
      <c r="O31" s="69"/>
      <c r="R31" s="69"/>
      <c r="S31" s="69"/>
      <c r="T31" s="69"/>
    </row>
    <row r="32" spans="1:20" x14ac:dyDescent="0.2">
      <c r="A32" s="80" t="s">
        <v>72</v>
      </c>
      <c r="B32" s="94" t="s">
        <v>40</v>
      </c>
      <c r="C32" s="45">
        <f t="shared" si="1"/>
        <v>2.4350000000013097</v>
      </c>
      <c r="D32" s="46">
        <f>-1088-7200+1.2</f>
        <v>-8286.7999999999993</v>
      </c>
      <c r="E32" s="46">
        <f>-212-1404+0.234</f>
        <v>-1615.7660000000001</v>
      </c>
      <c r="F32" s="46">
        <f>9904+1+0.001</f>
        <v>9905.0010000000002</v>
      </c>
      <c r="G32" s="46"/>
      <c r="H32" s="46"/>
      <c r="I32" s="47"/>
      <c r="J32" s="175"/>
      <c r="K32" s="178"/>
      <c r="L32" s="47"/>
      <c r="M32" s="48"/>
      <c r="O32" s="69"/>
      <c r="R32" s="69"/>
      <c r="S32" s="69"/>
      <c r="T32" s="69"/>
    </row>
    <row r="33" spans="1:20" x14ac:dyDescent="0.2">
      <c r="A33" s="80" t="s">
        <v>73</v>
      </c>
      <c r="B33" s="94" t="s">
        <v>85</v>
      </c>
      <c r="C33" s="45">
        <f t="shared" si="1"/>
        <v>1E-3</v>
      </c>
      <c r="D33" s="46"/>
      <c r="E33" s="46"/>
      <c r="F33" s="46">
        <v>1E-3</v>
      </c>
      <c r="G33" s="46"/>
      <c r="H33" s="46"/>
      <c r="I33" s="47"/>
      <c r="J33" s="175"/>
      <c r="K33" s="178"/>
      <c r="L33" s="47"/>
      <c r="M33" s="48"/>
      <c r="O33" s="69"/>
      <c r="R33" s="161"/>
      <c r="S33" s="69"/>
      <c r="T33" s="69"/>
    </row>
    <row r="34" spans="1:20" x14ac:dyDescent="0.2">
      <c r="A34" s="80" t="s">
        <v>87</v>
      </c>
      <c r="B34" s="94" t="s">
        <v>88</v>
      </c>
      <c r="C34" s="45">
        <f t="shared" si="1"/>
        <v>1.0000000002037268E-3</v>
      </c>
      <c r="D34" s="46">
        <f>-5682-150</f>
        <v>-5832</v>
      </c>
      <c r="E34" s="46">
        <v>-1108</v>
      </c>
      <c r="F34" s="46">
        <f>6790+150+0.001</f>
        <v>6940.0010000000002</v>
      </c>
      <c r="G34" s="46"/>
      <c r="H34" s="46"/>
      <c r="I34" s="47"/>
      <c r="J34" s="175"/>
      <c r="K34" s="178"/>
      <c r="L34" s="47"/>
      <c r="M34" s="48"/>
      <c r="O34" s="69"/>
      <c r="R34" s="69"/>
      <c r="S34" s="69"/>
      <c r="T34" s="69"/>
    </row>
    <row r="35" spans="1:20" x14ac:dyDescent="0.2">
      <c r="A35" s="80"/>
      <c r="B35" s="122"/>
      <c r="C35" s="45"/>
      <c r="D35" s="46"/>
      <c r="E35" s="46"/>
      <c r="F35" s="46"/>
      <c r="G35" s="46"/>
      <c r="H35" s="46"/>
      <c r="I35" s="47"/>
      <c r="J35" s="175"/>
      <c r="K35" s="178"/>
      <c r="L35" s="47"/>
      <c r="M35" s="48"/>
      <c r="O35" s="69"/>
      <c r="R35" s="69"/>
      <c r="S35" s="69"/>
      <c r="T35" s="69"/>
    </row>
    <row r="36" spans="1:20" x14ac:dyDescent="0.2">
      <c r="A36" s="118" t="s">
        <v>29</v>
      </c>
      <c r="B36" s="120" t="s">
        <v>81</v>
      </c>
      <c r="C36" s="49">
        <f t="shared" ref="C36:M36" si="2">SUM(C23:C35)</f>
        <v>1564.9170000000031</v>
      </c>
      <c r="D36" s="55">
        <f t="shared" si="2"/>
        <v>-45898.087</v>
      </c>
      <c r="E36" s="56">
        <f>SUM(E23:E35)</f>
        <v>-8758.01</v>
      </c>
      <c r="F36" s="56">
        <f t="shared" si="2"/>
        <v>56121.013999999996</v>
      </c>
      <c r="G36" s="55">
        <f t="shared" si="2"/>
        <v>0</v>
      </c>
      <c r="H36" s="66">
        <f t="shared" si="2"/>
        <v>0</v>
      </c>
      <c r="I36" s="57">
        <f t="shared" si="2"/>
        <v>100</v>
      </c>
      <c r="J36" s="56">
        <f t="shared" si="2"/>
        <v>0</v>
      </c>
      <c r="K36" s="59">
        <f t="shared" si="2"/>
        <v>0</v>
      </c>
      <c r="L36" s="57">
        <f t="shared" si="2"/>
        <v>0</v>
      </c>
      <c r="M36" s="58">
        <f t="shared" si="2"/>
        <v>0</v>
      </c>
      <c r="N36" s="82"/>
      <c r="O36" s="69"/>
      <c r="R36" s="69"/>
      <c r="S36" s="69"/>
      <c r="T36" s="69"/>
    </row>
    <row r="37" spans="1:20" x14ac:dyDescent="0.2">
      <c r="A37" s="13"/>
      <c r="B37" s="14"/>
      <c r="C37" s="45"/>
      <c r="D37" s="46"/>
      <c r="E37" s="46"/>
      <c r="F37" s="46"/>
      <c r="G37" s="46"/>
      <c r="H37" s="46"/>
      <c r="I37" s="47"/>
      <c r="J37" s="46"/>
      <c r="K37" s="48"/>
      <c r="L37" s="47"/>
      <c r="M37" s="48"/>
      <c r="O37" s="69"/>
      <c r="R37" s="69"/>
      <c r="S37" s="69"/>
      <c r="T37" s="69"/>
    </row>
    <row r="38" spans="1:20" x14ac:dyDescent="0.2">
      <c r="A38" s="80" t="s">
        <v>64</v>
      </c>
      <c r="B38" s="94" t="s">
        <v>41</v>
      </c>
      <c r="C38" s="45">
        <f>SUM(D38:M38)</f>
        <v>3775.1729999999998</v>
      </c>
      <c r="D38" s="181">
        <f>50.4+105.2+726.457+1482.987+52.602-0.002+741.495</f>
        <v>3159.1389999999997</v>
      </c>
      <c r="E38" s="182">
        <f>9.827+20.514+141.659+289.182+10.257+0.002+144.592</f>
        <v>616.03300000000002</v>
      </c>
      <c r="F38" s="46">
        <f>560+40+0.001</f>
        <v>600.00099999999998</v>
      </c>
      <c r="G38" s="46"/>
      <c r="H38" s="46"/>
      <c r="I38" s="47">
        <f>-560-40</f>
        <v>-600</v>
      </c>
      <c r="J38" s="46"/>
      <c r="K38" s="48"/>
      <c r="L38" s="47"/>
      <c r="M38" s="48"/>
      <c r="O38" s="69"/>
      <c r="R38" s="69"/>
      <c r="S38" s="69"/>
      <c r="T38" s="69"/>
    </row>
    <row r="39" spans="1:20" x14ac:dyDescent="0.2">
      <c r="A39" s="80" t="s">
        <v>65</v>
      </c>
      <c r="B39" s="94" t="s">
        <v>42</v>
      </c>
      <c r="C39" s="45">
        <f>SUM(D39:M39)</f>
        <v>3994.0060000000003</v>
      </c>
      <c r="D39" s="181">
        <f>65.2+110.2+774.181+1488.412-1217+55.1+849.172</f>
        <v>2125.2649999999999</v>
      </c>
      <c r="E39" s="182">
        <f>12.714+21.488+150.965+290.24-237+10.744+165.589</f>
        <v>414.74</v>
      </c>
      <c r="F39" s="46">
        <f>1454+0.001</f>
        <v>1454.001</v>
      </c>
      <c r="G39" s="46"/>
      <c r="H39" s="46"/>
      <c r="I39" s="47"/>
      <c r="J39" s="46"/>
      <c r="K39" s="48"/>
      <c r="L39" s="47"/>
      <c r="M39" s="48"/>
      <c r="O39" s="69"/>
      <c r="R39" s="69"/>
      <c r="S39" s="161"/>
      <c r="T39" s="69"/>
    </row>
    <row r="40" spans="1:20" x14ac:dyDescent="0.2">
      <c r="A40" s="80" t="s">
        <v>66</v>
      </c>
      <c r="B40" s="94" t="s">
        <v>43</v>
      </c>
      <c r="C40" s="45">
        <f>SUM(D40:M40)</f>
        <v>4580.5450000000001</v>
      </c>
      <c r="D40" s="181">
        <f>910.655+1829.215+75.8+59.1+37.9+920.422</f>
        <v>3833.0920000000001</v>
      </c>
      <c r="E40" s="182">
        <f>11.523+14.781+177.578+356.697+7.391+179.482</f>
        <v>747.45199999999988</v>
      </c>
      <c r="F40" s="46">
        <v>1E-3</v>
      </c>
      <c r="G40" s="46"/>
      <c r="H40" s="46"/>
      <c r="I40" s="47"/>
      <c r="J40" s="46"/>
      <c r="K40" s="48"/>
      <c r="L40" s="47"/>
      <c r="M40" s="48"/>
      <c r="O40" s="69"/>
      <c r="R40" s="69"/>
      <c r="S40" s="69"/>
      <c r="T40" s="69"/>
    </row>
    <row r="41" spans="1:20" x14ac:dyDescent="0.2">
      <c r="A41" s="80" t="s">
        <v>67</v>
      </c>
      <c r="B41" s="94" t="s">
        <v>44</v>
      </c>
      <c r="C41" s="45">
        <f>SUM(D41:M41)</f>
        <v>2968.9070000000006</v>
      </c>
      <c r="D41" s="46">
        <f>55.8+46+669.466+1106.045+23.901-0.001+583.229</f>
        <v>2484.4400000000005</v>
      </c>
      <c r="E41" s="46">
        <f>10.882+8.967+130.546+215.679+4.661+0.001+113.73</f>
        <v>484.46599999999995</v>
      </c>
      <c r="F41" s="46">
        <v>1E-3</v>
      </c>
      <c r="G41" s="46"/>
      <c r="H41" s="46"/>
      <c r="I41" s="47"/>
      <c r="J41" s="46"/>
      <c r="K41" s="48"/>
      <c r="L41" s="47"/>
      <c r="M41" s="48"/>
      <c r="O41" s="69"/>
      <c r="R41" s="161"/>
      <c r="S41" s="69"/>
      <c r="T41" s="69"/>
    </row>
    <row r="42" spans="1:20" x14ac:dyDescent="0.2">
      <c r="A42" s="80" t="s">
        <v>68</v>
      </c>
      <c r="B42" s="94" t="s">
        <v>91</v>
      </c>
      <c r="C42" s="45">
        <f>SUM(D42:M42)</f>
        <v>24057.914999999997</v>
      </c>
      <c r="D42" s="46">
        <f>244.59+48+86.7+148+381.505+2688.832+5442.8+186.1+2834.213+((7089))</f>
        <v>19149.739999999998</v>
      </c>
      <c r="E42" s="46">
        <f>34.892+8.496+28.86+16.905+74.393+524.322+1061.346+36.289+552.671+((1141))</f>
        <v>3479.174</v>
      </c>
      <c r="F42" s="46">
        <f>0.001+((315))</f>
        <v>315.00099999999998</v>
      </c>
      <c r="G42" s="46"/>
      <c r="H42" s="175"/>
      <c r="I42" s="47">
        <f>((1114))</f>
        <v>1114</v>
      </c>
      <c r="J42" s="46"/>
      <c r="K42" s="48"/>
      <c r="L42" s="47"/>
      <c r="M42" s="48"/>
      <c r="O42" s="69"/>
      <c r="R42" s="69"/>
      <c r="S42" s="69"/>
      <c r="T42" s="69"/>
    </row>
    <row r="43" spans="1:20" x14ac:dyDescent="0.2">
      <c r="A43" s="80"/>
      <c r="B43" s="14"/>
      <c r="C43" s="45"/>
      <c r="D43" s="46"/>
      <c r="E43" s="46"/>
      <c r="F43" s="46"/>
      <c r="G43" s="46"/>
      <c r="H43" s="46"/>
      <c r="I43" s="47"/>
      <c r="J43" s="46"/>
      <c r="K43" s="48"/>
      <c r="L43" s="47"/>
      <c r="M43" s="48"/>
      <c r="O43" s="69"/>
      <c r="R43" s="69"/>
      <c r="S43" s="69"/>
      <c r="T43" s="69"/>
    </row>
    <row r="44" spans="1:20" x14ac:dyDescent="0.2">
      <c r="A44" s="118" t="s">
        <v>31</v>
      </c>
      <c r="B44" s="89" t="s">
        <v>82</v>
      </c>
      <c r="C44" s="49">
        <f>SUM(C38:C43)</f>
        <v>39376.546000000002</v>
      </c>
      <c r="D44" s="55">
        <f t="shared" ref="D44:M44" si="3">SUM(D38:D43)</f>
        <v>30751.675999999999</v>
      </c>
      <c r="E44" s="56">
        <f t="shared" si="3"/>
        <v>5741.8649999999998</v>
      </c>
      <c r="F44" s="55">
        <f t="shared" si="3"/>
        <v>2369.0050000000001</v>
      </c>
      <c r="G44" s="56">
        <f t="shared" si="3"/>
        <v>0</v>
      </c>
      <c r="H44" s="66">
        <f t="shared" si="3"/>
        <v>0</v>
      </c>
      <c r="I44" s="57">
        <f t="shared" si="3"/>
        <v>514</v>
      </c>
      <c r="J44" s="56">
        <f t="shared" si="3"/>
        <v>0</v>
      </c>
      <c r="K44" s="58">
        <f t="shared" si="3"/>
        <v>0</v>
      </c>
      <c r="L44" s="57">
        <f t="shared" si="3"/>
        <v>0</v>
      </c>
      <c r="M44" s="58">
        <f t="shared" si="3"/>
        <v>0</v>
      </c>
      <c r="O44" s="69"/>
      <c r="R44" s="69"/>
      <c r="S44" s="69"/>
      <c r="T44" s="69"/>
    </row>
    <row r="45" spans="1:20" x14ac:dyDescent="0.2">
      <c r="A45" s="92"/>
      <c r="B45" s="90"/>
      <c r="C45" s="60"/>
      <c r="D45" s="61"/>
      <c r="E45" s="61"/>
      <c r="F45" s="61"/>
      <c r="G45" s="61"/>
      <c r="H45" s="61"/>
      <c r="I45" s="62"/>
      <c r="J45" s="61"/>
      <c r="K45" s="63"/>
      <c r="L45" s="62"/>
      <c r="M45" s="63"/>
      <c r="O45" s="69"/>
      <c r="R45" s="69"/>
      <c r="S45" s="69"/>
      <c r="T45" s="69"/>
    </row>
    <row r="46" spans="1:20" x14ac:dyDescent="0.2">
      <c r="A46" s="41" t="s">
        <v>33</v>
      </c>
      <c r="B46" s="97" t="s">
        <v>45</v>
      </c>
      <c r="C46" s="64">
        <f>SUM(D46:M46)</f>
        <v>39366.945</v>
      </c>
      <c r="D46" s="137">
        <f>3.6+59.2+40.7+4.9+31.3</f>
        <v>139.70000000000002</v>
      </c>
      <c r="E46" s="183">
        <f>0.703+11.544+0.956+7.936+6.104</f>
        <v>27.242999999999999</v>
      </c>
      <c r="F46" s="183">
        <f>3500+10200-7+15950+0.001+0.001</f>
        <v>29643.002</v>
      </c>
      <c r="G46" s="65"/>
      <c r="H46" s="65"/>
      <c r="I46" s="184">
        <v>2350</v>
      </c>
      <c r="J46" s="65">
        <f>1200+6000+7</f>
        <v>7207</v>
      </c>
      <c r="K46" s="58"/>
      <c r="L46" s="57"/>
      <c r="M46" s="58"/>
      <c r="O46" s="69"/>
      <c r="R46" s="161"/>
      <c r="S46" s="161"/>
      <c r="T46" s="69"/>
    </row>
    <row r="47" spans="1:20" ht="13.5" thickBot="1" x14ac:dyDescent="0.25">
      <c r="A47" s="13"/>
      <c r="B47" s="98"/>
      <c r="C47" s="45"/>
      <c r="D47" s="46"/>
      <c r="E47" s="46"/>
      <c r="F47" s="46"/>
      <c r="G47" s="46"/>
      <c r="H47" s="46"/>
      <c r="I47" s="47"/>
      <c r="J47" s="46"/>
      <c r="K47" s="48"/>
      <c r="L47" s="47"/>
      <c r="M47" s="48"/>
      <c r="O47" s="69"/>
      <c r="R47" s="69"/>
      <c r="S47" s="69"/>
      <c r="T47" s="69"/>
    </row>
    <row r="48" spans="1:20" ht="22.5" thickBot="1" x14ac:dyDescent="0.25">
      <c r="A48" s="132" t="s">
        <v>75</v>
      </c>
      <c r="B48" s="123" t="s">
        <v>79</v>
      </c>
      <c r="C48" s="76">
        <f>C21+C36+C44+C46</f>
        <v>85109.657000000007</v>
      </c>
      <c r="D48" s="77">
        <f>D21+D36+D44+D46</f>
        <v>-10989.766</v>
      </c>
      <c r="E48" s="105">
        <f>E21+E36+E44+E46</f>
        <v>-2205.5990000000006</v>
      </c>
      <c r="F48" s="105">
        <f t="shared" ref="F48:M48" si="4">F21+F36+F44+F46</f>
        <v>88134.021999999997</v>
      </c>
      <c r="G48" s="105">
        <f t="shared" si="4"/>
        <v>0</v>
      </c>
      <c r="H48" s="105">
        <f t="shared" si="4"/>
        <v>0</v>
      </c>
      <c r="I48" s="78">
        <f t="shared" si="4"/>
        <v>2964</v>
      </c>
      <c r="J48" s="105">
        <f t="shared" si="4"/>
        <v>7207</v>
      </c>
      <c r="K48" s="79">
        <f t="shared" si="4"/>
        <v>0</v>
      </c>
      <c r="L48" s="78">
        <f t="shared" si="4"/>
        <v>0</v>
      </c>
      <c r="M48" s="79">
        <f t="shared" si="4"/>
        <v>0</v>
      </c>
      <c r="O48" s="69"/>
      <c r="R48" s="69"/>
      <c r="S48" s="69"/>
      <c r="T48" s="69"/>
    </row>
    <row r="49" spans="1:20" x14ac:dyDescent="0.2">
      <c r="A49" s="32"/>
      <c r="B49" s="107"/>
      <c r="C49" s="127"/>
      <c r="D49" s="155"/>
      <c r="E49" s="155"/>
      <c r="F49" s="155"/>
      <c r="G49" s="155"/>
      <c r="H49" s="155"/>
      <c r="I49" s="156"/>
      <c r="J49" s="155"/>
      <c r="K49" s="157"/>
      <c r="L49" s="156"/>
      <c r="M49" s="157"/>
      <c r="O49" s="69"/>
      <c r="R49" s="69"/>
      <c r="S49" s="69"/>
      <c r="T49" s="69"/>
    </row>
    <row r="50" spans="1:20" x14ac:dyDescent="0.2">
      <c r="A50" s="119" t="s">
        <v>76</v>
      </c>
      <c r="B50" s="124" t="s">
        <v>77</v>
      </c>
      <c r="C50" s="64">
        <f>SUM(D50:M50)</f>
        <v>0</v>
      </c>
      <c r="D50" s="158"/>
      <c r="E50" s="159"/>
      <c r="F50" s="160">
        <v>-633.673</v>
      </c>
      <c r="G50" s="159"/>
      <c r="H50" s="144"/>
      <c r="I50" s="145">
        <v>633.673</v>
      </c>
      <c r="J50" s="129"/>
      <c r="K50" s="144"/>
      <c r="L50" s="145"/>
      <c r="M50" s="144"/>
      <c r="O50" s="69"/>
      <c r="R50" s="69"/>
      <c r="S50" s="69"/>
      <c r="T50" s="69"/>
    </row>
    <row r="51" spans="1:20" ht="13.5" thickBot="1" x14ac:dyDescent="0.25">
      <c r="A51" s="29"/>
      <c r="B51" s="125"/>
      <c r="C51" s="45"/>
      <c r="D51" s="46"/>
      <c r="E51" s="46"/>
      <c r="F51" s="46"/>
      <c r="G51" s="46"/>
      <c r="H51" s="46"/>
      <c r="I51" s="47"/>
      <c r="J51" s="46"/>
      <c r="K51" s="48"/>
      <c r="L51" s="47"/>
      <c r="M51" s="48"/>
      <c r="O51" s="69"/>
      <c r="R51" s="69"/>
      <c r="S51" s="69"/>
      <c r="T51" s="69"/>
    </row>
    <row r="52" spans="1:20" ht="13.5" thickBot="1" x14ac:dyDescent="0.25">
      <c r="A52" s="115" t="s">
        <v>78</v>
      </c>
      <c r="B52" s="126" t="s">
        <v>84</v>
      </c>
      <c r="C52" s="147">
        <f>C48+C50</f>
        <v>85109.657000000007</v>
      </c>
      <c r="D52" s="163">
        <f>D48+D50</f>
        <v>-10989.766</v>
      </c>
      <c r="E52" s="164">
        <f>E48+E50</f>
        <v>-2205.5990000000006</v>
      </c>
      <c r="F52" s="164">
        <f t="shared" ref="F52:H52" si="5">F48+F50</f>
        <v>87500.349000000002</v>
      </c>
      <c r="G52" s="148">
        <f t="shared" si="5"/>
        <v>0</v>
      </c>
      <c r="H52" s="148">
        <f t="shared" si="5"/>
        <v>0</v>
      </c>
      <c r="I52" s="149">
        <f>I48+I50</f>
        <v>3597.6729999999998</v>
      </c>
      <c r="J52" s="148">
        <f t="shared" ref="J52:K52" si="6">J48+J50</f>
        <v>7207</v>
      </c>
      <c r="K52" s="150">
        <f t="shared" si="6"/>
        <v>0</v>
      </c>
      <c r="L52" s="149">
        <f>L48+L50</f>
        <v>0</v>
      </c>
      <c r="M52" s="150">
        <f>M48+M50</f>
        <v>0</v>
      </c>
      <c r="O52" s="69"/>
      <c r="R52" s="69"/>
      <c r="S52" s="69"/>
      <c r="T52" s="69"/>
    </row>
    <row r="53" spans="1:20" x14ac:dyDescent="0.2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2"/>
      <c r="O53" s="2"/>
    </row>
    <row r="54" spans="1:20" x14ac:dyDescent="0.2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2"/>
      <c r="O54" s="2"/>
    </row>
    <row r="55" spans="1:20" x14ac:dyDescent="0.2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2"/>
      <c r="O55" s="2"/>
    </row>
    <row r="56" spans="1:20" x14ac:dyDescent="0.2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2"/>
      <c r="O56" s="2"/>
    </row>
    <row r="57" spans="1:20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20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20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20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20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20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20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20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3:15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3:15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3:15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3:15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3:15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3:15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3:15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3:15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3:15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3:15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3:15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3:15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3:15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3:15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3:15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3:15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3:15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3:15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3:15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3:15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3:15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3:15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3:15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3:15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3:15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3:15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3:15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3:15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</sheetData>
  <mergeCells count="6">
    <mergeCell ref="L1:M1"/>
    <mergeCell ref="A4:M4"/>
    <mergeCell ref="D9:K9"/>
    <mergeCell ref="D10:H10"/>
    <mergeCell ref="I10:K10"/>
    <mergeCell ref="A6:M6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110" zoomScaleNormal="110" workbookViewId="0">
      <pane xSplit="2" ySplit="16" topLeftCell="C41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E58" sqref="E58"/>
    </sheetView>
  </sheetViews>
  <sheetFormatPr defaultRowHeight="12.75" x14ac:dyDescent="0.2"/>
  <cols>
    <col min="1" max="1" width="3.85546875" style="1" customWidth="1"/>
    <col min="2" max="2" width="30.7109375" style="1" customWidth="1"/>
    <col min="3" max="3" width="10.7109375" style="1" customWidth="1"/>
    <col min="4" max="4" width="11" style="1" customWidth="1"/>
    <col min="5" max="6" width="10.7109375" style="1" customWidth="1"/>
    <col min="7" max="7" width="10.85546875" style="1" customWidth="1"/>
    <col min="8" max="15" width="10.7109375" style="1" customWidth="1"/>
    <col min="16" max="17" width="7.7109375" style="1" customWidth="1"/>
    <col min="18" max="16384" width="9.140625" style="1"/>
  </cols>
  <sheetData>
    <row r="1" spans="1:16" x14ac:dyDescent="0.2">
      <c r="M1" s="2"/>
      <c r="N1" s="185" t="s">
        <v>94</v>
      </c>
      <c r="O1" s="185"/>
    </row>
    <row r="2" spans="1:16" x14ac:dyDescent="0.2">
      <c r="M2" s="2"/>
      <c r="N2" s="2"/>
      <c r="O2" s="3"/>
    </row>
    <row r="3" spans="1:16" x14ac:dyDescent="0.2">
      <c r="M3" s="2"/>
      <c r="N3" s="2"/>
      <c r="O3" s="3"/>
    </row>
    <row r="4" spans="1:16" x14ac:dyDescent="0.2">
      <c r="A4" s="186" t="s">
        <v>90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6" hidden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x14ac:dyDescent="0.2">
      <c r="A6" s="4"/>
      <c r="B6" s="186" t="s">
        <v>92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5"/>
      <c r="P6" s="6"/>
    </row>
    <row r="7" spans="1:16" x14ac:dyDescent="0.2">
      <c r="A7" s="4"/>
      <c r="B7" s="5"/>
      <c r="C7" s="5"/>
      <c r="D7" s="5"/>
      <c r="E7" s="5"/>
      <c r="F7" s="5"/>
      <c r="G7" s="5"/>
      <c r="H7" s="85"/>
      <c r="I7" s="5"/>
      <c r="J7" s="5"/>
      <c r="K7" s="5"/>
      <c r="L7" s="5"/>
      <c r="M7" s="5"/>
      <c r="N7" s="5"/>
      <c r="O7" s="7"/>
      <c r="P7" s="6"/>
    </row>
    <row r="8" spans="1:16" ht="13.5" thickBo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 t="s">
        <v>0</v>
      </c>
      <c r="P8" s="70"/>
    </row>
    <row r="9" spans="1:16" ht="13.5" thickBot="1" x14ac:dyDescent="0.25">
      <c r="A9" s="9"/>
      <c r="B9" s="10"/>
      <c r="C9" s="10"/>
      <c r="D9" s="192" t="s">
        <v>1</v>
      </c>
      <c r="E9" s="192"/>
      <c r="F9" s="192"/>
      <c r="G9" s="187"/>
      <c r="H9" s="187"/>
      <c r="I9" s="187"/>
      <c r="J9" s="192"/>
      <c r="K9" s="192"/>
      <c r="L9" s="192"/>
      <c r="M9" s="192"/>
      <c r="N9" s="193" t="s">
        <v>2</v>
      </c>
      <c r="O9" s="188"/>
      <c r="P9" s="67"/>
    </row>
    <row r="10" spans="1:16" ht="13.5" thickBot="1" x14ac:dyDescent="0.25">
      <c r="A10" s="13"/>
      <c r="B10" s="99"/>
      <c r="C10" s="99"/>
      <c r="D10" s="194" t="s">
        <v>61</v>
      </c>
      <c r="E10" s="195"/>
      <c r="F10" s="195"/>
      <c r="G10" s="195"/>
      <c r="H10" s="195"/>
      <c r="I10" s="196"/>
      <c r="J10" s="194" t="s">
        <v>56</v>
      </c>
      <c r="K10" s="195"/>
      <c r="L10" s="195"/>
      <c r="M10" s="195"/>
      <c r="N10" s="133"/>
      <c r="O10" s="100"/>
      <c r="P10" s="67"/>
    </row>
    <row r="11" spans="1:16" ht="12.75" customHeight="1" x14ac:dyDescent="0.2">
      <c r="A11" s="71"/>
      <c r="B11" s="17" t="s">
        <v>60</v>
      </c>
      <c r="C11" s="17" t="s">
        <v>3</v>
      </c>
      <c r="D11" s="67"/>
      <c r="E11" s="30"/>
      <c r="F11" s="86"/>
      <c r="G11" s="9"/>
      <c r="H11" s="106"/>
      <c r="I11" s="135"/>
      <c r="J11" s="134"/>
      <c r="K11" s="101"/>
      <c r="L11" s="134"/>
      <c r="M11" s="101"/>
      <c r="N11" s="22" t="s">
        <v>10</v>
      </c>
      <c r="O11" s="23" t="s">
        <v>13</v>
      </c>
      <c r="P11" s="67"/>
    </row>
    <row r="12" spans="1:16" x14ac:dyDescent="0.2">
      <c r="A12" s="71"/>
      <c r="B12" s="17" t="s">
        <v>20</v>
      </c>
      <c r="C12" s="17" t="s">
        <v>46</v>
      </c>
      <c r="D12" s="84" t="s">
        <v>10</v>
      </c>
      <c r="E12" s="83" t="s">
        <v>10</v>
      </c>
      <c r="F12" s="83" t="s">
        <v>10</v>
      </c>
      <c r="G12" s="22" t="s">
        <v>13</v>
      </c>
      <c r="H12" s="83" t="s">
        <v>49</v>
      </c>
      <c r="I12" s="23" t="s">
        <v>13</v>
      </c>
      <c r="J12" s="87" t="s">
        <v>10</v>
      </c>
      <c r="K12" s="102" t="s">
        <v>10</v>
      </c>
      <c r="L12" s="87" t="s">
        <v>13</v>
      </c>
      <c r="M12" s="102" t="s">
        <v>13</v>
      </c>
      <c r="N12" s="22" t="s">
        <v>17</v>
      </c>
      <c r="O12" s="23" t="s">
        <v>17</v>
      </c>
      <c r="P12" s="67"/>
    </row>
    <row r="13" spans="1:16" x14ac:dyDescent="0.2">
      <c r="A13" s="72"/>
      <c r="B13" s="17"/>
      <c r="C13" s="17" t="s">
        <v>14</v>
      </c>
      <c r="D13" s="84" t="s">
        <v>46</v>
      </c>
      <c r="E13" s="83" t="s">
        <v>46</v>
      </c>
      <c r="F13" s="83" t="s">
        <v>17</v>
      </c>
      <c r="G13" s="22" t="s">
        <v>46</v>
      </c>
      <c r="H13" s="83" t="s">
        <v>46</v>
      </c>
      <c r="I13" s="23" t="s">
        <v>17</v>
      </c>
      <c r="J13" s="87" t="s">
        <v>57</v>
      </c>
      <c r="K13" s="102" t="s">
        <v>59</v>
      </c>
      <c r="L13" s="87" t="s">
        <v>57</v>
      </c>
      <c r="M13" s="102" t="s">
        <v>59</v>
      </c>
      <c r="N13" s="22"/>
      <c r="O13" s="23"/>
      <c r="P13" s="67"/>
    </row>
    <row r="14" spans="1:16" x14ac:dyDescent="0.2">
      <c r="A14" s="27" t="s">
        <v>19</v>
      </c>
      <c r="B14" s="17"/>
      <c r="C14" s="31"/>
      <c r="D14" s="24" t="s">
        <v>50</v>
      </c>
      <c r="E14" s="83"/>
      <c r="F14" s="83" t="s">
        <v>54</v>
      </c>
      <c r="G14" s="80" t="s">
        <v>50</v>
      </c>
      <c r="H14" s="83"/>
      <c r="I14" s="23" t="s">
        <v>54</v>
      </c>
      <c r="J14" s="87" t="s">
        <v>55</v>
      </c>
      <c r="K14" s="102" t="s">
        <v>48</v>
      </c>
      <c r="L14" s="87" t="s">
        <v>55</v>
      </c>
      <c r="M14" s="102" t="s">
        <v>48</v>
      </c>
      <c r="N14" s="22"/>
      <c r="O14" s="23"/>
      <c r="P14" s="67"/>
    </row>
    <row r="15" spans="1:16" x14ac:dyDescent="0.2">
      <c r="A15" s="27"/>
      <c r="B15" s="17"/>
      <c r="C15" s="31"/>
      <c r="D15" s="24" t="s">
        <v>52</v>
      </c>
      <c r="E15" s="83"/>
      <c r="F15" s="83" t="s">
        <v>23</v>
      </c>
      <c r="G15" s="80" t="s">
        <v>52</v>
      </c>
      <c r="H15" s="83"/>
      <c r="I15" s="23" t="s">
        <v>23</v>
      </c>
      <c r="J15" s="87" t="s">
        <v>58</v>
      </c>
      <c r="K15" s="23"/>
      <c r="L15" s="87" t="s">
        <v>58</v>
      </c>
      <c r="M15" s="23"/>
      <c r="N15" s="22"/>
      <c r="O15" s="23"/>
      <c r="P15" s="67"/>
    </row>
    <row r="16" spans="1:16" x14ac:dyDescent="0.2">
      <c r="A16" s="26"/>
      <c r="B16" s="93"/>
      <c r="C16" s="31"/>
      <c r="D16" s="91"/>
      <c r="E16" s="83"/>
      <c r="F16" s="83"/>
      <c r="G16" s="73"/>
      <c r="H16" s="83"/>
      <c r="I16" s="23"/>
      <c r="J16" s="88"/>
      <c r="K16" s="23"/>
      <c r="L16" s="88"/>
      <c r="M16" s="81"/>
      <c r="N16" s="13"/>
      <c r="O16" s="34"/>
      <c r="P16" s="67"/>
    </row>
    <row r="17" spans="1:18" x14ac:dyDescent="0.2">
      <c r="A17" s="41">
        <v>1</v>
      </c>
      <c r="B17" s="36">
        <v>2</v>
      </c>
      <c r="C17" s="36">
        <v>3</v>
      </c>
      <c r="D17" s="37">
        <v>4</v>
      </c>
      <c r="E17" s="37">
        <v>5</v>
      </c>
      <c r="F17" s="39">
        <v>6</v>
      </c>
      <c r="G17" s="41">
        <v>7</v>
      </c>
      <c r="H17" s="39">
        <v>8</v>
      </c>
      <c r="I17" s="74">
        <v>9</v>
      </c>
      <c r="J17" s="41">
        <v>10</v>
      </c>
      <c r="K17" s="74">
        <v>11</v>
      </c>
      <c r="L17" s="41">
        <v>12</v>
      </c>
      <c r="M17" s="74">
        <v>13</v>
      </c>
      <c r="N17" s="41">
        <v>14</v>
      </c>
      <c r="O17" s="74">
        <v>15</v>
      </c>
      <c r="P17" s="67"/>
    </row>
    <row r="18" spans="1:18" x14ac:dyDescent="0.2">
      <c r="A18" s="80"/>
      <c r="B18" s="17"/>
      <c r="C18" s="43"/>
      <c r="D18" s="46"/>
      <c r="E18" s="168"/>
      <c r="F18" s="46"/>
      <c r="G18" s="47"/>
      <c r="H18" s="46"/>
      <c r="I18" s="48"/>
      <c r="J18" s="47"/>
      <c r="K18" s="48"/>
      <c r="L18" s="47"/>
      <c r="M18" s="48"/>
      <c r="N18" s="47"/>
      <c r="O18" s="48"/>
      <c r="P18" s="67"/>
    </row>
    <row r="19" spans="1:18" x14ac:dyDescent="0.2">
      <c r="A19" s="80" t="s">
        <v>64</v>
      </c>
      <c r="B19" s="94" t="s">
        <v>27</v>
      </c>
      <c r="C19" s="45">
        <f>SUM(D19:O19)</f>
        <v>4801.2489999999998</v>
      </c>
      <c r="D19" s="46"/>
      <c r="E19" s="169">
        <f>0.001+1</f>
        <v>1.0009999999999999</v>
      </c>
      <c r="F19" s="46"/>
      <c r="G19" s="47"/>
      <c r="H19" s="46"/>
      <c r="I19" s="48"/>
      <c r="J19" s="47"/>
      <c r="K19" s="48">
        <f>85.443+59.751+1124.669+2361.72+29.873+1138.792</f>
        <v>4800.2479999999996</v>
      </c>
      <c r="L19" s="47"/>
      <c r="M19" s="48"/>
      <c r="N19" s="47"/>
      <c r="O19" s="48"/>
      <c r="P19" s="75"/>
      <c r="R19" s="69"/>
    </row>
    <row r="20" spans="1:18" x14ac:dyDescent="0.2">
      <c r="A20" s="13"/>
      <c r="B20" s="95"/>
      <c r="C20" s="45"/>
      <c r="D20" s="46"/>
      <c r="E20" s="169"/>
      <c r="F20" s="46"/>
      <c r="G20" s="47"/>
      <c r="H20" s="46"/>
      <c r="I20" s="48"/>
      <c r="J20" s="47"/>
      <c r="K20" s="48"/>
      <c r="L20" s="47"/>
      <c r="M20" s="48"/>
      <c r="N20" s="47"/>
      <c r="O20" s="48"/>
      <c r="P20" s="75"/>
      <c r="R20" s="69"/>
    </row>
    <row r="21" spans="1:18" x14ac:dyDescent="0.2">
      <c r="A21" s="118" t="s">
        <v>26</v>
      </c>
      <c r="B21" s="120" t="s">
        <v>80</v>
      </c>
      <c r="C21" s="49">
        <f t="shared" ref="C21:O21" si="0">SUM(C19:C20)</f>
        <v>4801.2489999999998</v>
      </c>
      <c r="D21" s="55">
        <f t="shared" si="0"/>
        <v>0</v>
      </c>
      <c r="E21" s="56">
        <f t="shared" si="0"/>
        <v>1.0009999999999999</v>
      </c>
      <c r="F21" s="55">
        <f t="shared" si="0"/>
        <v>0</v>
      </c>
      <c r="G21" s="57">
        <f t="shared" si="0"/>
        <v>0</v>
      </c>
      <c r="H21" s="56">
        <f t="shared" si="0"/>
        <v>0</v>
      </c>
      <c r="I21" s="59">
        <f t="shared" si="0"/>
        <v>0</v>
      </c>
      <c r="J21" s="57">
        <f t="shared" si="0"/>
        <v>0</v>
      </c>
      <c r="K21" s="59">
        <f t="shared" si="0"/>
        <v>4800.2479999999996</v>
      </c>
      <c r="L21" s="57">
        <f t="shared" si="0"/>
        <v>0</v>
      </c>
      <c r="M21" s="58">
        <f t="shared" si="0"/>
        <v>0</v>
      </c>
      <c r="N21" s="57">
        <f t="shared" si="0"/>
        <v>0</v>
      </c>
      <c r="O21" s="58">
        <f t="shared" si="0"/>
        <v>0</v>
      </c>
      <c r="P21" s="75"/>
      <c r="R21" s="69"/>
    </row>
    <row r="22" spans="1:18" x14ac:dyDescent="0.2">
      <c r="A22" s="13"/>
      <c r="B22" s="96"/>
      <c r="C22" s="54"/>
      <c r="D22" s="46"/>
      <c r="E22" s="169"/>
      <c r="F22" s="46"/>
      <c r="G22" s="47"/>
      <c r="H22" s="46"/>
      <c r="I22" s="48"/>
      <c r="J22" s="47"/>
      <c r="K22" s="48"/>
      <c r="L22" s="47"/>
      <c r="M22" s="48"/>
      <c r="N22" s="47"/>
      <c r="O22" s="48"/>
      <c r="P22" s="75"/>
      <c r="R22" s="69"/>
    </row>
    <row r="23" spans="1:18" x14ac:dyDescent="0.2">
      <c r="A23" s="80" t="s">
        <v>64</v>
      </c>
      <c r="B23" s="94" t="s">
        <v>28</v>
      </c>
      <c r="C23" s="45">
        <f t="shared" ref="C23:C35" si="1">SUM(D23:O23)</f>
        <v>400.71299999999997</v>
      </c>
      <c r="D23" s="46">
        <v>400.71199999999999</v>
      </c>
      <c r="E23" s="169">
        <v>1E-3</v>
      </c>
      <c r="F23" s="175"/>
      <c r="G23" s="177"/>
      <c r="H23" s="175"/>
      <c r="I23" s="178"/>
      <c r="J23" s="177"/>
      <c r="K23" s="48"/>
      <c r="L23" s="47"/>
      <c r="M23" s="48"/>
      <c r="N23" s="47"/>
      <c r="O23" s="48"/>
      <c r="P23" s="75"/>
      <c r="R23" s="69"/>
    </row>
    <row r="24" spans="1:18" x14ac:dyDescent="0.2">
      <c r="A24" s="80" t="s">
        <v>65</v>
      </c>
      <c r="B24" s="94" t="s">
        <v>30</v>
      </c>
      <c r="C24" s="45">
        <f t="shared" si="1"/>
        <v>21.988</v>
      </c>
      <c r="D24" s="175"/>
      <c r="E24" s="169">
        <v>1E-3</v>
      </c>
      <c r="F24" s="175"/>
      <c r="G24" s="177"/>
      <c r="H24" s="175"/>
      <c r="I24" s="178"/>
      <c r="J24" s="177"/>
      <c r="K24" s="48">
        <f>5.975+13.024+2.988</f>
        <v>21.986999999999998</v>
      </c>
      <c r="L24" s="47"/>
      <c r="M24" s="48"/>
      <c r="N24" s="47"/>
      <c r="O24" s="48"/>
      <c r="P24" s="75"/>
      <c r="R24" s="69"/>
    </row>
    <row r="25" spans="1:18" x14ac:dyDescent="0.2">
      <c r="A25" s="80" t="s">
        <v>66</v>
      </c>
      <c r="B25" s="94" t="s">
        <v>32</v>
      </c>
      <c r="C25" s="45">
        <f t="shared" si="1"/>
        <v>102.75</v>
      </c>
      <c r="D25" s="175"/>
      <c r="E25" s="169">
        <v>1E-3</v>
      </c>
      <c r="F25" s="175"/>
      <c r="G25" s="177"/>
      <c r="H25" s="175"/>
      <c r="I25" s="178"/>
      <c r="J25" s="177"/>
      <c r="K25" s="48">
        <v>2.7490000000000001</v>
      </c>
      <c r="L25" s="47"/>
      <c r="M25" s="48">
        <v>100</v>
      </c>
      <c r="N25" s="47"/>
      <c r="O25" s="48"/>
      <c r="P25" s="75"/>
      <c r="R25" s="69"/>
    </row>
    <row r="26" spans="1:18" x14ac:dyDescent="0.2">
      <c r="A26" s="80" t="s">
        <v>67</v>
      </c>
      <c r="B26" s="94" t="s">
        <v>34</v>
      </c>
      <c r="C26" s="45">
        <f t="shared" si="1"/>
        <v>1.0009999999999999</v>
      </c>
      <c r="D26" s="175"/>
      <c r="E26" s="169">
        <f>1+0.001</f>
        <v>1.0009999999999999</v>
      </c>
      <c r="F26" s="175"/>
      <c r="G26" s="177"/>
      <c r="H26" s="175"/>
      <c r="I26" s="178"/>
      <c r="J26" s="177"/>
      <c r="K26" s="48"/>
      <c r="L26" s="47"/>
      <c r="M26" s="48"/>
      <c r="N26" s="47"/>
      <c r="O26" s="48"/>
      <c r="P26" s="75"/>
      <c r="R26" s="69"/>
    </row>
    <row r="27" spans="1:18" x14ac:dyDescent="0.2">
      <c r="A27" s="80" t="s">
        <v>68</v>
      </c>
      <c r="B27" s="94" t="s">
        <v>35</v>
      </c>
      <c r="C27" s="45">
        <f t="shared" si="1"/>
        <v>6.9320000000000004</v>
      </c>
      <c r="D27" s="175"/>
      <c r="E27" s="169">
        <f>0.001+0.001</f>
        <v>2E-3</v>
      </c>
      <c r="F27" s="175"/>
      <c r="G27" s="177"/>
      <c r="H27" s="175"/>
      <c r="I27" s="178"/>
      <c r="J27" s="177"/>
      <c r="K27" s="48">
        <f>0.716+5.855+0.359</f>
        <v>6.9300000000000006</v>
      </c>
      <c r="L27" s="47"/>
      <c r="M27" s="48"/>
      <c r="N27" s="47"/>
      <c r="O27" s="48"/>
      <c r="P27" s="75"/>
      <c r="R27" s="69"/>
    </row>
    <row r="28" spans="1:18" x14ac:dyDescent="0.2">
      <c r="A28" s="80" t="s">
        <v>69</v>
      </c>
      <c r="B28" s="94" t="s">
        <v>36</v>
      </c>
      <c r="C28" s="45">
        <f t="shared" si="1"/>
        <v>1E-3</v>
      </c>
      <c r="D28" s="175"/>
      <c r="E28" s="169">
        <v>1E-3</v>
      </c>
      <c r="F28" s="175"/>
      <c r="G28" s="177"/>
      <c r="H28" s="175"/>
      <c r="I28" s="178"/>
      <c r="J28" s="177"/>
      <c r="K28" s="48"/>
      <c r="L28" s="47"/>
      <c r="M28" s="48"/>
      <c r="N28" s="47"/>
      <c r="O28" s="48"/>
      <c r="P28" s="75"/>
      <c r="R28" s="69"/>
    </row>
    <row r="29" spans="1:18" x14ac:dyDescent="0.2">
      <c r="A29" s="80" t="s">
        <v>70</v>
      </c>
      <c r="B29" s="94" t="s">
        <v>37</v>
      </c>
      <c r="C29" s="45">
        <f t="shared" si="1"/>
        <v>13.623999999999997</v>
      </c>
      <c r="D29" s="175"/>
      <c r="E29" s="169">
        <v>1E-3</v>
      </c>
      <c r="F29" s="175"/>
      <c r="G29" s="177"/>
      <c r="H29" s="175"/>
      <c r="I29" s="178"/>
      <c r="J29" s="177"/>
      <c r="K29" s="48">
        <f>3.824+7.887+1.912</f>
        <v>13.622999999999998</v>
      </c>
      <c r="L29" s="47"/>
      <c r="M29" s="48"/>
      <c r="N29" s="47"/>
      <c r="O29" s="48"/>
      <c r="P29" s="75"/>
      <c r="R29" s="69"/>
    </row>
    <row r="30" spans="1:18" x14ac:dyDescent="0.2">
      <c r="A30" s="80" t="s">
        <v>71</v>
      </c>
      <c r="B30" s="94" t="s">
        <v>38</v>
      </c>
      <c r="C30" s="45">
        <f>SUM(D30:O30)</f>
        <v>42.469000000000001</v>
      </c>
      <c r="D30" s="175"/>
      <c r="E30" s="169">
        <f>0.001+1</f>
        <v>1.0009999999999999</v>
      </c>
      <c r="F30" s="175"/>
      <c r="G30" s="177"/>
      <c r="H30" s="175"/>
      <c r="I30" s="178"/>
      <c r="J30" s="177"/>
      <c r="K30" s="48">
        <f>16.73+16.492+8.246</f>
        <v>41.468000000000004</v>
      </c>
      <c r="L30" s="47"/>
      <c r="M30" s="48"/>
      <c r="N30" s="47"/>
      <c r="O30" s="48"/>
      <c r="P30" s="75"/>
      <c r="R30" s="69"/>
    </row>
    <row r="31" spans="1:18" x14ac:dyDescent="0.2">
      <c r="A31" s="80" t="s">
        <v>74</v>
      </c>
      <c r="B31" s="94" t="s">
        <v>39</v>
      </c>
      <c r="C31" s="45">
        <f t="shared" si="1"/>
        <v>973.00199999999995</v>
      </c>
      <c r="D31" s="175"/>
      <c r="E31" s="169">
        <f>0.001+0.001</f>
        <v>2E-3</v>
      </c>
      <c r="F31" s="175"/>
      <c r="G31" s="177"/>
      <c r="H31" s="175"/>
      <c r="I31" s="178"/>
      <c r="J31" s="177"/>
      <c r="K31" s="48">
        <v>973</v>
      </c>
      <c r="L31" s="47"/>
      <c r="M31" s="48"/>
      <c r="N31" s="47"/>
      <c r="O31" s="48"/>
      <c r="P31" s="75"/>
      <c r="R31" s="69"/>
    </row>
    <row r="32" spans="1:18" x14ac:dyDescent="0.2">
      <c r="A32" s="80" t="s">
        <v>72</v>
      </c>
      <c r="B32" s="94" t="s">
        <v>40</v>
      </c>
      <c r="C32" s="45">
        <f t="shared" si="1"/>
        <v>2.4349999999999996</v>
      </c>
      <c r="D32" s="175"/>
      <c r="E32" s="169">
        <f>1+0.001</f>
        <v>1.0009999999999999</v>
      </c>
      <c r="F32" s="175"/>
      <c r="G32" s="177"/>
      <c r="H32" s="175"/>
      <c r="I32" s="178"/>
      <c r="J32" s="177"/>
      <c r="K32" s="48">
        <v>1.4339999999999999</v>
      </c>
      <c r="L32" s="47"/>
      <c r="M32" s="48"/>
      <c r="N32" s="47"/>
      <c r="O32" s="48"/>
      <c r="P32" s="75"/>
      <c r="R32" s="69"/>
    </row>
    <row r="33" spans="1:20" x14ac:dyDescent="0.2">
      <c r="A33" s="80" t="s">
        <v>73</v>
      </c>
      <c r="B33" s="94" t="s">
        <v>85</v>
      </c>
      <c r="C33" s="45">
        <f t="shared" si="1"/>
        <v>1E-3</v>
      </c>
      <c r="D33" s="175"/>
      <c r="E33" s="169">
        <v>1E-3</v>
      </c>
      <c r="F33" s="175"/>
      <c r="G33" s="177"/>
      <c r="H33" s="175"/>
      <c r="I33" s="178"/>
      <c r="J33" s="177"/>
      <c r="K33" s="48"/>
      <c r="L33" s="47"/>
      <c r="M33" s="48"/>
      <c r="N33" s="47"/>
      <c r="O33" s="48"/>
      <c r="P33" s="75"/>
      <c r="R33" s="69"/>
    </row>
    <row r="34" spans="1:20" x14ac:dyDescent="0.2">
      <c r="A34" s="80" t="s">
        <v>87</v>
      </c>
      <c r="B34" s="94" t="s">
        <v>89</v>
      </c>
      <c r="C34" s="45">
        <f t="shared" si="1"/>
        <v>1E-3</v>
      </c>
      <c r="D34" s="175"/>
      <c r="E34" s="169">
        <v>1E-3</v>
      </c>
      <c r="F34" s="175"/>
      <c r="G34" s="177"/>
      <c r="H34" s="175"/>
      <c r="I34" s="178"/>
      <c r="J34" s="177"/>
      <c r="K34" s="48"/>
      <c r="L34" s="47"/>
      <c r="M34" s="48"/>
      <c r="N34" s="47"/>
      <c r="O34" s="48"/>
      <c r="P34" s="75"/>
      <c r="R34" s="69"/>
    </row>
    <row r="35" spans="1:20" x14ac:dyDescent="0.2">
      <c r="A35" s="80"/>
      <c r="B35" s="14"/>
      <c r="C35" s="45">
        <f t="shared" si="1"/>
        <v>0</v>
      </c>
      <c r="D35" s="175"/>
      <c r="E35" s="176"/>
      <c r="F35" s="175"/>
      <c r="G35" s="177"/>
      <c r="H35" s="175"/>
      <c r="I35" s="178"/>
      <c r="J35" s="177"/>
      <c r="K35" s="48"/>
      <c r="L35" s="47"/>
      <c r="M35" s="48"/>
      <c r="N35" s="47"/>
      <c r="O35" s="48"/>
      <c r="P35" s="75"/>
      <c r="R35" s="69"/>
    </row>
    <row r="36" spans="1:20" x14ac:dyDescent="0.2">
      <c r="A36" s="118" t="s">
        <v>29</v>
      </c>
      <c r="B36" s="89" t="s">
        <v>81</v>
      </c>
      <c r="C36" s="49">
        <f>SUM(C23:C35)</f>
        <v>1564.9169999999999</v>
      </c>
      <c r="D36" s="55">
        <f t="shared" ref="D36:O36" si="2">SUM(D23:D35)</f>
        <v>400.71199999999999</v>
      </c>
      <c r="E36" s="56">
        <f t="shared" si="2"/>
        <v>3.0139999999999989</v>
      </c>
      <c r="F36" s="55">
        <f t="shared" si="2"/>
        <v>0</v>
      </c>
      <c r="G36" s="57">
        <f t="shared" si="2"/>
        <v>0</v>
      </c>
      <c r="H36" s="56">
        <f t="shared" si="2"/>
        <v>0</v>
      </c>
      <c r="I36" s="59">
        <f t="shared" si="2"/>
        <v>0</v>
      </c>
      <c r="J36" s="57">
        <f t="shared" ref="J36" si="3">SUM(J33:J35)</f>
        <v>0</v>
      </c>
      <c r="K36" s="59">
        <f>SUM(K23:K35)</f>
        <v>1061.191</v>
      </c>
      <c r="L36" s="57">
        <f t="shared" si="2"/>
        <v>0</v>
      </c>
      <c r="M36" s="58">
        <f t="shared" si="2"/>
        <v>100</v>
      </c>
      <c r="N36" s="57">
        <f t="shared" si="2"/>
        <v>0</v>
      </c>
      <c r="O36" s="58">
        <f t="shared" si="2"/>
        <v>0</v>
      </c>
      <c r="P36" s="75"/>
      <c r="R36" s="69"/>
    </row>
    <row r="37" spans="1:20" x14ac:dyDescent="0.2">
      <c r="A37" s="13"/>
      <c r="B37" s="14"/>
      <c r="C37" s="45"/>
      <c r="D37" s="46"/>
      <c r="E37" s="169"/>
      <c r="F37" s="46"/>
      <c r="G37" s="47"/>
      <c r="H37" s="46"/>
      <c r="I37" s="48"/>
      <c r="J37" s="47"/>
      <c r="K37" s="48"/>
      <c r="L37" s="47"/>
      <c r="M37" s="48"/>
      <c r="N37" s="47"/>
      <c r="O37" s="48"/>
      <c r="P37" s="75"/>
      <c r="R37" s="69"/>
    </row>
    <row r="38" spans="1:20" x14ac:dyDescent="0.2">
      <c r="A38" s="80" t="s">
        <v>64</v>
      </c>
      <c r="B38" s="94" t="s">
        <v>41</v>
      </c>
      <c r="C38" s="45">
        <f>SUM(D38:O38)</f>
        <v>3775.1730000000007</v>
      </c>
      <c r="D38" s="46"/>
      <c r="E38" s="169">
        <v>1E-3</v>
      </c>
      <c r="F38" s="46"/>
      <c r="G38" s="47"/>
      <c r="H38" s="46"/>
      <c r="I38" s="48"/>
      <c r="J38" s="47"/>
      <c r="K38" s="48">
        <f>60.227+125.714+868.116+1772.169+560+62.859+886.087+40</f>
        <v>4375.1720000000005</v>
      </c>
      <c r="L38" s="47"/>
      <c r="M38" s="48">
        <f>-560-40</f>
        <v>-600</v>
      </c>
      <c r="N38" s="47"/>
      <c r="O38" s="48"/>
      <c r="P38" s="75"/>
      <c r="R38" s="69"/>
    </row>
    <row r="39" spans="1:20" x14ac:dyDescent="0.2">
      <c r="A39" s="80" t="s">
        <v>65</v>
      </c>
      <c r="B39" s="94" t="s">
        <v>42</v>
      </c>
      <c r="C39" s="45">
        <f>SUM(D39:O39)</f>
        <v>3994.0060000000003</v>
      </c>
      <c r="D39" s="46"/>
      <c r="E39" s="169">
        <v>1E-3</v>
      </c>
      <c r="F39" s="46"/>
      <c r="G39" s="47"/>
      <c r="H39" s="46"/>
      <c r="I39" s="48"/>
      <c r="J39" s="47"/>
      <c r="K39" s="48">
        <f>77.914+131.688+925.146+1778.652+65.844+1014.761</f>
        <v>3994.0050000000001</v>
      </c>
      <c r="L39" s="47"/>
      <c r="M39" s="48"/>
      <c r="N39" s="47"/>
      <c r="O39" s="48"/>
      <c r="P39" s="75"/>
      <c r="R39" s="69"/>
    </row>
    <row r="40" spans="1:20" x14ac:dyDescent="0.2">
      <c r="A40" s="80" t="s">
        <v>66</v>
      </c>
      <c r="B40" s="94" t="s">
        <v>43</v>
      </c>
      <c r="C40" s="45">
        <f>SUM(D40:O40)</f>
        <v>4580.5450000000001</v>
      </c>
      <c r="D40" s="46"/>
      <c r="E40" s="169">
        <v>1E-3</v>
      </c>
      <c r="F40" s="46"/>
      <c r="G40" s="47"/>
      <c r="H40" s="46"/>
      <c r="I40" s="48"/>
      <c r="J40" s="47"/>
      <c r="K40" s="48">
        <f>70.623+90.581+1088.233+2185.912+45.291+1099.904</f>
        <v>4580.5439999999999</v>
      </c>
      <c r="L40" s="47"/>
      <c r="M40" s="48"/>
      <c r="N40" s="47"/>
      <c r="O40" s="48"/>
      <c r="P40" s="75"/>
      <c r="R40" s="69"/>
    </row>
    <row r="41" spans="1:20" x14ac:dyDescent="0.2">
      <c r="A41" s="80" t="s">
        <v>67</v>
      </c>
      <c r="B41" s="94" t="s">
        <v>44</v>
      </c>
      <c r="C41" s="45">
        <f>SUM(D41:O41)</f>
        <v>2968.9069999999997</v>
      </c>
      <c r="D41" s="46"/>
      <c r="E41" s="169">
        <v>1E-3</v>
      </c>
      <c r="F41" s="46"/>
      <c r="G41" s="47"/>
      <c r="H41" s="46"/>
      <c r="I41" s="48"/>
      <c r="J41" s="47"/>
      <c r="K41" s="48">
        <f>66.682+54.967+800.012+1321.724+28.562+696.959</f>
        <v>2968.9059999999995</v>
      </c>
      <c r="L41" s="47"/>
      <c r="M41" s="48"/>
      <c r="N41" s="47"/>
      <c r="O41" s="48"/>
      <c r="P41" s="75"/>
      <c r="R41" s="69"/>
    </row>
    <row r="42" spans="1:20" x14ac:dyDescent="0.2">
      <c r="A42" s="80" t="s">
        <v>68</v>
      </c>
      <c r="B42" s="94" t="s">
        <v>91</v>
      </c>
      <c r="C42" s="45">
        <f>SUM(D42:O42)</f>
        <v>24057.915000000001</v>
      </c>
      <c r="D42" s="46">
        <v>335.97800000000001</v>
      </c>
      <c r="E42" s="169">
        <v>1E-3</v>
      </c>
      <c r="F42" s="175"/>
      <c r="G42" s="177"/>
      <c r="H42" s="175"/>
      <c r="I42" s="178"/>
      <c r="J42" s="177"/>
      <c r="K42" s="48">
        <f>280.465+455.898+3213.154+6504.146+222.389+3386.884+((8545))</f>
        <v>22607.936000000002</v>
      </c>
      <c r="L42" s="47"/>
      <c r="M42" s="48">
        <f>((1114))</f>
        <v>1114</v>
      </c>
      <c r="N42" s="47"/>
      <c r="O42" s="48"/>
      <c r="P42" s="75"/>
      <c r="R42" s="69"/>
    </row>
    <row r="43" spans="1:20" x14ac:dyDescent="0.2">
      <c r="A43" s="80"/>
      <c r="B43" s="94"/>
      <c r="C43" s="45"/>
      <c r="D43" s="46"/>
      <c r="E43" s="169"/>
      <c r="F43" s="46"/>
      <c r="G43" s="47"/>
      <c r="H43" s="46"/>
      <c r="I43" s="48"/>
      <c r="J43" s="47"/>
      <c r="K43" s="48"/>
      <c r="L43" s="47"/>
      <c r="M43" s="48"/>
      <c r="N43" s="47"/>
      <c r="O43" s="48"/>
      <c r="P43" s="75"/>
      <c r="R43" s="69"/>
    </row>
    <row r="44" spans="1:20" x14ac:dyDescent="0.2">
      <c r="A44" s="118" t="s">
        <v>31</v>
      </c>
      <c r="B44" s="89" t="s">
        <v>83</v>
      </c>
      <c r="C44" s="49">
        <f>SUM(C38:C43)</f>
        <v>39376.546000000002</v>
      </c>
      <c r="D44" s="55">
        <f t="shared" ref="D44:O44" si="4">SUM(D38:D43)</f>
        <v>335.97800000000001</v>
      </c>
      <c r="E44" s="56">
        <f t="shared" si="4"/>
        <v>5.0000000000000001E-3</v>
      </c>
      <c r="F44" s="55">
        <f t="shared" si="4"/>
        <v>0</v>
      </c>
      <c r="G44" s="57">
        <f t="shared" si="4"/>
        <v>0</v>
      </c>
      <c r="H44" s="56">
        <f t="shared" si="4"/>
        <v>0</v>
      </c>
      <c r="I44" s="59">
        <f t="shared" si="4"/>
        <v>0</v>
      </c>
      <c r="J44" s="57">
        <f t="shared" ref="J44" si="5">SUM(J42:J43)</f>
        <v>0</v>
      </c>
      <c r="K44" s="59">
        <f t="shared" si="4"/>
        <v>38526.563000000002</v>
      </c>
      <c r="L44" s="57">
        <f t="shared" si="4"/>
        <v>0</v>
      </c>
      <c r="M44" s="58">
        <f t="shared" si="4"/>
        <v>514</v>
      </c>
      <c r="N44" s="57">
        <f t="shared" si="4"/>
        <v>0</v>
      </c>
      <c r="O44" s="58">
        <f t="shared" si="4"/>
        <v>0</v>
      </c>
      <c r="P44" s="75"/>
      <c r="Q44" s="67"/>
      <c r="R44" s="69"/>
      <c r="T44" s="69"/>
    </row>
    <row r="45" spans="1:20" x14ac:dyDescent="0.2">
      <c r="A45" s="92"/>
      <c r="B45" s="90"/>
      <c r="C45" s="60"/>
      <c r="D45" s="61"/>
      <c r="E45" s="170"/>
      <c r="F45" s="61"/>
      <c r="G45" s="62"/>
      <c r="H45" s="61"/>
      <c r="I45" s="63"/>
      <c r="J45" s="62"/>
      <c r="K45" s="63"/>
      <c r="L45" s="62"/>
      <c r="M45" s="63"/>
      <c r="N45" s="62"/>
      <c r="O45" s="63"/>
      <c r="P45" s="75"/>
      <c r="Q45" s="67"/>
      <c r="R45" s="69"/>
      <c r="T45" s="69"/>
    </row>
    <row r="46" spans="1:20" x14ac:dyDescent="0.2">
      <c r="A46" s="41" t="s">
        <v>33</v>
      </c>
      <c r="B46" s="97" t="s">
        <v>45</v>
      </c>
      <c r="C46" s="136">
        <f>SUM(D46:M46)</f>
        <v>39366.945</v>
      </c>
      <c r="D46" s="137"/>
      <c r="E46" s="56">
        <f>0.001+0.001</f>
        <v>2E-3</v>
      </c>
      <c r="F46" s="137"/>
      <c r="G46" s="57"/>
      <c r="H46" s="138"/>
      <c r="I46" s="162"/>
      <c r="J46" s="57"/>
      <c r="K46" s="179">
        <f>75.047+54.492+3500+10200-7+15950+37.404</f>
        <v>29809.942999999999</v>
      </c>
      <c r="L46" s="57"/>
      <c r="M46" s="180">
        <f>1200+8350+7</f>
        <v>9557</v>
      </c>
      <c r="N46" s="57"/>
      <c r="O46" s="58"/>
      <c r="P46" s="75"/>
      <c r="Q46" s="67"/>
      <c r="R46" s="69"/>
      <c r="T46" s="69"/>
    </row>
    <row r="47" spans="1:20" ht="13.5" thickBot="1" x14ac:dyDescent="0.25">
      <c r="A47" s="13"/>
      <c r="B47" s="98"/>
      <c r="C47" s="45"/>
      <c r="D47" s="18"/>
      <c r="E47" s="171"/>
      <c r="F47" s="18"/>
      <c r="G47" s="13"/>
      <c r="H47" s="18"/>
      <c r="I47" s="44"/>
      <c r="J47" s="13"/>
      <c r="K47" s="44"/>
      <c r="L47" s="13"/>
      <c r="M47" s="44"/>
      <c r="N47" s="13"/>
      <c r="O47" s="44"/>
      <c r="P47" s="75"/>
      <c r="Q47" s="67"/>
    </row>
    <row r="48" spans="1:20" ht="22.5" thickBot="1" x14ac:dyDescent="0.25">
      <c r="A48" s="132" t="s">
        <v>75</v>
      </c>
      <c r="B48" s="123" t="s">
        <v>79</v>
      </c>
      <c r="C48" s="76">
        <f t="shared" ref="C48:M48" si="6">C21+C36+C44+C46</f>
        <v>85109.657000000007</v>
      </c>
      <c r="D48" s="165">
        <f>D21+D36+D44+D46</f>
        <v>736.69</v>
      </c>
      <c r="E48" s="172">
        <f t="shared" si="6"/>
        <v>4.0219999999999985</v>
      </c>
      <c r="F48" s="166">
        <f t="shared" si="6"/>
        <v>0</v>
      </c>
      <c r="G48" s="130">
        <f t="shared" si="6"/>
        <v>0</v>
      </c>
      <c r="H48" s="139">
        <f t="shared" si="6"/>
        <v>0</v>
      </c>
      <c r="I48" s="131">
        <f t="shared" si="6"/>
        <v>0</v>
      </c>
      <c r="J48" s="130">
        <f t="shared" si="6"/>
        <v>0</v>
      </c>
      <c r="K48" s="150">
        <f>K21+K36+K44+K46</f>
        <v>74197.945000000007</v>
      </c>
      <c r="L48" s="130">
        <f t="shared" si="6"/>
        <v>0</v>
      </c>
      <c r="M48" s="150">
        <f t="shared" si="6"/>
        <v>10171</v>
      </c>
      <c r="N48" s="140"/>
      <c r="O48" s="141"/>
      <c r="P48" s="75"/>
    </row>
    <row r="49" spans="1:16" x14ac:dyDescent="0.2">
      <c r="A49" s="32"/>
      <c r="B49" s="107"/>
      <c r="C49" s="127"/>
      <c r="D49" s="142"/>
      <c r="E49" s="173"/>
      <c r="F49" s="46"/>
      <c r="G49" s="13"/>
      <c r="H49" s="18"/>
      <c r="I49" s="44"/>
      <c r="J49" s="13"/>
      <c r="K49" s="44"/>
      <c r="L49" s="13"/>
      <c r="M49" s="44"/>
      <c r="N49" s="13"/>
      <c r="O49" s="44"/>
      <c r="P49" s="75"/>
    </row>
    <row r="50" spans="1:16" x14ac:dyDescent="0.2">
      <c r="A50" s="119" t="s">
        <v>76</v>
      </c>
      <c r="B50" s="124" t="s">
        <v>77</v>
      </c>
      <c r="C50" s="136">
        <f>SUM(D50:M50)</f>
        <v>0</v>
      </c>
      <c r="D50" s="46"/>
      <c r="E50" s="160"/>
      <c r="F50" s="167"/>
      <c r="G50" s="109"/>
      <c r="H50" s="143"/>
      <c r="I50" s="128"/>
      <c r="J50" s="109"/>
      <c r="K50" s="144">
        <v>-633.673</v>
      </c>
      <c r="L50" s="145"/>
      <c r="M50" s="144">
        <v>633.673</v>
      </c>
      <c r="N50" s="109"/>
      <c r="O50" s="128"/>
      <c r="P50" s="75"/>
    </row>
    <row r="51" spans="1:16" ht="13.5" thickBot="1" x14ac:dyDescent="0.25">
      <c r="A51" s="29"/>
      <c r="B51" s="125"/>
      <c r="C51" s="45"/>
      <c r="D51" s="146"/>
      <c r="E51" s="174"/>
      <c r="F51" s="18"/>
      <c r="G51" s="47"/>
      <c r="H51" s="18"/>
      <c r="I51" s="44"/>
      <c r="J51" s="13"/>
      <c r="K51" s="48"/>
      <c r="L51" s="47"/>
      <c r="M51" s="48"/>
      <c r="N51" s="13"/>
      <c r="O51" s="44"/>
      <c r="P51" s="75"/>
    </row>
    <row r="52" spans="1:16" ht="13.5" thickBot="1" x14ac:dyDescent="0.25">
      <c r="A52" s="104" t="s">
        <v>78</v>
      </c>
      <c r="B52" s="126" t="s">
        <v>84</v>
      </c>
      <c r="C52" s="147">
        <f t="shared" ref="C52:O52" si="7">C48+C50</f>
        <v>85109.657000000007</v>
      </c>
      <c r="D52" s="151">
        <f>D48+D50</f>
        <v>736.69</v>
      </c>
      <c r="E52" s="152">
        <f t="shared" si="7"/>
        <v>4.0219999999999985</v>
      </c>
      <c r="F52" s="153">
        <f t="shared" si="7"/>
        <v>0</v>
      </c>
      <c r="G52" s="151">
        <f t="shared" si="7"/>
        <v>0</v>
      </c>
      <c r="H52" s="152">
        <f t="shared" si="7"/>
        <v>0</v>
      </c>
      <c r="I52" s="153">
        <f t="shared" si="7"/>
        <v>0</v>
      </c>
      <c r="J52" s="151">
        <f t="shared" si="7"/>
        <v>0</v>
      </c>
      <c r="K52" s="153">
        <f t="shared" si="7"/>
        <v>73564.272000000012</v>
      </c>
      <c r="L52" s="151">
        <f t="shared" si="7"/>
        <v>0</v>
      </c>
      <c r="M52" s="153">
        <f>M48+M50</f>
        <v>10804.673000000001</v>
      </c>
      <c r="N52" s="151">
        <f t="shared" si="7"/>
        <v>0</v>
      </c>
      <c r="O52" s="153">
        <f t="shared" si="7"/>
        <v>0</v>
      </c>
      <c r="P52" s="75"/>
    </row>
    <row r="53" spans="1:16" x14ac:dyDescent="0.2">
      <c r="B53" s="69"/>
      <c r="C53" s="6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B54" s="69"/>
      <c r="C54" s="6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B55" s="69"/>
      <c r="C55" s="6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B56" s="69"/>
      <c r="C56" s="6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B57" s="69"/>
      <c r="C57" s="6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B58" s="69"/>
      <c r="C58" s="6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mergeCells count="7">
    <mergeCell ref="N1:O1"/>
    <mergeCell ref="D9:M9"/>
    <mergeCell ref="N9:O9"/>
    <mergeCell ref="D10:I10"/>
    <mergeCell ref="J10:M10"/>
    <mergeCell ref="A4:O4"/>
    <mergeCell ref="B6:N6"/>
  </mergeCells>
  <phoneticPr fontId="19" type="noConversion"/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12.sz. melléklet</vt:lpstr>
      <vt:lpstr>13. sz. melléklet</vt:lpstr>
      <vt:lpstr>'12.sz. melléklet'!Nyomtatási_terület</vt:lpstr>
      <vt:lpstr>'13. sz. melléklet'!Nyomtatási_terület</vt:lpstr>
    </vt:vector>
  </TitlesOfParts>
  <Company>Budapest II. Kerületi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</dc:creator>
  <cp:lastModifiedBy>Tariné Godó Ágnes</cp:lastModifiedBy>
  <cp:lastPrinted>2019-05-06T09:07:46Z</cp:lastPrinted>
  <dcterms:created xsi:type="dcterms:W3CDTF">2013-05-29T08:17:59Z</dcterms:created>
  <dcterms:modified xsi:type="dcterms:W3CDTF">2019-05-23T12:41:57Z</dcterms:modified>
</cp:coreProperties>
</file>