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enzugyi es Koltsegvetesi Osztaly\HUPENZU\2018\Rendelet módosítások\Negyedik mód 1231\Leadott\"/>
    </mc:Choice>
  </mc:AlternateContent>
  <bookViews>
    <workbookView xWindow="0" yWindow="0" windowWidth="19170" windowHeight="11520" tabRatio="668"/>
  </bookViews>
  <sheets>
    <sheet name="1.sz.melléklet" sheetId="1" r:id="rId1"/>
    <sheet name="2.sz.melléklet" sheetId="2" r:id="rId2"/>
    <sheet name="3.sz.melléklet" sheetId="3" r:id="rId3"/>
    <sheet name="4.sz.melléklet" sheetId="4" r:id="rId4"/>
  </sheets>
  <definedNames>
    <definedName name="Excel_BuiltIn__FilterDatabase_2">'2.sz.melléklet'!$A$15:$AP$147</definedName>
    <definedName name="Excel_BuiltIn__FilterDatabase_3">#REF!</definedName>
    <definedName name="Excel_BuiltIn__FilterDatabase_3_3">'1.sz.melléklet'!$C$7:$W$17</definedName>
    <definedName name="_xlnm.Print_Titles" localSheetId="0">'1.sz.melléklet'!$7:$13</definedName>
    <definedName name="_xlnm.Print_Titles" localSheetId="1">'2.sz.melléklet'!$7:$14</definedName>
    <definedName name="_xlnm.Print_Titles" localSheetId="2">'3.sz.melléklet'!$7:$13</definedName>
    <definedName name="_xlnm.Print_Titles" localSheetId="3">'4.sz.melléklet'!$7:$14</definedName>
    <definedName name="_xlnm.Print_Area" localSheetId="0">'1.sz.melléklet'!$A$1:$W$217</definedName>
    <definedName name="_xlnm.Print_Area" localSheetId="1">'2.sz.melléklet'!$A$1:$Z$547</definedName>
    <definedName name="_xlnm.Print_Area" localSheetId="2">'3.sz.melléklet'!$A$1:$X$195</definedName>
    <definedName name="_xlnm.Print_Area" localSheetId="3">'4.sz.melléklet'!$A$1:$Y$246</definedName>
  </definedNames>
  <calcPr calcId="152511"/>
</workbook>
</file>

<file path=xl/calcChain.xml><?xml version="1.0" encoding="utf-8"?>
<calcChain xmlns="http://schemas.openxmlformats.org/spreadsheetml/2006/main">
  <c r="F471" i="2" l="1"/>
  <c r="H174" i="1"/>
  <c r="L232" i="4" l="1"/>
  <c r="F232" i="4"/>
  <c r="L231" i="4"/>
  <c r="F231" i="4"/>
  <c r="K470" i="2" l="1"/>
  <c r="F173" i="1"/>
  <c r="L467" i="2" l="1"/>
  <c r="K469" i="2"/>
  <c r="H466" i="2"/>
  <c r="F466" i="2"/>
  <c r="D172" i="1"/>
  <c r="D468" i="2" l="1"/>
  <c r="L468" i="2"/>
  <c r="F467" i="2"/>
  <c r="K466" i="2"/>
  <c r="F230" i="4"/>
  <c r="L230" i="4"/>
  <c r="F218" i="4"/>
  <c r="X174" i="3"/>
  <c r="Z469" i="2"/>
  <c r="F465" i="2" l="1"/>
  <c r="H171" i="1"/>
  <c r="F464" i="2"/>
  <c r="D170" i="1"/>
  <c r="Y198" i="3" l="1"/>
  <c r="H186" i="3" l="1"/>
  <c r="H187" i="3"/>
  <c r="F229" i="4"/>
  <c r="G187" i="3"/>
  <c r="G186" i="3"/>
  <c r="L186" i="3"/>
  <c r="M186" i="3"/>
  <c r="Z463" i="2" l="1"/>
  <c r="K463" i="2"/>
  <c r="X173" i="3"/>
  <c r="L217" i="4"/>
  <c r="L216" i="4"/>
  <c r="Z462" i="2"/>
  <c r="K462" i="2"/>
  <c r="X172" i="3"/>
  <c r="Z461" i="2"/>
  <c r="K461" i="2"/>
  <c r="X171" i="3"/>
  <c r="L215" i="4"/>
  <c r="Q460" i="2"/>
  <c r="K460" i="2"/>
  <c r="X170" i="3"/>
  <c r="Z459" i="2"/>
  <c r="K459" i="2"/>
  <c r="L214" i="4"/>
  <c r="L213" i="4"/>
  <c r="X169" i="3"/>
  <c r="Z458" i="2"/>
  <c r="K458" i="2"/>
  <c r="L212" i="4"/>
  <c r="X168" i="3"/>
  <c r="Z457" i="2"/>
  <c r="K457" i="2"/>
  <c r="Y451" i="2"/>
  <c r="X451" i="2"/>
  <c r="K451" i="2"/>
  <c r="R451" i="2"/>
  <c r="Q451" i="2"/>
  <c r="Q450" i="2"/>
  <c r="X450" i="2"/>
  <c r="R450" i="2"/>
  <c r="Y450" i="2" s="1"/>
  <c r="K450" i="2"/>
  <c r="Y209" i="4"/>
  <c r="Y210" i="4"/>
  <c r="X209" i="4"/>
  <c r="X210" i="4"/>
  <c r="R209" i="4"/>
  <c r="R210" i="4"/>
  <c r="L210" i="4"/>
  <c r="X166" i="3"/>
  <c r="W166" i="3"/>
  <c r="U166" i="3"/>
  <c r="O166" i="3"/>
  <c r="Z449" i="2"/>
  <c r="X449" i="2"/>
  <c r="R449" i="2"/>
  <c r="Y449" i="2" s="1"/>
  <c r="K449" i="2"/>
  <c r="Z452" i="2" l="1"/>
  <c r="Z447" i="2"/>
  <c r="X446" i="2" l="1"/>
  <c r="X447" i="2"/>
  <c r="X448" i="2"/>
  <c r="Z443" i="2"/>
  <c r="X443" i="2"/>
  <c r="R443" i="2"/>
  <c r="Y443" i="2" s="1"/>
  <c r="F443" i="2"/>
  <c r="Z430" i="2"/>
  <c r="E430" i="2"/>
  <c r="F430" i="2"/>
  <c r="D430" i="2"/>
  <c r="L448" i="2" l="1"/>
  <c r="K448" i="2"/>
  <c r="F209" i="4"/>
  <c r="W165" i="3"/>
  <c r="U165" i="3"/>
  <c r="O165" i="3"/>
  <c r="X165" i="3"/>
  <c r="R446" i="2"/>
  <c r="Y446" i="2" s="1"/>
  <c r="R448" i="2"/>
  <c r="Y448" i="2" s="1"/>
  <c r="F447" i="2"/>
  <c r="R447" i="2" s="1"/>
  <c r="Y447" i="2" s="1"/>
  <c r="F446" i="2"/>
  <c r="K446" i="2"/>
  <c r="E211" i="4" l="1"/>
  <c r="D211" i="4"/>
  <c r="X167" i="3"/>
  <c r="Z455" i="2"/>
  <c r="D168" i="1"/>
  <c r="X444" i="2" l="1"/>
  <c r="L444" i="2"/>
  <c r="F444" i="2"/>
  <c r="R444" i="2" s="1"/>
  <c r="Z456" i="2"/>
  <c r="D169" i="1"/>
  <c r="D167" i="1"/>
  <c r="Z454" i="2"/>
  <c r="Z453" i="2"/>
  <c r="D166" i="1"/>
  <c r="F452" i="2"/>
  <c r="Z445" i="2"/>
  <c r="F445" i="2"/>
  <c r="E445" i="2"/>
  <c r="D445" i="2"/>
  <c r="Z442" i="2"/>
  <c r="K442" i="2"/>
  <c r="Z439" i="2"/>
  <c r="X439" i="2"/>
  <c r="R439" i="2"/>
  <c r="Y439" i="2" s="1"/>
  <c r="E439" i="2"/>
  <c r="D439" i="2"/>
  <c r="Z435" i="2"/>
  <c r="X435" i="2"/>
  <c r="F435" i="2"/>
  <c r="R435" i="2" s="1"/>
  <c r="Z431" i="2"/>
  <c r="X430" i="2"/>
  <c r="X431" i="2"/>
  <c r="R430" i="2"/>
  <c r="E431" i="2"/>
  <c r="R431" i="2" s="1"/>
  <c r="D431" i="2"/>
  <c r="Y435" i="2" l="1"/>
  <c r="Y444" i="2"/>
  <c r="Y431" i="2"/>
  <c r="Y430" i="2"/>
  <c r="J441" i="2" l="1"/>
  <c r="K441" i="2"/>
  <c r="K440" i="2" l="1"/>
  <c r="Q440" i="2"/>
  <c r="J438" i="2"/>
  <c r="K438" i="2"/>
  <c r="Q437" i="2"/>
  <c r="K437" i="2"/>
  <c r="L228" i="4" l="1"/>
  <c r="F228" i="4"/>
  <c r="F208" i="4" l="1"/>
  <c r="X164" i="3"/>
  <c r="I436" i="2" l="1"/>
  <c r="F436" i="2"/>
  <c r="D436" i="2"/>
  <c r="H165" i="1"/>
  <c r="K434" i="2"/>
  <c r="F434" i="2"/>
  <c r="Z433" i="2"/>
  <c r="F433" i="2"/>
  <c r="L432" i="2"/>
  <c r="F432" i="2"/>
  <c r="L429" i="2" l="1"/>
  <c r="F429" i="2"/>
  <c r="L428" i="2"/>
  <c r="K428" i="2"/>
  <c r="L427" i="2" l="1"/>
  <c r="F427" i="2"/>
  <c r="F426" i="2" l="1"/>
  <c r="H164" i="1"/>
  <c r="Z425" i="2" l="1"/>
  <c r="K425" i="2"/>
  <c r="E425" i="2"/>
  <c r="D425" i="2"/>
  <c r="P160" i="3" l="1"/>
  <c r="V160" i="3"/>
  <c r="E207" i="4" l="1"/>
  <c r="D207" i="4"/>
  <c r="K424" i="2"/>
  <c r="J424" i="2"/>
  <c r="Z422" i="2"/>
  <c r="Z423" i="2"/>
  <c r="Z421" i="2"/>
  <c r="D161" i="1"/>
  <c r="D160" i="1"/>
  <c r="Z420" i="2"/>
  <c r="Z419" i="2"/>
  <c r="K419" i="2"/>
  <c r="Z406" i="2"/>
  <c r="E406" i="2"/>
  <c r="D406" i="2"/>
  <c r="Z405" i="2"/>
  <c r="E405" i="2"/>
  <c r="D405" i="2"/>
  <c r="Z404" i="2"/>
  <c r="F404" i="2"/>
  <c r="Z402" i="2"/>
  <c r="F402" i="2"/>
  <c r="Z401" i="2"/>
  <c r="J400" i="2"/>
  <c r="J401" i="2"/>
  <c r="Z400" i="2"/>
  <c r="Z399" i="2"/>
  <c r="E399" i="2"/>
  <c r="D399" i="2"/>
  <c r="F418" i="2" l="1"/>
  <c r="E418" i="2"/>
  <c r="D418" i="2"/>
  <c r="H159" i="1" l="1"/>
  <c r="K417" i="2"/>
  <c r="F417" i="2"/>
  <c r="F416" i="2"/>
  <c r="H158" i="1"/>
  <c r="X394" i="2"/>
  <c r="L394" i="2"/>
  <c r="F394" i="2"/>
  <c r="K414" i="2"/>
  <c r="R394" i="2" l="1"/>
  <c r="Y394" i="2" s="1"/>
  <c r="K415" i="2"/>
  <c r="J415" i="2"/>
  <c r="F414" i="2"/>
  <c r="Q413" i="2"/>
  <c r="K413" i="2"/>
  <c r="K412" i="2"/>
  <c r="I412" i="2"/>
  <c r="E409" i="2" l="1"/>
  <c r="E397" i="2"/>
  <c r="D397" i="2"/>
  <c r="F408" i="2"/>
  <c r="X408" i="2"/>
  <c r="X409" i="2"/>
  <c r="J408" i="2"/>
  <c r="M411" i="2"/>
  <c r="L411" i="2"/>
  <c r="L410" i="2"/>
  <c r="K410" i="2"/>
  <c r="F409" i="2"/>
  <c r="D409" i="2"/>
  <c r="R408" i="2" l="1"/>
  <c r="Y408" i="2" s="1"/>
  <c r="H157" i="1" l="1"/>
  <c r="L403" i="2"/>
  <c r="K403" i="2"/>
  <c r="Q398" i="2"/>
  <c r="J398" i="2"/>
  <c r="J397" i="2"/>
  <c r="F397" i="2"/>
  <c r="L396" i="2"/>
  <c r="K396" i="2"/>
  <c r="F395" i="2"/>
  <c r="H156" i="1"/>
  <c r="O156" i="1" l="1"/>
  <c r="U156" i="1"/>
  <c r="R395" i="2"/>
  <c r="X395" i="2"/>
  <c r="O163" i="3"/>
  <c r="U163" i="3"/>
  <c r="X208" i="4"/>
  <c r="R208" i="4"/>
  <c r="X375" i="2"/>
  <c r="R375" i="2"/>
  <c r="Y208" i="4" l="1"/>
  <c r="W156" i="1"/>
  <c r="Y395" i="2"/>
  <c r="W163" i="3"/>
  <c r="Y375" i="2"/>
  <c r="F384" i="2"/>
  <c r="L383" i="2"/>
  <c r="R383" i="2" s="1"/>
  <c r="X383" i="2"/>
  <c r="L382" i="2"/>
  <c r="H141" i="1"/>
  <c r="H139" i="1"/>
  <c r="F380" i="2"/>
  <c r="H137" i="1"/>
  <c r="F379" i="2"/>
  <c r="R379" i="2" s="1"/>
  <c r="X373" i="2"/>
  <c r="R373" i="2"/>
  <c r="X379" i="2"/>
  <c r="X380" i="2"/>
  <c r="X381" i="2"/>
  <c r="R380" i="2"/>
  <c r="R381" i="2"/>
  <c r="F378" i="2"/>
  <c r="L377" i="2"/>
  <c r="F377" i="2"/>
  <c r="F376" i="2"/>
  <c r="L376" i="2"/>
  <c r="F374" i="2"/>
  <c r="G374" i="2"/>
  <c r="J372" i="2"/>
  <c r="I372" i="2"/>
  <c r="F372" i="2"/>
  <c r="F371" i="2"/>
  <c r="F370" i="2"/>
  <c r="J369" i="2"/>
  <c r="F369" i="2"/>
  <c r="F367" i="2"/>
  <c r="F366" i="2"/>
  <c r="Z365" i="2"/>
  <c r="X365" i="2"/>
  <c r="Y383" i="2" l="1"/>
  <c r="Y380" i="2"/>
  <c r="Y373" i="2"/>
  <c r="Y381" i="2"/>
  <c r="Y379" i="2"/>
  <c r="X197" i="4" l="1"/>
  <c r="R197" i="4"/>
  <c r="F195" i="4"/>
  <c r="F194" i="4"/>
  <c r="Y197" i="4" l="1"/>
  <c r="F305" i="2"/>
  <c r="H118" i="1" l="1"/>
  <c r="Z301" i="2" l="1"/>
  <c r="D114" i="1"/>
  <c r="F299" i="2" l="1"/>
  <c r="D113" i="1" l="1"/>
  <c r="Z294" i="2"/>
  <c r="Z293" i="2"/>
  <c r="F293" i="2"/>
  <c r="Z292" i="2"/>
  <c r="K292" i="2"/>
  <c r="Z291" i="2"/>
  <c r="F291" i="2"/>
  <c r="F300" i="2"/>
  <c r="K300" i="2"/>
  <c r="K299" i="2"/>
  <c r="J112" i="1" l="1"/>
  <c r="K298" i="2"/>
  <c r="E297" i="2"/>
  <c r="F297" i="2"/>
  <c r="L296" i="2"/>
  <c r="F296" i="2"/>
  <c r="L295" i="2" l="1"/>
  <c r="F295" i="2"/>
  <c r="K290" i="2"/>
  <c r="H111" i="1"/>
  <c r="F289" i="2" l="1"/>
  <c r="L289" i="2"/>
  <c r="L288" i="2" l="1"/>
  <c r="F288" i="2"/>
  <c r="L287" i="2" l="1"/>
  <c r="M287" i="2"/>
  <c r="K287" i="2"/>
  <c r="L286" i="2"/>
  <c r="K286" i="2"/>
  <c r="K285" i="2" l="1"/>
  <c r="H110" i="1"/>
  <c r="M135" i="3" l="1"/>
  <c r="H135" i="3"/>
  <c r="X135" i="3"/>
  <c r="Z284" i="2"/>
  <c r="K284" i="2"/>
  <c r="M283" i="2" l="1"/>
  <c r="F283" i="2"/>
  <c r="L282" i="2"/>
  <c r="F282" i="2"/>
  <c r="L171" i="4" l="1"/>
  <c r="X134" i="3"/>
  <c r="Z281" i="2"/>
  <c r="K281" i="2"/>
  <c r="L280" i="2"/>
  <c r="F280" i="2"/>
  <c r="K279" i="2" l="1"/>
  <c r="F109" i="1"/>
  <c r="L278" i="2"/>
  <c r="F278" i="2"/>
  <c r="K277" i="2"/>
  <c r="J277" i="2"/>
  <c r="L276" i="2"/>
  <c r="F276" i="2"/>
  <c r="L170" i="4"/>
  <c r="X133" i="3"/>
  <c r="Z275" i="2"/>
  <c r="K275" i="2"/>
  <c r="L274" i="2"/>
  <c r="K274" i="2"/>
  <c r="F273" i="2"/>
  <c r="E273" i="2"/>
  <c r="D273" i="2"/>
  <c r="K272" i="2" l="1"/>
  <c r="J272" i="2"/>
  <c r="L271" i="2"/>
  <c r="F271" i="2"/>
  <c r="Q270" i="2"/>
  <c r="L270" i="2"/>
  <c r="L268" i="2"/>
  <c r="K268" i="2"/>
  <c r="X268" i="2"/>
  <c r="R268" i="2" l="1"/>
  <c r="Y268" i="2" s="1"/>
  <c r="Q267" i="2" l="1"/>
  <c r="K267" i="2"/>
  <c r="Q266" i="2"/>
  <c r="K266" i="2"/>
  <c r="X266" i="2" l="1"/>
  <c r="R266" i="2"/>
  <c r="Y266" i="2" l="1"/>
  <c r="F217" i="2" l="1"/>
  <c r="H70" i="1"/>
  <c r="U216" i="2"/>
  <c r="F216" i="2"/>
  <c r="X211" i="2" l="1"/>
  <c r="R211" i="2"/>
  <c r="Z211" i="2"/>
  <c r="Z210" i="2"/>
  <c r="Z209" i="2"/>
  <c r="D65" i="1"/>
  <c r="X208" i="2"/>
  <c r="X209" i="2"/>
  <c r="X210" i="2"/>
  <c r="R208" i="2"/>
  <c r="R209" i="2"/>
  <c r="R210" i="2"/>
  <c r="Z208" i="2"/>
  <c r="U65" i="1"/>
  <c r="U66" i="1"/>
  <c r="U67" i="1"/>
  <c r="O65" i="1"/>
  <c r="O66" i="1"/>
  <c r="W66" i="1" s="1"/>
  <c r="O67" i="1"/>
  <c r="Z207" i="2"/>
  <c r="K207" i="2"/>
  <c r="Z206" i="2"/>
  <c r="X206" i="2"/>
  <c r="X207" i="2"/>
  <c r="R207" i="2"/>
  <c r="K206" i="2"/>
  <c r="R206" i="2" s="1"/>
  <c r="Z205" i="2"/>
  <c r="X205" i="2"/>
  <c r="F205" i="2"/>
  <c r="R205" i="2" s="1"/>
  <c r="W67" i="1" l="1"/>
  <c r="Y206" i="2"/>
  <c r="Y207" i="2"/>
  <c r="Y211" i="2"/>
  <c r="Y210" i="2"/>
  <c r="W65" i="1"/>
  <c r="Y209" i="2"/>
  <c r="Y208" i="2"/>
  <c r="Y205" i="2"/>
  <c r="E84" i="4"/>
  <c r="D84" i="4"/>
  <c r="X65" i="3"/>
  <c r="U64" i="1"/>
  <c r="D64" i="1"/>
  <c r="O64" i="1" s="1"/>
  <c r="W64" i="1" l="1"/>
  <c r="K215" i="2"/>
  <c r="F69" i="1"/>
  <c r="X212" i="2" l="1"/>
  <c r="K212" i="2"/>
  <c r="R212" i="2" s="1"/>
  <c r="Y212" i="2" s="1"/>
  <c r="F214" i="2" l="1"/>
  <c r="J214" i="2"/>
  <c r="L213" i="2"/>
  <c r="F213" i="2"/>
  <c r="K204" i="2" l="1"/>
  <c r="F204" i="2"/>
  <c r="H63" i="1"/>
  <c r="J203" i="2"/>
  <c r="K203" i="2"/>
  <c r="I202" i="2"/>
  <c r="N202" i="2"/>
  <c r="F201" i="2"/>
  <c r="D201" i="2"/>
  <c r="L83" i="4"/>
  <c r="X64" i="3"/>
  <c r="Z200" i="2"/>
  <c r="K200" i="2"/>
  <c r="F82" i="4"/>
  <c r="X63" i="3"/>
  <c r="Z199" i="2"/>
  <c r="K199" i="2"/>
  <c r="J198" i="2" l="1"/>
  <c r="K198" i="2"/>
  <c r="F197" i="2"/>
  <c r="H62" i="1"/>
  <c r="X195" i="2" l="1"/>
  <c r="L195" i="2"/>
  <c r="F195" i="2"/>
  <c r="K196" i="2"/>
  <c r="J196" i="2"/>
  <c r="R195" i="2" l="1"/>
  <c r="Y195" i="2" s="1"/>
  <c r="F194" i="2"/>
  <c r="L194" i="2"/>
  <c r="X62" i="3"/>
  <c r="L62" i="3"/>
  <c r="Z193" i="2"/>
  <c r="K193" i="2"/>
  <c r="Z192" i="2" l="1"/>
  <c r="E192" i="2"/>
  <c r="D192" i="2"/>
  <c r="Z191" i="2"/>
  <c r="E191" i="2"/>
  <c r="D191" i="2"/>
  <c r="Z189" i="2"/>
  <c r="X189" i="2"/>
  <c r="F189" i="2"/>
  <c r="R189" i="2" s="1"/>
  <c r="Z186" i="2"/>
  <c r="X186" i="2"/>
  <c r="K186" i="2"/>
  <c r="R186" i="2" s="1"/>
  <c r="Z183" i="2"/>
  <c r="F183" i="2"/>
  <c r="R183" i="2" s="1"/>
  <c r="Z182" i="2"/>
  <c r="X182" i="2"/>
  <c r="X183" i="2"/>
  <c r="E182" i="2"/>
  <c r="D182" i="2"/>
  <c r="R182" i="2" l="1"/>
  <c r="Y182" i="2" s="1"/>
  <c r="Y189" i="2"/>
  <c r="Y183" i="2"/>
  <c r="Y186" i="2"/>
  <c r="L190" i="2"/>
  <c r="K190" i="2"/>
  <c r="F81" i="4"/>
  <c r="X61" i="3"/>
  <c r="Z188" i="2"/>
  <c r="K188" i="2"/>
  <c r="F80" i="4"/>
  <c r="X60" i="3"/>
  <c r="Z187" i="2"/>
  <c r="K187" i="2"/>
  <c r="L185" i="2"/>
  <c r="K61" i="1"/>
  <c r="L79" i="4"/>
  <c r="X59" i="3"/>
  <c r="Z184" i="2"/>
  <c r="K184" i="2"/>
  <c r="Z181" i="2" l="1"/>
  <c r="F181" i="2"/>
  <c r="F180" i="2" l="1"/>
  <c r="H60" i="1"/>
  <c r="F179" i="2" l="1"/>
  <c r="E179" i="2"/>
  <c r="D179" i="2"/>
  <c r="K178" i="2" l="1"/>
  <c r="I178" i="2"/>
  <c r="K177" i="2"/>
  <c r="H59" i="1"/>
  <c r="K175" i="2" l="1"/>
  <c r="R175" i="2" s="1"/>
  <c r="X175" i="2"/>
  <c r="E58" i="1"/>
  <c r="Y175" i="2" l="1"/>
  <c r="F78" i="4" l="1"/>
  <c r="D78" i="4"/>
  <c r="E78" i="4"/>
  <c r="X58" i="3"/>
  <c r="Z176" i="2"/>
  <c r="K176" i="2"/>
  <c r="X168" i="2" l="1"/>
  <c r="R168" i="2"/>
  <c r="Z168" i="2"/>
  <c r="U55" i="1"/>
  <c r="O55" i="1"/>
  <c r="W55" i="1" l="1"/>
  <c r="Y168" i="2"/>
  <c r="F96" i="4" l="1"/>
  <c r="E96" i="4"/>
  <c r="D96" i="4"/>
  <c r="F76" i="3"/>
  <c r="Z174" i="2" l="1"/>
  <c r="F174" i="2"/>
  <c r="Z172" i="2"/>
  <c r="X172" i="2"/>
  <c r="R172" i="2"/>
  <c r="Z167" i="2"/>
  <c r="U53" i="1"/>
  <c r="U54" i="1"/>
  <c r="O54" i="1"/>
  <c r="D53" i="1"/>
  <c r="O53" i="1" s="1"/>
  <c r="Z165" i="2"/>
  <c r="J165" i="2"/>
  <c r="R165" i="2" s="1"/>
  <c r="Z164" i="2"/>
  <c r="E164" i="2"/>
  <c r="D164" i="2"/>
  <c r="Z163" i="2"/>
  <c r="E163" i="2"/>
  <c r="D163" i="2"/>
  <c r="R163" i="2" s="1"/>
  <c r="Z162" i="2"/>
  <c r="E162" i="2"/>
  <c r="D162" i="2"/>
  <c r="Z161" i="2"/>
  <c r="E161" i="2"/>
  <c r="D161" i="2"/>
  <c r="R161" i="2" s="1"/>
  <c r="R166" i="2"/>
  <c r="R167" i="2"/>
  <c r="X161" i="2"/>
  <c r="X162" i="2"/>
  <c r="X163" i="2"/>
  <c r="X164" i="2"/>
  <c r="X165" i="2"/>
  <c r="X166" i="2"/>
  <c r="X167" i="2"/>
  <c r="X159" i="2"/>
  <c r="J159" i="2"/>
  <c r="R159" i="2" s="1"/>
  <c r="Z159" i="2"/>
  <c r="R164" i="2" l="1"/>
  <c r="Y164" i="2" s="1"/>
  <c r="Y165" i="2"/>
  <c r="R162" i="2"/>
  <c r="Y162" i="2" s="1"/>
  <c r="Y172" i="2"/>
  <c r="W54" i="1"/>
  <c r="W53" i="1"/>
  <c r="Y159" i="2"/>
  <c r="Y161" i="2"/>
  <c r="Y167" i="2"/>
  <c r="Y166" i="2"/>
  <c r="Y163" i="2"/>
  <c r="L170" i="2" l="1"/>
  <c r="F170" i="2"/>
  <c r="I173" i="2"/>
  <c r="F173" i="2"/>
  <c r="K171" i="2"/>
  <c r="F171" i="2"/>
  <c r="H56" i="1"/>
  <c r="K170" i="2"/>
  <c r="L169" i="2"/>
  <c r="K169" i="2"/>
  <c r="K160" i="2"/>
  <c r="J160" i="2"/>
  <c r="F76" i="4"/>
  <c r="X56" i="3"/>
  <c r="Z158" i="2"/>
  <c r="F158" i="2"/>
  <c r="J157" i="2" l="1"/>
  <c r="K157" i="2"/>
  <c r="Z154" i="2" l="1"/>
  <c r="K154" i="2"/>
  <c r="X155" i="2" l="1"/>
  <c r="K155" i="2"/>
  <c r="R155" i="2" s="1"/>
  <c r="Y155" i="2" s="1"/>
  <c r="X156" i="2"/>
  <c r="R156" i="2"/>
  <c r="Y156" i="2" l="1"/>
  <c r="H52" i="1"/>
  <c r="I51" i="1"/>
  <c r="F51" i="1"/>
  <c r="K104" i="2" l="1"/>
  <c r="F121" i="2"/>
  <c r="L132" i="2" l="1"/>
  <c r="M132" i="2"/>
  <c r="L148" i="2" l="1"/>
  <c r="F147" i="2"/>
  <c r="L147" i="2"/>
  <c r="L146" i="2"/>
  <c r="L145" i="2"/>
  <c r="L144" i="2"/>
  <c r="L143" i="2"/>
  <c r="L141" i="2"/>
  <c r="L140" i="2"/>
  <c r="F140" i="2"/>
  <c r="X140" i="2"/>
  <c r="F139" i="2"/>
  <c r="R139" i="2" s="1"/>
  <c r="X133" i="2"/>
  <c r="X134" i="2"/>
  <c r="X135" i="2"/>
  <c r="X136" i="2"/>
  <c r="X137" i="2"/>
  <c r="X138" i="2"/>
  <c r="X139" i="2"/>
  <c r="R133" i="2"/>
  <c r="R134" i="2"/>
  <c r="R135" i="2"/>
  <c r="R136" i="2"/>
  <c r="R137" i="2"/>
  <c r="R138" i="2"/>
  <c r="F132" i="2"/>
  <c r="Q132" i="2"/>
  <c r="F131" i="2"/>
  <c r="R131" i="2" s="1"/>
  <c r="Y131" i="2" s="1"/>
  <c r="X131" i="2"/>
  <c r="F130" i="2"/>
  <c r="L130" i="2"/>
  <c r="F129" i="2"/>
  <c r="L129" i="2"/>
  <c r="Y138" i="2" l="1"/>
  <c r="Y134" i="2"/>
  <c r="Y136" i="2"/>
  <c r="Y133" i="2"/>
  <c r="R140" i="2"/>
  <c r="Y140" i="2" s="1"/>
  <c r="Y135" i="2"/>
  <c r="Y137" i="2"/>
  <c r="Y139" i="2"/>
  <c r="M124" i="2" l="1"/>
  <c r="M123" i="2"/>
  <c r="L123" i="2"/>
  <c r="Q122" i="2"/>
  <c r="O122" i="2"/>
  <c r="G122" i="2"/>
  <c r="F122" i="2"/>
  <c r="J122" i="2"/>
  <c r="J120" i="2"/>
  <c r="E120" i="2"/>
  <c r="D120" i="2"/>
  <c r="F120" i="2"/>
  <c r="Q119" i="2"/>
  <c r="K119" i="2"/>
  <c r="F119" i="2"/>
  <c r="E119" i="2"/>
  <c r="D119" i="2"/>
  <c r="X119" i="2"/>
  <c r="F118" i="2"/>
  <c r="F116" i="2"/>
  <c r="F115" i="2"/>
  <c r="R119" i="2" l="1"/>
  <c r="Y119" i="2" s="1"/>
  <c r="N115" i="2" l="1"/>
  <c r="E115" i="2"/>
  <c r="D115" i="2"/>
  <c r="L114" i="2"/>
  <c r="F114" i="2"/>
  <c r="D114" i="2"/>
  <c r="F112" i="2"/>
  <c r="E112" i="2"/>
  <c r="D112" i="2"/>
  <c r="K110" i="2"/>
  <c r="Q110" i="2"/>
  <c r="J110" i="2"/>
  <c r="Q109" i="2"/>
  <c r="N109" i="2"/>
  <c r="K109" i="2"/>
  <c r="J109" i="2"/>
  <c r="F108" i="2"/>
  <c r="U106" i="2"/>
  <c r="F106" i="2"/>
  <c r="L67" i="4" l="1"/>
  <c r="F67" i="4"/>
  <c r="L66" i="4"/>
  <c r="F65" i="4"/>
  <c r="D65" i="4"/>
  <c r="L65" i="4"/>
  <c r="M65" i="4"/>
  <c r="F63" i="4"/>
  <c r="X63" i="4"/>
  <c r="R63" i="4"/>
  <c r="Y63" i="4" s="1"/>
  <c r="E62" i="4"/>
  <c r="D62" i="4"/>
  <c r="E60" i="4"/>
  <c r="D60" i="4"/>
  <c r="E59" i="4"/>
  <c r="D59" i="4"/>
  <c r="F59" i="4"/>
  <c r="F58" i="4"/>
  <c r="F57" i="4"/>
  <c r="O57" i="4"/>
  <c r="U33" i="3" l="1"/>
  <c r="H33" i="3"/>
  <c r="O33" i="3" s="1"/>
  <c r="X33" i="4"/>
  <c r="R33" i="4"/>
  <c r="F33" i="4"/>
  <c r="Y33" i="4" l="1"/>
  <c r="W33" i="3"/>
  <c r="F37" i="4"/>
  <c r="X34" i="4" l="1"/>
  <c r="R34" i="4"/>
  <c r="Y34" i="4" s="1"/>
  <c r="E34" i="4"/>
  <c r="D34" i="4"/>
  <c r="U34" i="3"/>
  <c r="F34" i="3"/>
  <c r="O34" i="3" s="1"/>
  <c r="W34" i="3" s="1"/>
  <c r="J37" i="4"/>
  <c r="I37" i="4"/>
  <c r="F36" i="4"/>
  <c r="H36" i="3"/>
  <c r="J55" i="2" l="1"/>
  <c r="I31" i="1"/>
  <c r="X51" i="2"/>
  <c r="X52" i="2"/>
  <c r="X53" i="2"/>
  <c r="L26" i="4"/>
  <c r="X25" i="3"/>
  <c r="H30" i="1"/>
  <c r="F53" i="2"/>
  <c r="R53" i="2" s="1"/>
  <c r="Z52" i="2"/>
  <c r="K52" i="2"/>
  <c r="R52" i="2" s="1"/>
  <c r="H29" i="1"/>
  <c r="K51" i="2"/>
  <c r="F51" i="2"/>
  <c r="R51" i="2" l="1"/>
  <c r="Y51" i="2" s="1"/>
  <c r="Y53" i="2"/>
  <c r="Y52" i="2"/>
  <c r="Z54" i="2"/>
  <c r="F54" i="2"/>
  <c r="F50" i="2"/>
  <c r="Z50" i="2"/>
  <c r="Z49" i="2"/>
  <c r="K49" i="2"/>
  <c r="V44" i="2" l="1"/>
  <c r="U27" i="1"/>
  <c r="O27" i="1"/>
  <c r="W27" i="1" l="1"/>
  <c r="F45" i="2"/>
  <c r="E45" i="2"/>
  <c r="X35" i="2" l="1"/>
  <c r="F35" i="2"/>
  <c r="E35" i="2"/>
  <c r="D35" i="2"/>
  <c r="R35" i="2" s="1"/>
  <c r="Y35" i="2" l="1"/>
  <c r="L25" i="4"/>
  <c r="X24" i="3"/>
  <c r="Z34" i="2"/>
  <c r="X34" i="2"/>
  <c r="L34" i="2"/>
  <c r="R34" i="2" s="1"/>
  <c r="Y34" i="2" l="1"/>
  <c r="D25" i="1"/>
  <c r="Z43" i="2"/>
  <c r="Z42" i="2"/>
  <c r="F42" i="2"/>
  <c r="U22" i="1"/>
  <c r="U23" i="1"/>
  <c r="O22" i="1"/>
  <c r="O23" i="1"/>
  <c r="X39" i="2"/>
  <c r="X40" i="2"/>
  <c r="R39" i="2"/>
  <c r="R40" i="2"/>
  <c r="Z40" i="2"/>
  <c r="Z39" i="2"/>
  <c r="X36" i="2"/>
  <c r="X37" i="2"/>
  <c r="Z37" i="2"/>
  <c r="F37" i="2"/>
  <c r="R37" i="2" s="1"/>
  <c r="Z36" i="2"/>
  <c r="F36" i="2"/>
  <c r="R36" i="2" s="1"/>
  <c r="W23" i="1" l="1"/>
  <c r="W22" i="1"/>
  <c r="Y40" i="2"/>
  <c r="Y39" i="2"/>
  <c r="Y37" i="2"/>
  <c r="Y36" i="2"/>
  <c r="U21" i="1"/>
  <c r="H21" i="1"/>
  <c r="D21" i="1"/>
  <c r="O21" i="1" l="1"/>
  <c r="W21" i="1"/>
  <c r="D24" i="1"/>
  <c r="Z41" i="2"/>
  <c r="Z38" i="2"/>
  <c r="F38" i="2"/>
  <c r="U22" i="3"/>
  <c r="U23" i="3"/>
  <c r="U24" i="3"/>
  <c r="U25" i="3"/>
  <c r="U26" i="3"/>
  <c r="O22" i="3"/>
  <c r="O23" i="3"/>
  <c r="O24" i="3"/>
  <c r="W24" i="3" s="1"/>
  <c r="O25" i="3"/>
  <c r="O26" i="3"/>
  <c r="X23" i="3"/>
  <c r="E24" i="4"/>
  <c r="D24" i="4"/>
  <c r="E23" i="4"/>
  <c r="D23" i="4"/>
  <c r="X22" i="3"/>
  <c r="W26" i="3" l="1"/>
  <c r="W22" i="3"/>
  <c r="W23" i="3"/>
  <c r="W25" i="3"/>
  <c r="D22" i="4"/>
  <c r="K33" i="2"/>
  <c r="J33" i="2"/>
  <c r="Z32" i="2"/>
  <c r="E32" i="2"/>
  <c r="D32" i="2"/>
  <c r="E22" i="4"/>
  <c r="X21" i="3"/>
  <c r="X20" i="3"/>
  <c r="B20" i="3"/>
  <c r="F21" i="4"/>
  <c r="Z31" i="2"/>
  <c r="K31" i="2"/>
  <c r="F31" i="2"/>
  <c r="N20" i="1" l="1"/>
  <c r="M30" i="2"/>
  <c r="K29" i="2"/>
  <c r="F29" i="2"/>
  <c r="H19" i="1"/>
  <c r="F18" i="1"/>
  <c r="K28" i="2"/>
  <c r="L27" i="2"/>
  <c r="K27" i="2"/>
  <c r="L26" i="2" l="1"/>
  <c r="K26" i="2"/>
  <c r="F26" i="2"/>
  <c r="L25" i="2"/>
  <c r="K25" i="2"/>
  <c r="J25" i="2"/>
  <c r="F25" i="2"/>
  <c r="E25" i="2"/>
  <c r="D25" i="2"/>
  <c r="K24" i="2"/>
  <c r="J24" i="2"/>
  <c r="F24" i="2"/>
  <c r="E24" i="2"/>
  <c r="D24" i="2"/>
  <c r="L23" i="2"/>
  <c r="F23" i="2"/>
  <c r="L18" i="2" l="1"/>
  <c r="M20" i="2"/>
  <c r="Z22" i="2"/>
  <c r="K22" i="2"/>
  <c r="F32" i="3"/>
  <c r="F32" i="4"/>
  <c r="E32" i="4"/>
  <c r="D32" i="4"/>
  <c r="E20" i="4"/>
  <c r="D20" i="4"/>
  <c r="F20" i="4"/>
  <c r="X19" i="3"/>
  <c r="Z21" i="2"/>
  <c r="K21" i="2"/>
  <c r="X18" i="3"/>
  <c r="F19" i="4"/>
  <c r="Z20" i="2"/>
  <c r="F17" i="1"/>
  <c r="K19" i="2"/>
  <c r="K18" i="2"/>
  <c r="U46" i="4" l="1"/>
  <c r="V46" i="4"/>
  <c r="W46" i="4"/>
  <c r="T46" i="4"/>
  <c r="T49" i="4" s="1"/>
  <c r="N46" i="4"/>
  <c r="O46" i="4"/>
  <c r="P46" i="4"/>
  <c r="Q46" i="4"/>
  <c r="L46" i="4"/>
  <c r="M46" i="4"/>
  <c r="G46" i="4"/>
  <c r="H46" i="4"/>
  <c r="I46" i="4"/>
  <c r="J46" i="4"/>
  <c r="K46" i="4"/>
  <c r="F46" i="4"/>
  <c r="E46" i="4"/>
  <c r="D46" i="4"/>
  <c r="X43" i="4"/>
  <c r="R43" i="4"/>
  <c r="R44" i="4"/>
  <c r="X44" i="4"/>
  <c r="X63" i="2"/>
  <c r="R63" i="2"/>
  <c r="U36" i="1"/>
  <c r="O36" i="1"/>
  <c r="W36" i="1" s="1"/>
  <c r="R89" i="2"/>
  <c r="X85" i="2"/>
  <c r="R85" i="2"/>
  <c r="X74" i="2"/>
  <c r="Y74" i="2" s="1"/>
  <c r="X75" i="2"/>
  <c r="X76" i="2"/>
  <c r="R74" i="2"/>
  <c r="R75" i="2"/>
  <c r="R76" i="2"/>
  <c r="X71" i="2"/>
  <c r="X72" i="2"/>
  <c r="R71" i="2"/>
  <c r="R72" i="2"/>
  <c r="X66" i="2"/>
  <c r="X67" i="2"/>
  <c r="R66" i="2"/>
  <c r="R67" i="2"/>
  <c r="H44" i="3"/>
  <c r="R27" i="4"/>
  <c r="X30" i="3"/>
  <c r="R73" i="2"/>
  <c r="X73" i="2"/>
  <c r="U37" i="1"/>
  <c r="O37" i="1"/>
  <c r="W37" i="1" s="1"/>
  <c r="R88" i="2"/>
  <c r="R86" i="2"/>
  <c r="U37" i="3"/>
  <c r="U38" i="3"/>
  <c r="U39" i="3"/>
  <c r="U40" i="3"/>
  <c r="U41" i="3"/>
  <c r="U42" i="3"/>
  <c r="O37" i="3"/>
  <c r="O38" i="3"/>
  <c r="O39" i="3"/>
  <c r="O40" i="3"/>
  <c r="O41" i="3"/>
  <c r="O42" i="3"/>
  <c r="O36" i="3"/>
  <c r="R70" i="2"/>
  <c r="R69" i="2"/>
  <c r="R68" i="2"/>
  <c r="R65" i="2"/>
  <c r="R59" i="2"/>
  <c r="R64" i="2"/>
  <c r="O34" i="1"/>
  <c r="R60" i="2"/>
  <c r="R58" i="2"/>
  <c r="R57" i="2"/>
  <c r="U32" i="1"/>
  <c r="W32" i="1" s="1"/>
  <c r="X51" i="4"/>
  <c r="R51" i="4"/>
  <c r="X101" i="2"/>
  <c r="R101" i="2"/>
  <c r="R65" i="4"/>
  <c r="F71" i="4"/>
  <c r="R126" i="2"/>
  <c r="R143" i="2"/>
  <c r="R144" i="2"/>
  <c r="R145" i="2"/>
  <c r="R146" i="2"/>
  <c r="R147" i="2"/>
  <c r="R148" i="2"/>
  <c r="R149" i="2"/>
  <c r="R142" i="2"/>
  <c r="R141" i="2"/>
  <c r="R132" i="2"/>
  <c r="R129" i="2"/>
  <c r="R128" i="2"/>
  <c r="R124" i="2"/>
  <c r="R123" i="2"/>
  <c r="L151" i="2"/>
  <c r="M151" i="2"/>
  <c r="R120" i="2"/>
  <c r="R118" i="2"/>
  <c r="X117" i="2"/>
  <c r="R117" i="2"/>
  <c r="R115" i="2"/>
  <c r="R114" i="2"/>
  <c r="R113" i="2"/>
  <c r="I151" i="2"/>
  <c r="F44" i="3"/>
  <c r="R32" i="4"/>
  <c r="O25" i="1"/>
  <c r="R56" i="2"/>
  <c r="E99" i="2"/>
  <c r="R21" i="4"/>
  <c r="U30" i="1"/>
  <c r="O30" i="1"/>
  <c r="X47" i="2"/>
  <c r="R47" i="2"/>
  <c r="R20" i="4"/>
  <c r="R31" i="2"/>
  <c r="U26" i="1"/>
  <c r="W26" i="1" s="1"/>
  <c r="O26" i="1"/>
  <c r="R30" i="2"/>
  <c r="R29" i="2"/>
  <c r="R28" i="2"/>
  <c r="U24" i="1"/>
  <c r="U25" i="1"/>
  <c r="O24" i="1"/>
  <c r="R26" i="2"/>
  <c r="X26" i="2"/>
  <c r="X27" i="2"/>
  <c r="X28" i="2"/>
  <c r="X29" i="2"/>
  <c r="X30" i="2"/>
  <c r="X31" i="2"/>
  <c r="R27" i="2"/>
  <c r="I46" i="1"/>
  <c r="R19" i="4"/>
  <c r="F30" i="4"/>
  <c r="R23" i="2"/>
  <c r="O20" i="1"/>
  <c r="W20" i="1" s="1"/>
  <c r="U20" i="1"/>
  <c r="U19" i="1"/>
  <c r="H46" i="1"/>
  <c r="Q99" i="2"/>
  <c r="R55" i="2"/>
  <c r="V99" i="2"/>
  <c r="R46" i="1"/>
  <c r="R49" i="2"/>
  <c r="X49" i="2"/>
  <c r="O28" i="1"/>
  <c r="R44" i="2"/>
  <c r="R43" i="2"/>
  <c r="R42" i="2"/>
  <c r="R38" i="2"/>
  <c r="R33" i="2"/>
  <c r="R32" i="2"/>
  <c r="R19" i="2"/>
  <c r="U29" i="1"/>
  <c r="O17" i="1"/>
  <c r="U18" i="1"/>
  <c r="O18" i="1"/>
  <c r="K46" i="1"/>
  <c r="U99" i="2"/>
  <c r="W99" i="2"/>
  <c r="T99" i="2"/>
  <c r="AA549" i="2"/>
  <c r="H99" i="2"/>
  <c r="I99" i="2"/>
  <c r="M99" i="2"/>
  <c r="N99" i="2"/>
  <c r="O99" i="2"/>
  <c r="P99" i="2"/>
  <c r="O32" i="3"/>
  <c r="R37" i="4"/>
  <c r="R38" i="4"/>
  <c r="R39" i="4"/>
  <c r="R40" i="4"/>
  <c r="R41" i="4"/>
  <c r="X36" i="4"/>
  <c r="X37" i="4"/>
  <c r="X38" i="4"/>
  <c r="X39" i="4"/>
  <c r="X40" i="4"/>
  <c r="X41" i="4"/>
  <c r="X42" i="4"/>
  <c r="R91" i="2"/>
  <c r="X22" i="4"/>
  <c r="X23" i="4"/>
  <c r="X24" i="4"/>
  <c r="X25" i="4"/>
  <c r="X26" i="4"/>
  <c r="X27" i="4"/>
  <c r="X28" i="4"/>
  <c r="R22" i="4"/>
  <c r="R23" i="4"/>
  <c r="R24" i="4"/>
  <c r="R25" i="4"/>
  <c r="R26" i="4"/>
  <c r="R28" i="4"/>
  <c r="Y28" i="4" s="1"/>
  <c r="O21" i="3"/>
  <c r="O27" i="3"/>
  <c r="U21" i="3"/>
  <c r="U27" i="3"/>
  <c r="U18" i="3"/>
  <c r="U19" i="3"/>
  <c r="R82" i="2"/>
  <c r="R84" i="2"/>
  <c r="R90" i="2"/>
  <c r="R92" i="2"/>
  <c r="R93" i="2"/>
  <c r="R94" i="2"/>
  <c r="R95" i="2"/>
  <c r="R96" i="2"/>
  <c r="X82" i="2"/>
  <c r="X83" i="2"/>
  <c r="X84" i="2"/>
  <c r="X86" i="2"/>
  <c r="X87" i="2"/>
  <c r="X88" i="2"/>
  <c r="X89" i="2"/>
  <c r="X90" i="2"/>
  <c r="X91" i="2"/>
  <c r="X92" i="2"/>
  <c r="X93" i="2"/>
  <c r="X94" i="2"/>
  <c r="X95" i="2"/>
  <c r="X96" i="2"/>
  <c r="E30" i="4"/>
  <c r="E49" i="4" s="1"/>
  <c r="O29" i="1"/>
  <c r="W29" i="1" s="1"/>
  <c r="X24" i="2"/>
  <c r="X25" i="2"/>
  <c r="U28" i="1"/>
  <c r="R24" i="2"/>
  <c r="R25" i="2"/>
  <c r="X68" i="2"/>
  <c r="X69" i="2"/>
  <c r="X70" i="2"/>
  <c r="X57" i="2"/>
  <c r="X58" i="2"/>
  <c r="X59" i="2"/>
  <c r="X60" i="2"/>
  <c r="X61" i="2"/>
  <c r="X62" i="2"/>
  <c r="X64" i="2"/>
  <c r="X65" i="2"/>
  <c r="X77" i="2"/>
  <c r="X78" i="2"/>
  <c r="X79" i="2"/>
  <c r="X80" i="2"/>
  <c r="X55" i="2"/>
  <c r="X56" i="2"/>
  <c r="R61" i="2"/>
  <c r="R77" i="2"/>
  <c r="R79" i="2"/>
  <c r="O40" i="1"/>
  <c r="O41" i="1"/>
  <c r="O42" i="1"/>
  <c r="O43" i="1"/>
  <c r="U40" i="1"/>
  <c r="U41" i="1"/>
  <c r="W41" i="1" s="1"/>
  <c r="U42" i="1"/>
  <c r="U43" i="1"/>
  <c r="W43" i="1" s="1"/>
  <c r="U38" i="1"/>
  <c r="U39" i="1"/>
  <c r="U34" i="1"/>
  <c r="U35" i="1"/>
  <c r="O32" i="1"/>
  <c r="O33" i="1"/>
  <c r="O35" i="1"/>
  <c r="O38" i="1"/>
  <c r="O39" i="1"/>
  <c r="R54" i="2"/>
  <c r="R48" i="2"/>
  <c r="O31" i="1"/>
  <c r="R158" i="4"/>
  <c r="X158" i="4"/>
  <c r="R159" i="4"/>
  <c r="X159" i="4"/>
  <c r="Z546" i="2"/>
  <c r="F546" i="2"/>
  <c r="R538" i="2"/>
  <c r="K546" i="2"/>
  <c r="U143" i="3"/>
  <c r="G146" i="3"/>
  <c r="F176" i="4"/>
  <c r="R172" i="4"/>
  <c r="X533" i="2"/>
  <c r="O199" i="1"/>
  <c r="R530" i="2"/>
  <c r="N546" i="2"/>
  <c r="R528" i="2"/>
  <c r="H216" i="1"/>
  <c r="F216" i="1"/>
  <c r="R183" i="4"/>
  <c r="G176" i="4"/>
  <c r="R526" i="2"/>
  <c r="M186" i="4"/>
  <c r="X181" i="4"/>
  <c r="X182" i="4"/>
  <c r="X183" i="4"/>
  <c r="X184" i="4"/>
  <c r="R181" i="4"/>
  <c r="Y181" i="4" s="1"/>
  <c r="R180" i="4"/>
  <c r="O144" i="3"/>
  <c r="O142" i="3"/>
  <c r="D186" i="4"/>
  <c r="R520" i="2"/>
  <c r="U191" i="1"/>
  <c r="O191" i="1"/>
  <c r="K216" i="1"/>
  <c r="X513" i="2"/>
  <c r="R513" i="2"/>
  <c r="R508" i="2"/>
  <c r="M546" i="2"/>
  <c r="R505" i="2"/>
  <c r="O189" i="1"/>
  <c r="R503" i="2"/>
  <c r="J546" i="2"/>
  <c r="F186" i="4"/>
  <c r="L546" i="2"/>
  <c r="X494" i="2"/>
  <c r="R494" i="2"/>
  <c r="Y494" i="2" s="1"/>
  <c r="R493" i="2"/>
  <c r="X492" i="2"/>
  <c r="X493" i="2"/>
  <c r="R492" i="2"/>
  <c r="R491" i="2"/>
  <c r="X490" i="2"/>
  <c r="X491" i="2"/>
  <c r="R490" i="2"/>
  <c r="X496" i="2"/>
  <c r="R496" i="2"/>
  <c r="X495" i="2"/>
  <c r="R495" i="2"/>
  <c r="W546" i="2"/>
  <c r="U546" i="2"/>
  <c r="T546" i="2"/>
  <c r="Q546" i="2"/>
  <c r="P546" i="2"/>
  <c r="O546" i="2"/>
  <c r="I546" i="2"/>
  <c r="H546" i="2"/>
  <c r="D546" i="2"/>
  <c r="X544" i="2"/>
  <c r="R544" i="2"/>
  <c r="X543" i="2"/>
  <c r="R543" i="2"/>
  <c r="X542" i="2"/>
  <c r="R542" i="2"/>
  <c r="X541" i="2"/>
  <c r="R541" i="2"/>
  <c r="X540" i="2"/>
  <c r="R540" i="2"/>
  <c r="X539" i="2"/>
  <c r="X538" i="2"/>
  <c r="X537" i="2"/>
  <c r="R537" i="2"/>
  <c r="X536" i="2"/>
  <c r="R536" i="2"/>
  <c r="X535" i="2"/>
  <c r="R535" i="2"/>
  <c r="X534" i="2"/>
  <c r="R533" i="2"/>
  <c r="X532" i="2"/>
  <c r="R532" i="2"/>
  <c r="X531" i="2"/>
  <c r="R531" i="2"/>
  <c r="X530" i="2"/>
  <c r="X529" i="2"/>
  <c r="X528" i="2"/>
  <c r="X527" i="2"/>
  <c r="R527" i="2"/>
  <c r="X526" i="2"/>
  <c r="X525" i="2"/>
  <c r="X524" i="2"/>
  <c r="R524" i="2"/>
  <c r="X523" i="2"/>
  <c r="R523" i="2"/>
  <c r="X522" i="2"/>
  <c r="R522" i="2"/>
  <c r="X521" i="2"/>
  <c r="R521" i="2"/>
  <c r="X520" i="2"/>
  <c r="Y520" i="2" s="1"/>
  <c r="X519" i="2"/>
  <c r="R519" i="2"/>
  <c r="X518" i="2"/>
  <c r="R518" i="2"/>
  <c r="X517" i="2"/>
  <c r="R517" i="2"/>
  <c r="X516" i="2"/>
  <c r="R516" i="2"/>
  <c r="X515" i="2"/>
  <c r="R515" i="2"/>
  <c r="X514" i="2"/>
  <c r="R514" i="2"/>
  <c r="X512" i="2"/>
  <c r="R512" i="2"/>
  <c r="X511" i="2"/>
  <c r="X510" i="2"/>
  <c r="R510" i="2"/>
  <c r="X509" i="2"/>
  <c r="R509" i="2"/>
  <c r="Y509" i="2" s="1"/>
  <c r="X508" i="2"/>
  <c r="X507" i="2"/>
  <c r="R507" i="2"/>
  <c r="X506" i="2"/>
  <c r="X505" i="2"/>
  <c r="X504" i="2"/>
  <c r="R504" i="2"/>
  <c r="X503" i="2"/>
  <c r="X502" i="2"/>
  <c r="R502" i="2"/>
  <c r="Y502" i="2" s="1"/>
  <c r="X501" i="2"/>
  <c r="X500" i="2"/>
  <c r="R500" i="2"/>
  <c r="X499" i="2"/>
  <c r="R499" i="2"/>
  <c r="X498" i="2"/>
  <c r="R498" i="2"/>
  <c r="X497" i="2"/>
  <c r="R497" i="2"/>
  <c r="U209" i="1"/>
  <c r="U210" i="1"/>
  <c r="U211" i="1"/>
  <c r="U212" i="1"/>
  <c r="U201" i="1"/>
  <c r="U202" i="1"/>
  <c r="U203" i="1"/>
  <c r="U204" i="1"/>
  <c r="U205" i="1"/>
  <c r="U206" i="1"/>
  <c r="U207" i="1"/>
  <c r="U208" i="1"/>
  <c r="U190" i="1"/>
  <c r="U192" i="1"/>
  <c r="U193" i="1"/>
  <c r="U194" i="1"/>
  <c r="U195" i="1"/>
  <c r="U196" i="1"/>
  <c r="U197" i="1"/>
  <c r="U198" i="1"/>
  <c r="U199" i="1"/>
  <c r="U200" i="1"/>
  <c r="U189" i="1"/>
  <c r="U188" i="1"/>
  <c r="T216" i="1"/>
  <c r="S216" i="1"/>
  <c r="R216" i="1"/>
  <c r="Q216" i="1"/>
  <c r="N216" i="1"/>
  <c r="M216" i="1"/>
  <c r="L216" i="1"/>
  <c r="J216" i="1"/>
  <c r="I216" i="1"/>
  <c r="G216" i="1"/>
  <c r="E216" i="1"/>
  <c r="U214" i="1"/>
  <c r="O214" i="1"/>
  <c r="O212" i="1"/>
  <c r="O211" i="1"/>
  <c r="W211" i="1" s="1"/>
  <c r="O210" i="1"/>
  <c r="W210" i="1" s="1"/>
  <c r="O209" i="1"/>
  <c r="W209" i="1" s="1"/>
  <c r="O208" i="1"/>
  <c r="O207" i="1"/>
  <c r="W207" i="1" s="1"/>
  <c r="O206" i="1"/>
  <c r="W206" i="1" s="1"/>
  <c r="O205" i="1"/>
  <c r="W205" i="1" s="1"/>
  <c r="O204" i="1"/>
  <c r="O203" i="1"/>
  <c r="W203" i="1" s="1"/>
  <c r="O202" i="1"/>
  <c r="W202" i="1" s="1"/>
  <c r="O201" i="1"/>
  <c r="W201" i="1" s="1"/>
  <c r="O200" i="1"/>
  <c r="O198" i="1"/>
  <c r="O196" i="1"/>
  <c r="W196" i="1" s="1"/>
  <c r="O195" i="1"/>
  <c r="W195" i="1" s="1"/>
  <c r="O194" i="1"/>
  <c r="O193" i="1"/>
  <c r="W193" i="1" s="1"/>
  <c r="O190" i="1"/>
  <c r="O188" i="1"/>
  <c r="X423" i="2"/>
  <c r="R423" i="2"/>
  <c r="F487" i="2"/>
  <c r="Z487" i="2"/>
  <c r="R420" i="2"/>
  <c r="X420" i="2"/>
  <c r="Y420" i="2" s="1"/>
  <c r="R419" i="2"/>
  <c r="X419" i="2"/>
  <c r="U157" i="1"/>
  <c r="O157" i="1"/>
  <c r="R418" i="2"/>
  <c r="X418" i="2"/>
  <c r="U158" i="1"/>
  <c r="D185" i="1"/>
  <c r="X119" i="3"/>
  <c r="Q487" i="2"/>
  <c r="J487" i="2"/>
  <c r="R156" i="4"/>
  <c r="F163" i="4"/>
  <c r="R413" i="2"/>
  <c r="X412" i="2"/>
  <c r="X413" i="2"/>
  <c r="D487" i="2"/>
  <c r="R411" i="2"/>
  <c r="R405" i="2"/>
  <c r="R409" i="2"/>
  <c r="R407" i="2"/>
  <c r="R406" i="2"/>
  <c r="E487" i="2"/>
  <c r="X396" i="2"/>
  <c r="X397" i="2"/>
  <c r="R396" i="2"/>
  <c r="X398" i="2"/>
  <c r="R398" i="2"/>
  <c r="R401" i="2"/>
  <c r="R400" i="2"/>
  <c r="R399" i="2"/>
  <c r="R121" i="4"/>
  <c r="Z387" i="2"/>
  <c r="W387" i="2"/>
  <c r="V387" i="2"/>
  <c r="U387" i="2"/>
  <c r="T387" i="2"/>
  <c r="Q387" i="2"/>
  <c r="P387" i="2"/>
  <c r="O387" i="2"/>
  <c r="N387" i="2"/>
  <c r="M387" i="2"/>
  <c r="J387" i="2"/>
  <c r="I387" i="2"/>
  <c r="H387" i="2"/>
  <c r="G387" i="2"/>
  <c r="D387" i="2"/>
  <c r="E387" i="2"/>
  <c r="R365" i="2"/>
  <c r="Y365" i="2" s="1"/>
  <c r="K387" i="2"/>
  <c r="L387" i="2"/>
  <c r="U135" i="1"/>
  <c r="O135" i="1"/>
  <c r="H149" i="1"/>
  <c r="D149" i="1"/>
  <c r="O128" i="1"/>
  <c r="O92" i="3"/>
  <c r="O93" i="3"/>
  <c r="U92" i="3"/>
  <c r="U93" i="3"/>
  <c r="X356" i="2"/>
  <c r="R356" i="2"/>
  <c r="U103" i="3"/>
  <c r="O103" i="3"/>
  <c r="X139" i="4"/>
  <c r="R139" i="4"/>
  <c r="O102" i="3"/>
  <c r="X135" i="4"/>
  <c r="X136" i="4"/>
  <c r="X137" i="4"/>
  <c r="X138" i="4"/>
  <c r="R135" i="4"/>
  <c r="Y135" i="4" s="1"/>
  <c r="R136" i="4"/>
  <c r="Y136" i="4" s="1"/>
  <c r="R137" i="4"/>
  <c r="R138" i="4"/>
  <c r="F142" i="4"/>
  <c r="E142" i="4"/>
  <c r="U102" i="3"/>
  <c r="W102" i="3" s="1"/>
  <c r="R134" i="4"/>
  <c r="X357" i="2"/>
  <c r="R355" i="2"/>
  <c r="X355" i="2"/>
  <c r="O127" i="1"/>
  <c r="R350" i="2"/>
  <c r="R349" i="2"/>
  <c r="X123" i="4"/>
  <c r="X124" i="4"/>
  <c r="R123" i="4"/>
  <c r="R124" i="4"/>
  <c r="X97" i="3"/>
  <c r="R346" i="2"/>
  <c r="X343" i="2"/>
  <c r="X344" i="2"/>
  <c r="X345" i="2"/>
  <c r="X346" i="2"/>
  <c r="X347" i="2"/>
  <c r="X348" i="2"/>
  <c r="X349" i="2"/>
  <c r="X350" i="2"/>
  <c r="R344" i="2"/>
  <c r="R343" i="2"/>
  <c r="R354" i="2"/>
  <c r="R353" i="2"/>
  <c r="R352" i="2"/>
  <c r="R351" i="2"/>
  <c r="R342" i="2"/>
  <c r="G106" i="3"/>
  <c r="O100" i="3"/>
  <c r="R133" i="4"/>
  <c r="X133" i="4"/>
  <c r="X134" i="4"/>
  <c r="R341" i="2"/>
  <c r="R360" i="2"/>
  <c r="X341" i="2"/>
  <c r="X342" i="2"/>
  <c r="X351" i="2"/>
  <c r="X352" i="2"/>
  <c r="X353" i="2"/>
  <c r="X354" i="2"/>
  <c r="Y354" i="2" s="1"/>
  <c r="X358" i="2"/>
  <c r="X359" i="2"/>
  <c r="X360" i="2"/>
  <c r="R340" i="2"/>
  <c r="O125" i="1"/>
  <c r="R339" i="2"/>
  <c r="R338" i="2"/>
  <c r="G131" i="1"/>
  <c r="I363" i="2"/>
  <c r="O122" i="1"/>
  <c r="R336" i="2"/>
  <c r="R334" i="2"/>
  <c r="X332" i="2"/>
  <c r="R332" i="2"/>
  <c r="U119" i="1"/>
  <c r="U120" i="1"/>
  <c r="O120" i="1"/>
  <c r="O119" i="1"/>
  <c r="R330" i="2"/>
  <c r="X330" i="2"/>
  <c r="X331" i="2"/>
  <c r="R331" i="2"/>
  <c r="X317" i="2"/>
  <c r="R317" i="2"/>
  <c r="O121" i="1"/>
  <c r="X329" i="2"/>
  <c r="X333" i="2"/>
  <c r="X334" i="2"/>
  <c r="X335" i="2"/>
  <c r="X336" i="2"/>
  <c r="X337" i="2"/>
  <c r="X338" i="2"/>
  <c r="X339" i="2"/>
  <c r="R333" i="2"/>
  <c r="R328" i="2"/>
  <c r="R327" i="2"/>
  <c r="R120" i="4"/>
  <c r="R326" i="2"/>
  <c r="R325" i="2"/>
  <c r="R324" i="2"/>
  <c r="X309" i="2"/>
  <c r="R309" i="2"/>
  <c r="R315" i="2"/>
  <c r="U115" i="1"/>
  <c r="O115" i="1"/>
  <c r="W115" i="1" s="1"/>
  <c r="R314" i="2"/>
  <c r="R313" i="2"/>
  <c r="X311" i="2"/>
  <c r="X312" i="2"/>
  <c r="X313" i="2"/>
  <c r="X314" i="2"/>
  <c r="X315" i="2"/>
  <c r="X316" i="2"/>
  <c r="R311" i="2"/>
  <c r="R319" i="2"/>
  <c r="O117" i="1"/>
  <c r="O118" i="1"/>
  <c r="R318" i="2"/>
  <c r="R323" i="2"/>
  <c r="R320" i="2"/>
  <c r="R321" i="2"/>
  <c r="R322" i="2"/>
  <c r="R362" i="2"/>
  <c r="X320" i="2"/>
  <c r="Y320" i="2" s="1"/>
  <c r="X321" i="2"/>
  <c r="X322" i="2"/>
  <c r="X323" i="2"/>
  <c r="X324" i="2"/>
  <c r="X325" i="2"/>
  <c r="X326" i="2"/>
  <c r="X327" i="2"/>
  <c r="X328" i="2"/>
  <c r="X340" i="2"/>
  <c r="O116" i="1"/>
  <c r="X302" i="2"/>
  <c r="X303" i="2"/>
  <c r="X304" i="2"/>
  <c r="X305" i="2"/>
  <c r="X306" i="2"/>
  <c r="X307" i="2"/>
  <c r="X308" i="2"/>
  <c r="X310" i="2"/>
  <c r="X318" i="2"/>
  <c r="R310" i="2"/>
  <c r="R308" i="2"/>
  <c r="R306" i="2"/>
  <c r="R305" i="2"/>
  <c r="R304" i="2"/>
  <c r="R302" i="2"/>
  <c r="R301" i="2"/>
  <c r="O113" i="1"/>
  <c r="R300" i="2"/>
  <c r="R299" i="2"/>
  <c r="Q363" i="2"/>
  <c r="R295" i="2"/>
  <c r="R294" i="2"/>
  <c r="R293" i="2"/>
  <c r="R292" i="2"/>
  <c r="R282" i="2"/>
  <c r="D363" i="2"/>
  <c r="X281" i="2"/>
  <c r="X282" i="2"/>
  <c r="R281" i="2"/>
  <c r="R291" i="2"/>
  <c r="R290" i="2"/>
  <c r="G363" i="2"/>
  <c r="R289" i="2"/>
  <c r="R288" i="2"/>
  <c r="R287" i="2"/>
  <c r="R286" i="2"/>
  <c r="O112" i="1"/>
  <c r="K131" i="1"/>
  <c r="R284" i="2"/>
  <c r="R283" i="2"/>
  <c r="R280" i="2"/>
  <c r="R279" i="2"/>
  <c r="R275" i="2"/>
  <c r="R274" i="2"/>
  <c r="R273" i="2"/>
  <c r="O110" i="1"/>
  <c r="R272" i="2"/>
  <c r="R271" i="2"/>
  <c r="O109" i="1"/>
  <c r="R270" i="2"/>
  <c r="R269" i="2"/>
  <c r="R267" i="2"/>
  <c r="F94" i="4"/>
  <c r="R76" i="4"/>
  <c r="E94" i="4"/>
  <c r="R102" i="4"/>
  <c r="O60" i="1"/>
  <c r="R215" i="2"/>
  <c r="D94" i="4"/>
  <c r="J112" i="4"/>
  <c r="R100" i="4"/>
  <c r="I112" i="4"/>
  <c r="R99" i="4"/>
  <c r="O76" i="3"/>
  <c r="R98" i="4"/>
  <c r="M112" i="4"/>
  <c r="X96" i="4"/>
  <c r="R96" i="4"/>
  <c r="X194" i="2"/>
  <c r="R194" i="2"/>
  <c r="R191" i="2"/>
  <c r="E253" i="2"/>
  <c r="R184" i="2"/>
  <c r="R200" i="2"/>
  <c r="R199" i="2"/>
  <c r="R198" i="2"/>
  <c r="X198" i="2"/>
  <c r="X199" i="2"/>
  <c r="X200" i="2"/>
  <c r="X188" i="2"/>
  <c r="X197" i="2"/>
  <c r="X190" i="2"/>
  <c r="R190" i="2"/>
  <c r="I253" i="2"/>
  <c r="R178" i="2"/>
  <c r="O59" i="1"/>
  <c r="R176" i="2"/>
  <c r="N93" i="1"/>
  <c r="R174" i="2"/>
  <c r="G253" i="2"/>
  <c r="O56" i="1"/>
  <c r="U56" i="1"/>
  <c r="U57" i="1"/>
  <c r="U58" i="1"/>
  <c r="U59" i="1"/>
  <c r="O52" i="1"/>
  <c r="G93" i="1"/>
  <c r="U52" i="1"/>
  <c r="R170" i="2"/>
  <c r="R169" i="2"/>
  <c r="X169" i="2"/>
  <c r="X170" i="2"/>
  <c r="X171" i="2"/>
  <c r="X173" i="2"/>
  <c r="X174" i="2"/>
  <c r="X176" i="2"/>
  <c r="X177" i="2"/>
  <c r="X178" i="2"/>
  <c r="X179" i="2"/>
  <c r="X180" i="2"/>
  <c r="X181" i="2"/>
  <c r="R158" i="2"/>
  <c r="O51" i="1"/>
  <c r="X157" i="2"/>
  <c r="R157" i="2"/>
  <c r="O61" i="1"/>
  <c r="R213" i="2"/>
  <c r="R204" i="2"/>
  <c r="X193" i="2"/>
  <c r="R193" i="2"/>
  <c r="R197" i="2"/>
  <c r="Y197" i="2" s="1"/>
  <c r="X201" i="2"/>
  <c r="R201" i="2"/>
  <c r="R202" i="2"/>
  <c r="R196" i="2"/>
  <c r="R192" i="2"/>
  <c r="X187" i="2"/>
  <c r="D253" i="2"/>
  <c r="R185" i="2"/>
  <c r="R154" i="2"/>
  <c r="X54" i="4"/>
  <c r="X239" i="4"/>
  <c r="X238" i="4"/>
  <c r="X237" i="4"/>
  <c r="X236" i="4"/>
  <c r="X235" i="4"/>
  <c r="X234" i="4"/>
  <c r="X233" i="4"/>
  <c r="X232" i="4"/>
  <c r="X231" i="4"/>
  <c r="X230" i="4"/>
  <c r="X229" i="4"/>
  <c r="X228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07" i="4"/>
  <c r="X202" i="4"/>
  <c r="X199" i="4"/>
  <c r="X198" i="4"/>
  <c r="X196" i="4"/>
  <c r="X195" i="4"/>
  <c r="X194" i="4"/>
  <c r="X193" i="4"/>
  <c r="X192" i="4"/>
  <c r="X191" i="4"/>
  <c r="X180" i="4"/>
  <c r="X179" i="4"/>
  <c r="X178" i="4"/>
  <c r="X174" i="4"/>
  <c r="X173" i="4"/>
  <c r="X172" i="4"/>
  <c r="X171" i="4"/>
  <c r="X170" i="4"/>
  <c r="X157" i="4"/>
  <c r="X156" i="4"/>
  <c r="X150" i="4"/>
  <c r="X149" i="4"/>
  <c r="X148" i="4"/>
  <c r="X132" i="4"/>
  <c r="X131" i="4"/>
  <c r="X122" i="4"/>
  <c r="X121" i="4"/>
  <c r="X120" i="4"/>
  <c r="X115" i="4"/>
  <c r="X114" i="4"/>
  <c r="X113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69" i="4"/>
  <c r="X68" i="4"/>
  <c r="X67" i="4"/>
  <c r="X66" i="4"/>
  <c r="X65" i="4"/>
  <c r="X64" i="4"/>
  <c r="X62" i="4"/>
  <c r="X61" i="4"/>
  <c r="X60" i="4"/>
  <c r="X59" i="4"/>
  <c r="X58" i="4"/>
  <c r="X57" i="4"/>
  <c r="X56" i="4"/>
  <c r="X55" i="4"/>
  <c r="X35" i="4"/>
  <c r="X32" i="4"/>
  <c r="X21" i="4"/>
  <c r="X20" i="4"/>
  <c r="X19" i="4"/>
  <c r="X18" i="4"/>
  <c r="X15" i="4"/>
  <c r="R239" i="4"/>
  <c r="R238" i="4"/>
  <c r="Y238" i="4" s="1"/>
  <c r="R237" i="4"/>
  <c r="R236" i="4"/>
  <c r="R235" i="4"/>
  <c r="R234" i="4"/>
  <c r="R233" i="4"/>
  <c r="R232" i="4"/>
  <c r="R231" i="4"/>
  <c r="R230" i="4"/>
  <c r="R229" i="4"/>
  <c r="R228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07" i="4"/>
  <c r="R202" i="4"/>
  <c r="R199" i="4"/>
  <c r="R198" i="4"/>
  <c r="R196" i="4"/>
  <c r="R195" i="4"/>
  <c r="R194" i="4"/>
  <c r="R193" i="4"/>
  <c r="R192" i="4"/>
  <c r="R191" i="4"/>
  <c r="R174" i="4"/>
  <c r="Y174" i="4" s="1"/>
  <c r="R173" i="4"/>
  <c r="R171" i="4"/>
  <c r="R157" i="4"/>
  <c r="R150" i="4"/>
  <c r="R149" i="4"/>
  <c r="R148" i="4"/>
  <c r="Y147" i="4"/>
  <c r="R132" i="4"/>
  <c r="R131" i="4"/>
  <c r="R122" i="4"/>
  <c r="R115" i="4"/>
  <c r="R114" i="4"/>
  <c r="Y114" i="4" s="1"/>
  <c r="R113" i="4"/>
  <c r="R108" i="4"/>
  <c r="Y108" i="4" s="1"/>
  <c r="R107" i="4"/>
  <c r="R106" i="4"/>
  <c r="Y106" i="4" s="1"/>
  <c r="R105" i="4"/>
  <c r="Y105" i="4" s="1"/>
  <c r="R104" i="4"/>
  <c r="Y104" i="4" s="1"/>
  <c r="R103" i="4"/>
  <c r="R10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69" i="4"/>
  <c r="R64" i="4"/>
  <c r="R62" i="4"/>
  <c r="R60" i="4"/>
  <c r="R57" i="4"/>
  <c r="R56" i="4"/>
  <c r="R55" i="4"/>
  <c r="R54" i="4"/>
  <c r="R42" i="4"/>
  <c r="Y42" i="4" s="1"/>
  <c r="R35" i="4"/>
  <c r="R18" i="4"/>
  <c r="R15" i="4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45" i="2"/>
  <c r="X442" i="2"/>
  <c r="X441" i="2"/>
  <c r="X440" i="2"/>
  <c r="X438" i="2"/>
  <c r="X437" i="2"/>
  <c r="X436" i="2"/>
  <c r="X434" i="2"/>
  <c r="X433" i="2"/>
  <c r="X432" i="2"/>
  <c r="X429" i="2"/>
  <c r="X428" i="2"/>
  <c r="X427" i="2"/>
  <c r="X426" i="2"/>
  <c r="X425" i="2"/>
  <c r="X424" i="2"/>
  <c r="X422" i="2"/>
  <c r="X421" i="2"/>
  <c r="X417" i="2"/>
  <c r="X416" i="2"/>
  <c r="X415" i="2"/>
  <c r="X414" i="2"/>
  <c r="X411" i="2"/>
  <c r="X410" i="2"/>
  <c r="X407" i="2"/>
  <c r="X406" i="2"/>
  <c r="X405" i="2"/>
  <c r="X404" i="2"/>
  <c r="X403" i="2"/>
  <c r="X402" i="2"/>
  <c r="X401" i="2"/>
  <c r="X400" i="2"/>
  <c r="X399" i="2"/>
  <c r="Y399" i="2" s="1"/>
  <c r="X389" i="2"/>
  <c r="X385" i="2"/>
  <c r="X384" i="2"/>
  <c r="X382" i="2"/>
  <c r="X378" i="2"/>
  <c r="X377" i="2"/>
  <c r="X376" i="2"/>
  <c r="X374" i="2"/>
  <c r="X372" i="2"/>
  <c r="X371" i="2"/>
  <c r="X370" i="2"/>
  <c r="X369" i="2"/>
  <c r="X368" i="2"/>
  <c r="X367" i="2"/>
  <c r="X366" i="2"/>
  <c r="X364" i="2"/>
  <c r="X319" i="2"/>
  <c r="X301" i="2"/>
  <c r="X300" i="2"/>
  <c r="Y300" i="2" s="1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7" i="2"/>
  <c r="X261" i="2"/>
  <c r="X260" i="2"/>
  <c r="X259" i="2"/>
  <c r="X258" i="2"/>
  <c r="X257" i="2"/>
  <c r="X256" i="2"/>
  <c r="X255" i="2"/>
  <c r="X254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04" i="2"/>
  <c r="X203" i="2"/>
  <c r="X202" i="2"/>
  <c r="X196" i="2"/>
  <c r="X191" i="2"/>
  <c r="X185" i="2"/>
  <c r="X184" i="2"/>
  <c r="X160" i="2"/>
  <c r="X158" i="2"/>
  <c r="X154" i="2"/>
  <c r="X149" i="2"/>
  <c r="X148" i="2"/>
  <c r="Y148" i="2" s="1"/>
  <c r="X147" i="2"/>
  <c r="X146" i="2"/>
  <c r="X145" i="2"/>
  <c r="X144" i="2"/>
  <c r="Y144" i="2" s="1"/>
  <c r="X143" i="2"/>
  <c r="X142" i="2"/>
  <c r="X141" i="2"/>
  <c r="X132" i="2"/>
  <c r="X130" i="2"/>
  <c r="X129" i="2"/>
  <c r="X128" i="2"/>
  <c r="X127" i="2"/>
  <c r="X126" i="2"/>
  <c r="X125" i="2"/>
  <c r="X124" i="2"/>
  <c r="X123" i="2"/>
  <c r="Y123" i="2" s="1"/>
  <c r="X122" i="2"/>
  <c r="X121" i="2"/>
  <c r="X120" i="2"/>
  <c r="X118" i="2"/>
  <c r="Y118" i="2" s="1"/>
  <c r="X116" i="2"/>
  <c r="X115" i="2"/>
  <c r="X114" i="2"/>
  <c r="Y114" i="2" s="1"/>
  <c r="X113" i="2"/>
  <c r="X112" i="2"/>
  <c r="X111" i="2"/>
  <c r="X110" i="2"/>
  <c r="X109" i="2"/>
  <c r="X108" i="2"/>
  <c r="X107" i="2"/>
  <c r="X106" i="2"/>
  <c r="X105" i="2"/>
  <c r="X104" i="2"/>
  <c r="X97" i="2"/>
  <c r="X81" i="2"/>
  <c r="X54" i="2"/>
  <c r="X50" i="2"/>
  <c r="X48" i="2"/>
  <c r="X46" i="2"/>
  <c r="X45" i="2"/>
  <c r="X44" i="2"/>
  <c r="X43" i="2"/>
  <c r="X42" i="2"/>
  <c r="X41" i="2"/>
  <c r="X38" i="2"/>
  <c r="X33" i="2"/>
  <c r="X32" i="2"/>
  <c r="X23" i="2"/>
  <c r="X22" i="2"/>
  <c r="X21" i="2"/>
  <c r="X20" i="2"/>
  <c r="X19" i="2"/>
  <c r="Y19" i="2" s="1"/>
  <c r="X18" i="2"/>
  <c r="R485" i="2"/>
  <c r="R484" i="2"/>
  <c r="R483" i="2"/>
  <c r="R482" i="2"/>
  <c r="R481" i="2"/>
  <c r="R480" i="2"/>
  <c r="R479" i="2"/>
  <c r="R478" i="2"/>
  <c r="R477" i="2"/>
  <c r="R476" i="2"/>
  <c r="R475" i="2"/>
  <c r="R474" i="2"/>
  <c r="R473" i="2"/>
  <c r="R472" i="2"/>
  <c r="R471" i="2"/>
  <c r="R470" i="2"/>
  <c r="R469" i="2"/>
  <c r="R468" i="2"/>
  <c r="R467" i="2"/>
  <c r="R466" i="2"/>
  <c r="R465" i="2"/>
  <c r="R464" i="2"/>
  <c r="R463" i="2"/>
  <c r="R462" i="2"/>
  <c r="R461" i="2"/>
  <c r="R460" i="2"/>
  <c r="R459" i="2"/>
  <c r="R458" i="2"/>
  <c r="R457" i="2"/>
  <c r="R456" i="2"/>
  <c r="R455" i="2"/>
  <c r="R454" i="2"/>
  <c r="R453" i="2"/>
  <c r="R452" i="2"/>
  <c r="R445" i="2"/>
  <c r="R442" i="2"/>
  <c r="R441" i="2"/>
  <c r="R440" i="2"/>
  <c r="R438" i="2"/>
  <c r="R437" i="2"/>
  <c r="R436" i="2"/>
  <c r="R434" i="2"/>
  <c r="R433" i="2"/>
  <c r="R432" i="2"/>
  <c r="R429" i="2"/>
  <c r="R428" i="2"/>
  <c r="R427" i="2"/>
  <c r="R426" i="2"/>
  <c r="R425" i="2"/>
  <c r="R424" i="2"/>
  <c r="R422" i="2"/>
  <c r="R421" i="2"/>
  <c r="R417" i="2"/>
  <c r="R416" i="2"/>
  <c r="R415" i="2"/>
  <c r="R410" i="2"/>
  <c r="R389" i="2"/>
  <c r="R385" i="2"/>
  <c r="R384" i="2"/>
  <c r="R382" i="2"/>
  <c r="R378" i="2"/>
  <c r="R377" i="2"/>
  <c r="R376" i="2"/>
  <c r="R374" i="2"/>
  <c r="R372" i="2"/>
  <c r="R371" i="2"/>
  <c r="R370" i="2"/>
  <c r="R369" i="2"/>
  <c r="R368" i="2"/>
  <c r="R367" i="2"/>
  <c r="R366" i="2"/>
  <c r="R364" i="2"/>
  <c r="R261" i="2"/>
  <c r="R260" i="2"/>
  <c r="R259" i="2"/>
  <c r="R258" i="2"/>
  <c r="R257" i="2"/>
  <c r="R256" i="2"/>
  <c r="R255" i="2"/>
  <c r="R254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03" i="2"/>
  <c r="R127" i="2"/>
  <c r="R125" i="2"/>
  <c r="R111" i="2"/>
  <c r="R109" i="2"/>
  <c r="R107" i="2"/>
  <c r="R105" i="2"/>
  <c r="R97" i="2"/>
  <c r="R81" i="2"/>
  <c r="R50" i="2"/>
  <c r="R46" i="2"/>
  <c r="R45" i="2"/>
  <c r="R41" i="2"/>
  <c r="R15" i="2"/>
  <c r="X15" i="2"/>
  <c r="K151" i="2"/>
  <c r="R104" i="2"/>
  <c r="U49" i="3"/>
  <c r="U48" i="1"/>
  <c r="W48" i="1" s="1"/>
  <c r="R122" i="2"/>
  <c r="G151" i="2"/>
  <c r="E151" i="2"/>
  <c r="R116" i="2"/>
  <c r="R108" i="2"/>
  <c r="R67" i="4"/>
  <c r="R66" i="4"/>
  <c r="M71" i="4"/>
  <c r="R61" i="4"/>
  <c r="E71" i="4"/>
  <c r="R59" i="4"/>
  <c r="R20" i="2"/>
  <c r="U151" i="2"/>
  <c r="V151" i="2"/>
  <c r="U17" i="2"/>
  <c r="V17" i="2"/>
  <c r="J226" i="4"/>
  <c r="J242" i="4"/>
  <c r="T242" i="4"/>
  <c r="U242" i="4"/>
  <c r="T226" i="4"/>
  <c r="T245" i="4" s="1"/>
  <c r="U226" i="4"/>
  <c r="T200" i="4"/>
  <c r="U200" i="4"/>
  <c r="T186" i="4"/>
  <c r="U186" i="4"/>
  <c r="T176" i="4"/>
  <c r="U176" i="4"/>
  <c r="T163" i="4"/>
  <c r="T166" i="4" s="1"/>
  <c r="U163" i="4"/>
  <c r="T154" i="4"/>
  <c r="U154" i="4"/>
  <c r="T71" i="4"/>
  <c r="U71" i="4"/>
  <c r="T94" i="4"/>
  <c r="U94" i="4"/>
  <c r="U116" i="4" s="1"/>
  <c r="T112" i="4"/>
  <c r="U112" i="4"/>
  <c r="T129" i="4"/>
  <c r="U129" i="4"/>
  <c r="T142" i="4"/>
  <c r="U142" i="4"/>
  <c r="T30" i="4"/>
  <c r="U30" i="4"/>
  <c r="U49" i="4"/>
  <c r="T17" i="4"/>
  <c r="U17" i="4"/>
  <c r="U363" i="2"/>
  <c r="V363" i="2"/>
  <c r="U262" i="2"/>
  <c r="V262" i="2"/>
  <c r="U253" i="2"/>
  <c r="U487" i="2"/>
  <c r="V487" i="2"/>
  <c r="W138" i="3"/>
  <c r="W15" i="3"/>
  <c r="U189" i="3"/>
  <c r="U188" i="3"/>
  <c r="U187" i="3"/>
  <c r="U186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4" i="3"/>
  <c r="U158" i="3"/>
  <c r="U154" i="3"/>
  <c r="U153" i="3"/>
  <c r="U152" i="3"/>
  <c r="U144" i="3"/>
  <c r="U142" i="3"/>
  <c r="W142" i="3" s="1"/>
  <c r="U137" i="3"/>
  <c r="U136" i="3"/>
  <c r="U135" i="3"/>
  <c r="U134" i="3"/>
  <c r="U133" i="3"/>
  <c r="U124" i="3"/>
  <c r="U123" i="3"/>
  <c r="U122" i="3"/>
  <c r="U121" i="3"/>
  <c r="U116" i="3"/>
  <c r="U115" i="3"/>
  <c r="U114" i="3"/>
  <c r="U113" i="3"/>
  <c r="U112" i="3"/>
  <c r="U101" i="3"/>
  <c r="U100" i="3"/>
  <c r="U99" i="3"/>
  <c r="U91" i="3"/>
  <c r="U90" i="3"/>
  <c r="U89" i="3"/>
  <c r="U84" i="3"/>
  <c r="U78" i="3"/>
  <c r="U77" i="3"/>
  <c r="U76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1" i="3"/>
  <c r="U36" i="3"/>
  <c r="U35" i="3"/>
  <c r="U32" i="3"/>
  <c r="U28" i="3"/>
  <c r="U20" i="3"/>
  <c r="O17" i="3"/>
  <c r="Q16" i="3"/>
  <c r="R16" i="3"/>
  <c r="S16" i="3"/>
  <c r="U14" i="3"/>
  <c r="U16" i="3" s="1"/>
  <c r="O189" i="3"/>
  <c r="O188" i="3"/>
  <c r="O187" i="3"/>
  <c r="O186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4" i="3"/>
  <c r="O158" i="3"/>
  <c r="O154" i="3"/>
  <c r="O153" i="3"/>
  <c r="O152" i="3"/>
  <c r="O141" i="3"/>
  <c r="O137" i="3"/>
  <c r="O136" i="3"/>
  <c r="O135" i="3"/>
  <c r="O134" i="3"/>
  <c r="O133" i="3"/>
  <c r="O124" i="3"/>
  <c r="O123" i="3"/>
  <c r="O122" i="3"/>
  <c r="O116" i="3"/>
  <c r="O115" i="3"/>
  <c r="O114" i="3"/>
  <c r="O113" i="3"/>
  <c r="O112" i="3"/>
  <c r="O99" i="3"/>
  <c r="W99" i="3" s="1"/>
  <c r="O91" i="3"/>
  <c r="O90" i="3"/>
  <c r="O89" i="3"/>
  <c r="O84" i="3"/>
  <c r="W84" i="3" s="1"/>
  <c r="O78" i="3"/>
  <c r="O77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1" i="3"/>
  <c r="O49" i="3"/>
  <c r="O28" i="3"/>
  <c r="O20" i="3"/>
  <c r="O19" i="3"/>
  <c r="W19" i="3" s="1"/>
  <c r="O18" i="3"/>
  <c r="O14" i="3"/>
  <c r="U168" i="1"/>
  <c r="U183" i="1"/>
  <c r="U182" i="1"/>
  <c r="W182" i="1" s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7" i="1"/>
  <c r="U166" i="1"/>
  <c r="U165" i="1"/>
  <c r="U164" i="1"/>
  <c r="U163" i="1"/>
  <c r="U162" i="1"/>
  <c r="U161" i="1"/>
  <c r="U160" i="1"/>
  <c r="U159" i="1"/>
  <c r="U151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3" i="1"/>
  <c r="U110" i="1"/>
  <c r="U128" i="1"/>
  <c r="U127" i="1"/>
  <c r="U126" i="1"/>
  <c r="U125" i="1"/>
  <c r="U124" i="1"/>
  <c r="U123" i="1"/>
  <c r="U122" i="1"/>
  <c r="U121" i="1"/>
  <c r="U117" i="1"/>
  <c r="U118" i="1"/>
  <c r="U116" i="1"/>
  <c r="U114" i="1"/>
  <c r="U113" i="1"/>
  <c r="U112" i="1"/>
  <c r="U111" i="1"/>
  <c r="U109" i="1"/>
  <c r="U108" i="1"/>
  <c r="U104" i="1"/>
  <c r="U103" i="1"/>
  <c r="U102" i="1"/>
  <c r="U101" i="1"/>
  <c r="U100" i="1"/>
  <c r="U99" i="1"/>
  <c r="U98" i="1"/>
  <c r="U97" i="1"/>
  <c r="U96" i="1"/>
  <c r="U95" i="1"/>
  <c r="U94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3" i="1"/>
  <c r="U62" i="1"/>
  <c r="U61" i="1"/>
  <c r="W61" i="1" s="1"/>
  <c r="U60" i="1"/>
  <c r="U51" i="1"/>
  <c r="U44" i="1"/>
  <c r="U31" i="1"/>
  <c r="W31" i="1" s="1"/>
  <c r="U17" i="1"/>
  <c r="O140" i="1"/>
  <c r="O141" i="1"/>
  <c r="O142" i="1"/>
  <c r="O143" i="1"/>
  <c r="O183" i="1"/>
  <c r="W183" i="1" s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W167" i="1" s="1"/>
  <c r="O166" i="1"/>
  <c r="W166" i="1" s="1"/>
  <c r="O165" i="1"/>
  <c r="O164" i="1"/>
  <c r="O163" i="1"/>
  <c r="W163" i="1" s="1"/>
  <c r="O162" i="1"/>
  <c r="W162" i="1" s="1"/>
  <c r="O161" i="1"/>
  <c r="O160" i="1"/>
  <c r="O159" i="1"/>
  <c r="W159" i="1" s="1"/>
  <c r="O151" i="1"/>
  <c r="O147" i="1"/>
  <c r="O146" i="1"/>
  <c r="W146" i="1" s="1"/>
  <c r="O145" i="1"/>
  <c r="W145" i="1" s="1"/>
  <c r="O144" i="1"/>
  <c r="O139" i="1"/>
  <c r="O138" i="1"/>
  <c r="W138" i="1" s="1"/>
  <c r="O137" i="1"/>
  <c r="O136" i="1"/>
  <c r="O104" i="1"/>
  <c r="O103" i="1"/>
  <c r="O102" i="1"/>
  <c r="O101" i="1"/>
  <c r="O100" i="1"/>
  <c r="W100" i="1" s="1"/>
  <c r="O99" i="1"/>
  <c r="O98" i="1"/>
  <c r="O97" i="1"/>
  <c r="O96" i="1"/>
  <c r="O95" i="1"/>
  <c r="O94" i="1"/>
  <c r="O91" i="1"/>
  <c r="O90" i="1"/>
  <c r="W90" i="1" s="1"/>
  <c r="O89" i="1"/>
  <c r="O88" i="1"/>
  <c r="O87" i="1"/>
  <c r="W87" i="1" s="1"/>
  <c r="O86" i="1"/>
  <c r="O85" i="1"/>
  <c r="O84" i="1"/>
  <c r="O83" i="1"/>
  <c r="O82" i="1"/>
  <c r="O81" i="1"/>
  <c r="O80" i="1"/>
  <c r="O79" i="1"/>
  <c r="O78" i="1"/>
  <c r="W78" i="1" s="1"/>
  <c r="O77" i="1"/>
  <c r="O76" i="1"/>
  <c r="O75" i="1"/>
  <c r="O74" i="1"/>
  <c r="W74" i="1" s="1"/>
  <c r="O73" i="1"/>
  <c r="O72" i="1"/>
  <c r="O71" i="1"/>
  <c r="O70" i="1"/>
  <c r="W70" i="1" s="1"/>
  <c r="O69" i="1"/>
  <c r="O68" i="1"/>
  <c r="O63" i="1"/>
  <c r="O62" i="1"/>
  <c r="W62" i="1" s="1"/>
  <c r="O44" i="1"/>
  <c r="W92" i="1"/>
  <c r="W15" i="1"/>
  <c r="U14" i="1"/>
  <c r="U16" i="1" s="1"/>
  <c r="O14" i="1"/>
  <c r="D191" i="3"/>
  <c r="F191" i="3"/>
  <c r="G191" i="3"/>
  <c r="X191" i="3"/>
  <c r="D242" i="4"/>
  <c r="D226" i="4"/>
  <c r="F184" i="3"/>
  <c r="N226" i="4"/>
  <c r="E226" i="4"/>
  <c r="H487" i="2"/>
  <c r="O226" i="4"/>
  <c r="S185" i="1"/>
  <c r="L149" i="1"/>
  <c r="E149" i="1"/>
  <c r="Y16" i="2"/>
  <c r="M149" i="1"/>
  <c r="I149" i="1"/>
  <c r="J149" i="1"/>
  <c r="G149" i="1"/>
  <c r="F200" i="4"/>
  <c r="O176" i="4"/>
  <c r="E176" i="4"/>
  <c r="D176" i="4"/>
  <c r="D189" i="4" s="1"/>
  <c r="W186" i="4"/>
  <c r="V186" i="4"/>
  <c r="Q186" i="4"/>
  <c r="P186" i="4"/>
  <c r="K186" i="4"/>
  <c r="J186" i="4"/>
  <c r="I186" i="4"/>
  <c r="H186" i="4"/>
  <c r="G186" i="4"/>
  <c r="E186" i="4"/>
  <c r="O186" i="4"/>
  <c r="W176" i="4"/>
  <c r="V176" i="4"/>
  <c r="Q176" i="4"/>
  <c r="P176" i="4"/>
  <c r="N176" i="4"/>
  <c r="M176" i="4"/>
  <c r="L176" i="4"/>
  <c r="K176" i="4"/>
  <c r="J176" i="4"/>
  <c r="I176" i="4"/>
  <c r="H176" i="4"/>
  <c r="H189" i="4" s="1"/>
  <c r="X146" i="3"/>
  <c r="T146" i="3"/>
  <c r="S146" i="3"/>
  <c r="R146" i="3"/>
  <c r="Q146" i="3"/>
  <c r="N146" i="3"/>
  <c r="M146" i="3"/>
  <c r="L146" i="3"/>
  <c r="K146" i="3"/>
  <c r="J146" i="3"/>
  <c r="I146" i="3"/>
  <c r="H146" i="3"/>
  <c r="F146" i="3"/>
  <c r="D146" i="3"/>
  <c r="E146" i="3"/>
  <c r="T140" i="3"/>
  <c r="S140" i="3"/>
  <c r="R140" i="3"/>
  <c r="Q140" i="3"/>
  <c r="N140" i="3"/>
  <c r="M140" i="3"/>
  <c r="L140" i="3"/>
  <c r="K140" i="3"/>
  <c r="J140" i="3"/>
  <c r="I140" i="3"/>
  <c r="H140" i="3"/>
  <c r="G140" i="3"/>
  <c r="F140" i="3"/>
  <c r="E140" i="3"/>
  <c r="D140" i="3"/>
  <c r="X126" i="3"/>
  <c r="G126" i="3"/>
  <c r="E126" i="3"/>
  <c r="D126" i="3"/>
  <c r="D163" i="4"/>
  <c r="D17" i="2"/>
  <c r="D262" i="2"/>
  <c r="E17" i="2"/>
  <c r="E262" i="2"/>
  <c r="F17" i="2"/>
  <c r="F262" i="2"/>
  <c r="G17" i="2"/>
  <c r="G262" i="2"/>
  <c r="H17" i="2"/>
  <c r="H151" i="2"/>
  <c r="H262" i="2"/>
  <c r="I17" i="2"/>
  <c r="I262" i="2"/>
  <c r="J17" i="2"/>
  <c r="J262" i="2"/>
  <c r="K17" i="2"/>
  <c r="K262" i="2"/>
  <c r="L17" i="2"/>
  <c r="L262" i="2"/>
  <c r="M17" i="2"/>
  <c r="M262" i="2"/>
  <c r="N17" i="2"/>
  <c r="N253" i="2"/>
  <c r="N262" i="2"/>
  <c r="O17" i="2"/>
  <c r="O262" i="2"/>
  <c r="P17" i="2"/>
  <c r="P151" i="2"/>
  <c r="P253" i="2"/>
  <c r="P262" i="2"/>
  <c r="P363" i="2"/>
  <c r="Q17" i="2"/>
  <c r="Q151" i="2"/>
  <c r="Q262" i="2"/>
  <c r="T17" i="2"/>
  <c r="T151" i="2"/>
  <c r="T262" i="2"/>
  <c r="W17" i="2"/>
  <c r="W151" i="2"/>
  <c r="W253" i="2"/>
  <c r="W262" i="2"/>
  <c r="W363" i="2"/>
  <c r="Z17" i="2"/>
  <c r="Z151" i="2"/>
  <c r="Z262" i="2"/>
  <c r="F154" i="4"/>
  <c r="F119" i="3"/>
  <c r="O163" i="4"/>
  <c r="Q17" i="4"/>
  <c r="Q30" i="4"/>
  <c r="Q71" i="4"/>
  <c r="Q94" i="4"/>
  <c r="Q116" i="4" s="1"/>
  <c r="Q112" i="4"/>
  <c r="Q129" i="4"/>
  <c r="Q142" i="4"/>
  <c r="Q154" i="4"/>
  <c r="Q166" i="4" s="1"/>
  <c r="Q163" i="4"/>
  <c r="Q200" i="4"/>
  <c r="V17" i="4"/>
  <c r="V30" i="4"/>
  <c r="V49" i="4" s="1"/>
  <c r="V71" i="4"/>
  <c r="V94" i="4"/>
  <c r="V116" i="4" s="1"/>
  <c r="V112" i="4"/>
  <c r="V129" i="4"/>
  <c r="V144" i="4" s="1"/>
  <c r="V142" i="4"/>
  <c r="V154" i="4"/>
  <c r="V166" i="4" s="1"/>
  <c r="V163" i="4"/>
  <c r="V200" i="4"/>
  <c r="W17" i="4"/>
  <c r="W30" i="4"/>
  <c r="W49" i="4" s="1"/>
  <c r="W71" i="4"/>
  <c r="W94" i="4"/>
  <c r="W116" i="4" s="1"/>
  <c r="W112" i="4"/>
  <c r="W129" i="4"/>
  <c r="W142" i="4"/>
  <c r="W154" i="4"/>
  <c r="W166" i="4" s="1"/>
  <c r="W163" i="4"/>
  <c r="W200" i="4"/>
  <c r="D17" i="4"/>
  <c r="E17" i="4"/>
  <c r="F17" i="4"/>
  <c r="G17" i="4"/>
  <c r="G30" i="4"/>
  <c r="G49" i="4" s="1"/>
  <c r="G71" i="4"/>
  <c r="G94" i="4"/>
  <c r="G112" i="4"/>
  <c r="H17" i="4"/>
  <c r="H30" i="4"/>
  <c r="H71" i="4"/>
  <c r="H94" i="4"/>
  <c r="H116" i="4" s="1"/>
  <c r="H112" i="4"/>
  <c r="I17" i="4"/>
  <c r="I30" i="4"/>
  <c r="I49" i="4" s="1"/>
  <c r="I71" i="4"/>
  <c r="I94" i="4"/>
  <c r="I116" i="4" s="1"/>
  <c r="J17" i="4"/>
  <c r="J49" i="4"/>
  <c r="J94" i="4"/>
  <c r="J116" i="4" s="1"/>
  <c r="K17" i="4"/>
  <c r="K30" i="4"/>
  <c r="K71" i="4"/>
  <c r="K94" i="4"/>
  <c r="K116" i="4" s="1"/>
  <c r="K112" i="4"/>
  <c r="L17" i="4"/>
  <c r="L30" i="4"/>
  <c r="L94" i="4"/>
  <c r="M17" i="4"/>
  <c r="M30" i="4"/>
  <c r="M49" i="4" s="1"/>
  <c r="M94" i="4"/>
  <c r="M116" i="4"/>
  <c r="N17" i="4"/>
  <c r="N30" i="4"/>
  <c r="N71" i="4"/>
  <c r="N94" i="4"/>
  <c r="N116" i="4" s="1"/>
  <c r="N112" i="4"/>
  <c r="O17" i="4"/>
  <c r="O30" i="4"/>
  <c r="O71" i="4"/>
  <c r="O94" i="4"/>
  <c r="O112" i="4"/>
  <c r="P17" i="4"/>
  <c r="P30" i="4"/>
  <c r="P49" i="4" s="1"/>
  <c r="P71" i="4"/>
  <c r="P94" i="4"/>
  <c r="P116" i="4" s="1"/>
  <c r="P112" i="4"/>
  <c r="D142" i="4"/>
  <c r="F129" i="4"/>
  <c r="F144" i="4" s="1"/>
  <c r="G129" i="4"/>
  <c r="G142" i="4"/>
  <c r="H129" i="4"/>
  <c r="H142" i="4"/>
  <c r="H144" i="4" s="1"/>
  <c r="I129" i="4"/>
  <c r="I142" i="4"/>
  <c r="J129" i="4"/>
  <c r="J142" i="4"/>
  <c r="J144" i="4" s="1"/>
  <c r="K129" i="4"/>
  <c r="K142" i="4"/>
  <c r="L129" i="4"/>
  <c r="L142" i="4"/>
  <c r="L144" i="4" s="1"/>
  <c r="M129" i="4"/>
  <c r="M142" i="4"/>
  <c r="N129" i="4"/>
  <c r="N142" i="4"/>
  <c r="N144" i="4" s="1"/>
  <c r="O129" i="4"/>
  <c r="O142" i="4"/>
  <c r="P129" i="4"/>
  <c r="P142" i="4"/>
  <c r="G154" i="4"/>
  <c r="H154" i="4"/>
  <c r="I154" i="4"/>
  <c r="J154" i="4"/>
  <c r="K154" i="4"/>
  <c r="L154" i="4"/>
  <c r="M154" i="4"/>
  <c r="N154" i="4"/>
  <c r="O154" i="4"/>
  <c r="P154" i="4"/>
  <c r="G163" i="4"/>
  <c r="H163" i="4"/>
  <c r="I163" i="4"/>
  <c r="I166" i="4"/>
  <c r="J163" i="4"/>
  <c r="K163" i="4"/>
  <c r="L163" i="4"/>
  <c r="M163" i="4"/>
  <c r="P163" i="4"/>
  <c r="K200" i="4"/>
  <c r="L200" i="4"/>
  <c r="M200" i="4"/>
  <c r="N200" i="4"/>
  <c r="O200" i="4"/>
  <c r="P200" i="4"/>
  <c r="E200" i="4"/>
  <c r="G200" i="4"/>
  <c r="H200" i="4"/>
  <c r="I200" i="4"/>
  <c r="J200" i="4"/>
  <c r="D200" i="4"/>
  <c r="E16" i="3"/>
  <c r="E30" i="3"/>
  <c r="E44" i="3"/>
  <c r="E74" i="3"/>
  <c r="E82" i="3"/>
  <c r="E97" i="3"/>
  <c r="F16" i="3"/>
  <c r="F30" i="3"/>
  <c r="F74" i="3"/>
  <c r="F97" i="3"/>
  <c r="D16" i="3"/>
  <c r="D30" i="3"/>
  <c r="D46" i="3" s="1"/>
  <c r="D74" i="3"/>
  <c r="D82" i="3"/>
  <c r="D97" i="3"/>
  <c r="D106" i="3"/>
  <c r="D119" i="3"/>
  <c r="G16" i="3"/>
  <c r="G30" i="3"/>
  <c r="G44" i="3"/>
  <c r="G74" i="3"/>
  <c r="G82" i="3"/>
  <c r="G97" i="3"/>
  <c r="G109" i="3" s="1"/>
  <c r="G119" i="3"/>
  <c r="H16" i="3"/>
  <c r="H30" i="3"/>
  <c r="H74" i="3"/>
  <c r="H82" i="3"/>
  <c r="H97" i="3"/>
  <c r="H119" i="3"/>
  <c r="H126" i="3"/>
  <c r="I16" i="3"/>
  <c r="I30" i="3"/>
  <c r="I44" i="3"/>
  <c r="I74" i="3"/>
  <c r="I82" i="3"/>
  <c r="I97" i="3"/>
  <c r="I106" i="3"/>
  <c r="I119" i="3"/>
  <c r="I126" i="3"/>
  <c r="J16" i="3"/>
  <c r="J30" i="3"/>
  <c r="J44" i="3"/>
  <c r="J74" i="3"/>
  <c r="J82" i="3"/>
  <c r="J97" i="3"/>
  <c r="J106" i="3"/>
  <c r="J119" i="3"/>
  <c r="J126" i="3"/>
  <c r="K16" i="3"/>
  <c r="K30" i="3"/>
  <c r="K44" i="3"/>
  <c r="K74" i="3"/>
  <c r="K82" i="3"/>
  <c r="K97" i="3"/>
  <c r="K106" i="3"/>
  <c r="K119" i="3"/>
  <c r="K126" i="3"/>
  <c r="L16" i="3"/>
  <c r="L30" i="3"/>
  <c r="L44" i="3"/>
  <c r="L74" i="3"/>
  <c r="L82" i="3"/>
  <c r="L97" i="3"/>
  <c r="L106" i="3"/>
  <c r="L119" i="3"/>
  <c r="L126" i="3"/>
  <c r="M16" i="3"/>
  <c r="M30" i="3"/>
  <c r="M44" i="3"/>
  <c r="M74" i="3"/>
  <c r="M82" i="3"/>
  <c r="M97" i="3"/>
  <c r="M106" i="3"/>
  <c r="M119" i="3"/>
  <c r="M126" i="3"/>
  <c r="N16" i="3"/>
  <c r="N30" i="3"/>
  <c r="N44" i="3"/>
  <c r="N74" i="3"/>
  <c r="N82" i="3"/>
  <c r="N97" i="3"/>
  <c r="N106" i="3"/>
  <c r="N119" i="3"/>
  <c r="Q46" i="3"/>
  <c r="Q74" i="3"/>
  <c r="Q82" i="3"/>
  <c r="Q97" i="3"/>
  <c r="Q106" i="3"/>
  <c r="Q119" i="3"/>
  <c r="Q126" i="3"/>
  <c r="R46" i="3"/>
  <c r="R74" i="3"/>
  <c r="R82" i="3"/>
  <c r="R97" i="3"/>
  <c r="R106" i="3"/>
  <c r="R119" i="3"/>
  <c r="R126" i="3"/>
  <c r="S30" i="3"/>
  <c r="S44" i="3"/>
  <c r="S74" i="3"/>
  <c r="S82" i="3"/>
  <c r="S97" i="3"/>
  <c r="S106" i="3"/>
  <c r="S119" i="3"/>
  <c r="S126" i="3"/>
  <c r="T16" i="3"/>
  <c r="T30" i="3"/>
  <c r="T44" i="3"/>
  <c r="T74" i="3"/>
  <c r="T82" i="3"/>
  <c r="T97" i="3"/>
  <c r="T106" i="3"/>
  <c r="T119" i="3"/>
  <c r="T126" i="3"/>
  <c r="D156" i="3"/>
  <c r="E156" i="3"/>
  <c r="F156" i="3"/>
  <c r="G156" i="3"/>
  <c r="H156" i="3"/>
  <c r="I156" i="3"/>
  <c r="J156" i="3"/>
  <c r="K156" i="3"/>
  <c r="L156" i="3"/>
  <c r="M156" i="3"/>
  <c r="N156" i="3"/>
  <c r="Q156" i="3"/>
  <c r="R156" i="3"/>
  <c r="S156" i="3"/>
  <c r="T156" i="3"/>
  <c r="X16" i="3"/>
  <c r="X44" i="3"/>
  <c r="X82" i="3"/>
  <c r="X106" i="3"/>
  <c r="X156" i="3"/>
  <c r="S131" i="1"/>
  <c r="N131" i="1"/>
  <c r="T131" i="1"/>
  <c r="S16" i="1"/>
  <c r="S46" i="1"/>
  <c r="S93" i="1"/>
  <c r="M16" i="1"/>
  <c r="M46" i="1"/>
  <c r="M47" i="1" s="1"/>
  <c r="M49" i="1" s="1"/>
  <c r="M50" i="1" s="1"/>
  <c r="M93" i="1"/>
  <c r="M105" i="1"/>
  <c r="N16" i="1"/>
  <c r="N46" i="1"/>
  <c r="N105" i="1"/>
  <c r="R131" i="1"/>
  <c r="R16" i="1"/>
  <c r="R93" i="1"/>
  <c r="R105" i="1"/>
  <c r="T16" i="1"/>
  <c r="T46" i="1"/>
  <c r="T93" i="1"/>
  <c r="T105" i="1"/>
  <c r="E16" i="1"/>
  <c r="E46" i="1"/>
  <c r="E93" i="1"/>
  <c r="E105" i="1"/>
  <c r="F16" i="1"/>
  <c r="F46" i="1"/>
  <c r="F93" i="1"/>
  <c r="F105" i="1"/>
  <c r="L16" i="1"/>
  <c r="L46" i="1"/>
  <c r="L93" i="1"/>
  <c r="L105" i="1"/>
  <c r="J16" i="1"/>
  <c r="J46" i="1"/>
  <c r="J105" i="1"/>
  <c r="D16" i="1"/>
  <c r="D105" i="1"/>
  <c r="G16" i="1"/>
  <c r="G46" i="1"/>
  <c r="G105" i="1"/>
  <c r="H16" i="1"/>
  <c r="H105" i="1"/>
  <c r="I16" i="1"/>
  <c r="I105" i="1"/>
  <c r="K16" i="1"/>
  <c r="K47" i="1" s="1"/>
  <c r="K49" i="1" s="1"/>
  <c r="K50" i="1" s="1"/>
  <c r="K105" i="1"/>
  <c r="Q16" i="1"/>
  <c r="Q47" i="1" s="1"/>
  <c r="Q49" i="1" s="1"/>
  <c r="Q50" i="1" s="1"/>
  <c r="Q106" i="1" s="1"/>
  <c r="Q107" i="1" s="1"/>
  <c r="Q46" i="1"/>
  <c r="Q93" i="1"/>
  <c r="Q105" i="1"/>
  <c r="Q131" i="1"/>
  <c r="W96" i="3"/>
  <c r="Q184" i="3"/>
  <c r="Q191" i="3"/>
  <c r="R184" i="3"/>
  <c r="R191" i="3"/>
  <c r="Y16" i="4"/>
  <c r="I185" i="1"/>
  <c r="D184" i="3"/>
  <c r="D194" i="3" s="1"/>
  <c r="G184" i="3"/>
  <c r="L191" i="3"/>
  <c r="G226" i="4"/>
  <c r="G242" i="4"/>
  <c r="H226" i="4"/>
  <c r="H242" i="4"/>
  <c r="I242" i="4"/>
  <c r="K226" i="4"/>
  <c r="K242" i="4"/>
  <c r="L226" i="4"/>
  <c r="L242" i="4"/>
  <c r="M226" i="4"/>
  <c r="M242" i="4"/>
  <c r="N242" i="4"/>
  <c r="O242" i="4"/>
  <c r="P226" i="4"/>
  <c r="P242" i="4"/>
  <c r="Q226" i="4"/>
  <c r="Q242" i="4"/>
  <c r="V226" i="4"/>
  <c r="V242" i="4"/>
  <c r="W226" i="4"/>
  <c r="W242" i="4"/>
  <c r="L184" i="3"/>
  <c r="H184" i="3"/>
  <c r="H191" i="3"/>
  <c r="I184" i="3"/>
  <c r="I191" i="3"/>
  <c r="J184" i="3"/>
  <c r="J194" i="3" s="1"/>
  <c r="J191" i="3"/>
  <c r="K184" i="3"/>
  <c r="K191" i="3"/>
  <c r="M184" i="3"/>
  <c r="M191" i="3"/>
  <c r="N184" i="3"/>
  <c r="S184" i="3"/>
  <c r="S191" i="3"/>
  <c r="T184" i="3"/>
  <c r="T191" i="3"/>
  <c r="G185" i="1"/>
  <c r="H185" i="1"/>
  <c r="J185" i="1"/>
  <c r="K149" i="1"/>
  <c r="K185" i="1"/>
  <c r="N149" i="1"/>
  <c r="Q185" i="1"/>
  <c r="R149" i="1"/>
  <c r="R185" i="1"/>
  <c r="T149" i="1"/>
  <c r="T185" i="1"/>
  <c r="P487" i="2"/>
  <c r="W487" i="2"/>
  <c r="W107" i="3"/>
  <c r="I493" i="3"/>
  <c r="I517" i="1"/>
  <c r="E154" i="4"/>
  <c r="F185" i="1"/>
  <c r="O253" i="2"/>
  <c r="N186" i="4"/>
  <c r="N189" i="4" s="1"/>
  <c r="D154" i="4"/>
  <c r="F242" i="4"/>
  <c r="N163" i="4"/>
  <c r="E242" i="4"/>
  <c r="D129" i="4"/>
  <c r="O363" i="2"/>
  <c r="N151" i="2"/>
  <c r="T363" i="2"/>
  <c r="T253" i="2"/>
  <c r="O151" i="2"/>
  <c r="N487" i="2"/>
  <c r="I487" i="2"/>
  <c r="M131" i="1"/>
  <c r="E119" i="3"/>
  <c r="N126" i="3"/>
  <c r="X184" i="3"/>
  <c r="N191" i="3"/>
  <c r="E106" i="3"/>
  <c r="E191" i="3"/>
  <c r="X74" i="3"/>
  <c r="E184" i="3"/>
  <c r="Q149" i="1"/>
  <c r="N185" i="1"/>
  <c r="F149" i="1"/>
  <c r="M185" i="1"/>
  <c r="E131" i="1"/>
  <c r="L185" i="1"/>
  <c r="E185" i="1"/>
  <c r="S149" i="1"/>
  <c r="I226" i="4"/>
  <c r="F226" i="4"/>
  <c r="T487" i="2"/>
  <c r="M487" i="2"/>
  <c r="G487" i="2"/>
  <c r="V253" i="2"/>
  <c r="X192" i="2"/>
  <c r="L112" i="4"/>
  <c r="L116" i="4" s="1"/>
  <c r="D112" i="4"/>
  <c r="D116" i="4" s="1"/>
  <c r="R58" i="4"/>
  <c r="D71" i="4"/>
  <c r="E112" i="4"/>
  <c r="E116" i="4" s="1"/>
  <c r="F82" i="3"/>
  <c r="R97" i="4"/>
  <c r="F112" i="4"/>
  <c r="F116" i="4" s="1"/>
  <c r="R171" i="2"/>
  <c r="O58" i="1"/>
  <c r="O114" i="1"/>
  <c r="W114" i="1" s="1"/>
  <c r="O133" i="1"/>
  <c r="K93" i="1"/>
  <c r="O123" i="1"/>
  <c r="O126" i="1"/>
  <c r="L131" i="1"/>
  <c r="D131" i="1"/>
  <c r="I93" i="1"/>
  <c r="F131" i="1"/>
  <c r="O124" i="1"/>
  <c r="J131" i="1"/>
  <c r="I131" i="1"/>
  <c r="J93" i="1"/>
  <c r="H93" i="1"/>
  <c r="D93" i="1"/>
  <c r="O57" i="1"/>
  <c r="H131" i="1"/>
  <c r="O111" i="1"/>
  <c r="O108" i="1"/>
  <c r="E129" i="4"/>
  <c r="R307" i="2"/>
  <c r="R357" i="2"/>
  <c r="R181" i="2"/>
  <c r="M363" i="2"/>
  <c r="R278" i="2"/>
  <c r="R298" i="2"/>
  <c r="R403" i="2"/>
  <c r="R397" i="2"/>
  <c r="R277" i="2"/>
  <c r="J363" i="2"/>
  <c r="R312" i="2"/>
  <c r="R329" i="2"/>
  <c r="M253" i="2"/>
  <c r="R303" i="2"/>
  <c r="R358" i="2"/>
  <c r="R345" i="2"/>
  <c r="R347" i="2"/>
  <c r="R180" i="2"/>
  <c r="D151" i="2"/>
  <c r="Z253" i="2"/>
  <c r="R160" i="2"/>
  <c r="R179" i="2"/>
  <c r="R188" i="2"/>
  <c r="R296" i="2"/>
  <c r="R335" i="2"/>
  <c r="R337" i="2"/>
  <c r="R348" i="2"/>
  <c r="R404" i="2"/>
  <c r="J253" i="2"/>
  <c r="R173" i="2"/>
  <c r="Q253" i="2"/>
  <c r="R177" i="2"/>
  <c r="R297" i="2"/>
  <c r="R187" i="2"/>
  <c r="K253" i="2"/>
  <c r="K363" i="2"/>
  <c r="R285" i="2"/>
  <c r="R359" i="2"/>
  <c r="R110" i="2"/>
  <c r="L487" i="2"/>
  <c r="H253" i="2"/>
  <c r="R214" i="2"/>
  <c r="F253" i="2"/>
  <c r="R402" i="2"/>
  <c r="F387" i="2"/>
  <c r="K487" i="2"/>
  <c r="F363" i="2"/>
  <c r="L363" i="2"/>
  <c r="N363" i="2"/>
  <c r="E363" i="2"/>
  <c r="H363" i="2"/>
  <c r="Z363" i="2"/>
  <c r="R414" i="2"/>
  <c r="O487" i="2"/>
  <c r="R112" i="2"/>
  <c r="L253" i="2"/>
  <c r="R276" i="2"/>
  <c r="R316" i="2"/>
  <c r="R412" i="2"/>
  <c r="O158" i="1"/>
  <c r="E546" i="2"/>
  <c r="R501" i="2"/>
  <c r="R506" i="2"/>
  <c r="R511" i="2"/>
  <c r="Y511" i="2" s="1"/>
  <c r="O192" i="1"/>
  <c r="W192" i="1" s="1"/>
  <c r="O197" i="1"/>
  <c r="W197" i="1" s="1"/>
  <c r="D216" i="1"/>
  <c r="R525" i="2"/>
  <c r="Y525" i="2" s="1"/>
  <c r="G546" i="2"/>
  <c r="R529" i="2"/>
  <c r="Y529" i="2" s="1"/>
  <c r="V546" i="2"/>
  <c r="R184" i="4"/>
  <c r="Y184" i="4" s="1"/>
  <c r="F106" i="3"/>
  <c r="H106" i="3"/>
  <c r="X140" i="3"/>
  <c r="F126" i="3"/>
  <c r="O121" i="3"/>
  <c r="W121" i="3" s="1"/>
  <c r="O143" i="3"/>
  <c r="R534" i="2"/>
  <c r="R539" i="2"/>
  <c r="Y539" i="2" s="1"/>
  <c r="M189" i="4"/>
  <c r="R179" i="4"/>
  <c r="R170" i="4"/>
  <c r="R182" i="4"/>
  <c r="E163" i="4"/>
  <c r="Y160" i="4"/>
  <c r="R178" i="4"/>
  <c r="L186" i="4"/>
  <c r="Y161" i="4"/>
  <c r="Y155" i="4"/>
  <c r="O101" i="3"/>
  <c r="Y152" i="4"/>
  <c r="O16" i="3"/>
  <c r="R83" i="2"/>
  <c r="D144" i="4"/>
  <c r="D30" i="4"/>
  <c r="W172" i="3"/>
  <c r="U33" i="1"/>
  <c r="O35" i="3"/>
  <c r="G189" i="4"/>
  <c r="N49" i="4"/>
  <c r="R68" i="4"/>
  <c r="Y68" i="4" s="1"/>
  <c r="K166" i="4"/>
  <c r="K49" i="4"/>
  <c r="P166" i="4"/>
  <c r="X112" i="4"/>
  <c r="T116" i="4"/>
  <c r="D166" i="4"/>
  <c r="O245" i="4"/>
  <c r="R36" i="4"/>
  <c r="L71" i="4"/>
  <c r="R112" i="4"/>
  <c r="G166" i="4"/>
  <c r="O49" i="4"/>
  <c r="U166" i="4"/>
  <c r="U245" i="4"/>
  <c r="T103" i="2"/>
  <c r="G99" i="2"/>
  <c r="R106" i="2"/>
  <c r="R130" i="2"/>
  <c r="R22" i="2"/>
  <c r="R62" i="2"/>
  <c r="W36" i="3"/>
  <c r="R80" i="2"/>
  <c r="Y80" i="2" s="1"/>
  <c r="J99" i="2"/>
  <c r="O19" i="1"/>
  <c r="W19" i="1" s="1"/>
  <c r="W52" i="1"/>
  <c r="W42" i="1"/>
  <c r="D46" i="1"/>
  <c r="D47" i="1" s="1"/>
  <c r="D49" i="1" s="1"/>
  <c r="D50" i="1" s="1"/>
  <c r="Y65" i="2"/>
  <c r="Y60" i="2"/>
  <c r="D99" i="2"/>
  <c r="K99" i="2"/>
  <c r="R121" i="2"/>
  <c r="R21" i="2"/>
  <c r="R18" i="2"/>
  <c r="J151" i="2"/>
  <c r="R78" i="2"/>
  <c r="F99" i="2"/>
  <c r="Y55" i="2"/>
  <c r="R87" i="2"/>
  <c r="F151" i="2"/>
  <c r="L99" i="2"/>
  <c r="Z99" i="2"/>
  <c r="Z103" i="2" s="1"/>
  <c r="Z152" i="2" s="1"/>
  <c r="Z153" i="2" s="1"/>
  <c r="M245" i="4" l="1"/>
  <c r="G245" i="4"/>
  <c r="Y77" i="4"/>
  <c r="Y85" i="4"/>
  <c r="Y214" i="4"/>
  <c r="Y78" i="4"/>
  <c r="Y82" i="4"/>
  <c r="Y86" i="4"/>
  <c r="Y219" i="4"/>
  <c r="Y223" i="4"/>
  <c r="Y230" i="4"/>
  <c r="Y234" i="4"/>
  <c r="Y183" i="4"/>
  <c r="Y158" i="4"/>
  <c r="Y24" i="4"/>
  <c r="Y27" i="4"/>
  <c r="Y41" i="4"/>
  <c r="Y43" i="4"/>
  <c r="W21" i="3"/>
  <c r="W42" i="3"/>
  <c r="W58" i="3"/>
  <c r="W62" i="3"/>
  <c r="W66" i="3"/>
  <c r="W37" i="3"/>
  <c r="Y345" i="2"/>
  <c r="Y418" i="2"/>
  <c r="Y419" i="2"/>
  <c r="Y463" i="2"/>
  <c r="Y471" i="2"/>
  <c r="Y475" i="2"/>
  <c r="Y479" i="2"/>
  <c r="Y483" i="2"/>
  <c r="Y507" i="2"/>
  <c r="Y79" i="4"/>
  <c r="Y83" i="4"/>
  <c r="Y101" i="4"/>
  <c r="Y194" i="4"/>
  <c r="Y199" i="4"/>
  <c r="Y220" i="4"/>
  <c r="Y231" i="4"/>
  <c r="Y112" i="4"/>
  <c r="Y191" i="4"/>
  <c r="Y195" i="4"/>
  <c r="Y213" i="4"/>
  <c r="Y217" i="4"/>
  <c r="Y221" i="4"/>
  <c r="W69" i="3"/>
  <c r="W68" i="3"/>
  <c r="Y497" i="2"/>
  <c r="Y499" i="2"/>
  <c r="Y504" i="2"/>
  <c r="Y514" i="2"/>
  <c r="Y516" i="2"/>
  <c r="F129" i="3"/>
  <c r="F86" i="3"/>
  <c r="W113" i="3"/>
  <c r="F109" i="3"/>
  <c r="O82" i="3"/>
  <c r="I194" i="3"/>
  <c r="J109" i="3"/>
  <c r="J46" i="3"/>
  <c r="J47" i="3" s="1"/>
  <c r="J53" i="3" s="1"/>
  <c r="J54" i="3" s="1"/>
  <c r="W57" i="3"/>
  <c r="W65" i="3"/>
  <c r="W78" i="3"/>
  <c r="W91" i="3"/>
  <c r="W56" i="3"/>
  <c r="K46" i="3"/>
  <c r="T86" i="3"/>
  <c r="Q86" i="3"/>
  <c r="L86" i="3"/>
  <c r="X149" i="3"/>
  <c r="W101" i="3"/>
  <c r="W112" i="3"/>
  <c r="W116" i="3"/>
  <c r="U82" i="3"/>
  <c r="U119" i="3"/>
  <c r="X109" i="3"/>
  <c r="Y316" i="2"/>
  <c r="Y416" i="2"/>
  <c r="Y424" i="2"/>
  <c r="Y428" i="2"/>
  <c r="Y434" i="2"/>
  <c r="Y440" i="2"/>
  <c r="Y445" i="2"/>
  <c r="Y455" i="2"/>
  <c r="Y459" i="2"/>
  <c r="Y462" i="2"/>
  <c r="Y401" i="2"/>
  <c r="Y500" i="2"/>
  <c r="Y519" i="2"/>
  <c r="Y492" i="2"/>
  <c r="W170" i="1"/>
  <c r="W94" i="1"/>
  <c r="Y298" i="2"/>
  <c r="Y389" i="2"/>
  <c r="Y30" i="2"/>
  <c r="Y410" i="2"/>
  <c r="W67" i="3"/>
  <c r="W60" i="3"/>
  <c r="W64" i="3"/>
  <c r="W168" i="3"/>
  <c r="Y54" i="4"/>
  <c r="Y60" i="4"/>
  <c r="Y122" i="4"/>
  <c r="Y97" i="4"/>
  <c r="Y149" i="4"/>
  <c r="Y156" i="4"/>
  <c r="Y139" i="4"/>
  <c r="Y170" i="4"/>
  <c r="P189" i="4"/>
  <c r="Y172" i="4"/>
  <c r="L189" i="4"/>
  <c r="X186" i="4"/>
  <c r="V189" i="4"/>
  <c r="J189" i="4"/>
  <c r="Y173" i="4"/>
  <c r="I245" i="4"/>
  <c r="E149" i="3"/>
  <c r="M149" i="3"/>
  <c r="S149" i="3"/>
  <c r="Y531" i="2"/>
  <c r="Y536" i="2"/>
  <c r="Y538" i="2"/>
  <c r="Y541" i="2"/>
  <c r="Y543" i="2"/>
  <c r="Y308" i="2"/>
  <c r="T152" i="2"/>
  <c r="T153" i="2" s="1"/>
  <c r="Y534" i="2"/>
  <c r="Y412" i="2"/>
  <c r="W111" i="1"/>
  <c r="W124" i="1"/>
  <c r="W122" i="1"/>
  <c r="W171" i="1"/>
  <c r="W175" i="1"/>
  <c r="Y46" i="2"/>
  <c r="Y382" i="2"/>
  <c r="Y366" i="2"/>
  <c r="Y370" i="2"/>
  <c r="Y376" i="2"/>
  <c r="Y384" i="2"/>
  <c r="Y369" i="2"/>
  <c r="Y374" i="2"/>
  <c r="Y296" i="2"/>
  <c r="Y180" i="2"/>
  <c r="Y357" i="2"/>
  <c r="Y192" i="2"/>
  <c r="Y423" i="2"/>
  <c r="Y335" i="2"/>
  <c r="Y347" i="2"/>
  <c r="Y491" i="2"/>
  <c r="Y317" i="2"/>
  <c r="Y192" i="4"/>
  <c r="Y59" i="4"/>
  <c r="Y150" i="4"/>
  <c r="Y124" i="4"/>
  <c r="Y58" i="4"/>
  <c r="Y132" i="4"/>
  <c r="Y178" i="4"/>
  <c r="Y182" i="4"/>
  <c r="Y69" i="4"/>
  <c r="Y103" i="4"/>
  <c r="Y107" i="4"/>
  <c r="Y115" i="4"/>
  <c r="Y98" i="4"/>
  <c r="Y44" i="4"/>
  <c r="Y196" i="4"/>
  <c r="W141" i="1"/>
  <c r="W189" i="3"/>
  <c r="W170" i="3"/>
  <c r="W174" i="3"/>
  <c r="W178" i="3"/>
  <c r="W158" i="3"/>
  <c r="W164" i="3"/>
  <c r="W173" i="3"/>
  <c r="W179" i="3"/>
  <c r="W186" i="3"/>
  <c r="F194" i="3"/>
  <c r="W119" i="1"/>
  <c r="W127" i="1"/>
  <c r="W120" i="1"/>
  <c r="Y309" i="2"/>
  <c r="Y349" i="2"/>
  <c r="Y355" i="2"/>
  <c r="Q153" i="1"/>
  <c r="Q154" i="1" s="1"/>
  <c r="Q186" i="1" s="1"/>
  <c r="Q187" i="1" s="1"/>
  <c r="Q217" i="1" s="1"/>
  <c r="Q221" i="1" s="1"/>
  <c r="W136" i="3"/>
  <c r="W117" i="1"/>
  <c r="W109" i="1"/>
  <c r="Y173" i="2"/>
  <c r="Y337" i="2"/>
  <c r="Y303" i="2"/>
  <c r="Y280" i="2"/>
  <c r="Y306" i="2"/>
  <c r="Y313" i="2"/>
  <c r="Y339" i="2"/>
  <c r="Y297" i="2"/>
  <c r="Y278" i="2"/>
  <c r="Y307" i="2"/>
  <c r="Y273" i="2"/>
  <c r="Y291" i="2"/>
  <c r="Y295" i="2"/>
  <c r="Y85" i="2"/>
  <c r="Y277" i="2"/>
  <c r="Y322" i="2"/>
  <c r="Y235" i="4"/>
  <c r="N245" i="4"/>
  <c r="J245" i="4"/>
  <c r="Y207" i="4"/>
  <c r="Y215" i="4"/>
  <c r="Y232" i="4"/>
  <c r="Y236" i="4"/>
  <c r="P245" i="4"/>
  <c r="D245" i="4"/>
  <c r="Y218" i="4"/>
  <c r="Y222" i="4"/>
  <c r="O116" i="4"/>
  <c r="Y157" i="4"/>
  <c r="Y102" i="4"/>
  <c r="Y148" i="4"/>
  <c r="Y131" i="4"/>
  <c r="Y113" i="4"/>
  <c r="Y96" i="4"/>
  <c r="X166" i="4"/>
  <c r="R163" i="4"/>
  <c r="X176" i="4"/>
  <c r="H245" i="4"/>
  <c r="W189" i="4"/>
  <c r="Y228" i="4"/>
  <c r="Y212" i="4"/>
  <c r="R142" i="4"/>
  <c r="X242" i="4"/>
  <c r="R200" i="4"/>
  <c r="X200" i="4"/>
  <c r="X129" i="4"/>
  <c r="R129" i="4"/>
  <c r="F166" i="4"/>
  <c r="K189" i="4"/>
  <c r="R186" i="4"/>
  <c r="F245" i="4"/>
  <c r="N166" i="4"/>
  <c r="L245" i="4"/>
  <c r="O166" i="4"/>
  <c r="J86" i="3"/>
  <c r="X86" i="3"/>
  <c r="I86" i="3"/>
  <c r="W77" i="3"/>
  <c r="L194" i="3"/>
  <c r="O184" i="3"/>
  <c r="X129" i="3"/>
  <c r="Q109" i="3"/>
  <c r="J129" i="3"/>
  <c r="W115" i="3"/>
  <c r="H109" i="3"/>
  <c r="S109" i="3"/>
  <c r="K109" i="3"/>
  <c r="U106" i="3"/>
  <c r="O119" i="3"/>
  <c r="T194" i="3"/>
  <c r="Q194" i="3"/>
  <c r="J149" i="3"/>
  <c r="N149" i="3"/>
  <c r="T149" i="3"/>
  <c r="W114" i="3"/>
  <c r="W123" i="3"/>
  <c r="W135" i="3"/>
  <c r="W176" i="3"/>
  <c r="W154" i="3"/>
  <c r="W175" i="3"/>
  <c r="W90" i="3"/>
  <c r="E129" i="3"/>
  <c r="W180" i="3"/>
  <c r="W187" i="3"/>
  <c r="W103" i="3"/>
  <c r="Y468" i="2"/>
  <c r="Y472" i="2"/>
  <c r="Y476" i="2"/>
  <c r="Y480" i="2"/>
  <c r="Y484" i="2"/>
  <c r="Y417" i="2"/>
  <c r="Y425" i="2"/>
  <c r="Y429" i="2"/>
  <c r="Y436" i="2"/>
  <c r="Y452" i="2"/>
  <c r="Y456" i="2"/>
  <c r="Y460" i="2"/>
  <c r="Y464" i="2"/>
  <c r="Y402" i="2"/>
  <c r="Y398" i="2"/>
  <c r="W204" i="1"/>
  <c r="W181" i="1"/>
  <c r="W174" i="1"/>
  <c r="Y422" i="2"/>
  <c r="Y442" i="2"/>
  <c r="Y478" i="2"/>
  <c r="Y341" i="2"/>
  <c r="Y396" i="2"/>
  <c r="Y255" i="2"/>
  <c r="L103" i="2"/>
  <c r="L152" i="2" s="1"/>
  <c r="L153" i="2" s="1"/>
  <c r="L263" i="2" s="1"/>
  <c r="L264" i="2" s="1"/>
  <c r="L391" i="2" s="1"/>
  <c r="L392" i="2" s="1"/>
  <c r="L488" i="2" s="1"/>
  <c r="L489" i="2" s="1"/>
  <c r="L547" i="2" s="1"/>
  <c r="L551" i="2" s="1"/>
  <c r="J103" i="2"/>
  <c r="J152" i="2" s="1"/>
  <c r="J153" i="2" s="1"/>
  <c r="J263" i="2" s="1"/>
  <c r="J264" i="2" s="1"/>
  <c r="J391" i="2" s="1"/>
  <c r="J392" i="2" s="1"/>
  <c r="J488" i="2" s="1"/>
  <c r="J489" i="2" s="1"/>
  <c r="J547" i="2" s="1"/>
  <c r="J551" i="2" s="1"/>
  <c r="Y276" i="2"/>
  <c r="Y259" i="2"/>
  <c r="Y287" i="2"/>
  <c r="Y321" i="2"/>
  <c r="Y312" i="2"/>
  <c r="Y224" i="2"/>
  <c r="Y244" i="2"/>
  <c r="Y113" i="2"/>
  <c r="W118" i="1"/>
  <c r="W190" i="1"/>
  <c r="W57" i="1"/>
  <c r="W123" i="1"/>
  <c r="T47" i="1"/>
  <c r="T49" i="1" s="1"/>
  <c r="T50" i="1" s="1"/>
  <c r="T106" i="1" s="1"/>
  <c r="T107" i="1" s="1"/>
  <c r="T153" i="1" s="1"/>
  <c r="T154" i="1" s="1"/>
  <c r="T186" i="1" s="1"/>
  <c r="T187" i="1" s="1"/>
  <c r="T217" i="1" s="1"/>
  <c r="T221" i="1" s="1"/>
  <c r="W140" i="1"/>
  <c r="W198" i="1"/>
  <c r="W199" i="1"/>
  <c r="W69" i="1"/>
  <c r="W73" i="1"/>
  <c r="W77" i="1"/>
  <c r="W81" i="1"/>
  <c r="W85" i="1"/>
  <c r="W89" i="1"/>
  <c r="W95" i="1"/>
  <c r="W99" i="1"/>
  <c r="W103" i="1"/>
  <c r="W143" i="1"/>
  <c r="W121" i="1"/>
  <c r="W125" i="1"/>
  <c r="W59" i="1"/>
  <c r="W56" i="1"/>
  <c r="O131" i="1"/>
  <c r="Y219" i="2"/>
  <c r="Y243" i="2"/>
  <c r="Y251" i="2"/>
  <c r="Y246" i="2"/>
  <c r="Y201" i="2"/>
  <c r="Y506" i="2"/>
  <c r="Y404" i="2"/>
  <c r="Y329" i="2"/>
  <c r="Y397" i="2"/>
  <c r="Y227" i="2"/>
  <c r="Y256" i="2"/>
  <c r="Y260" i="2"/>
  <c r="Y415" i="2"/>
  <c r="Y438" i="2"/>
  <c r="Y458" i="2"/>
  <c r="Y482" i="2"/>
  <c r="Y344" i="2"/>
  <c r="Y350" i="2"/>
  <c r="Y527" i="2"/>
  <c r="Y505" i="2"/>
  <c r="Y513" i="2"/>
  <c r="Y348" i="2"/>
  <c r="Y372" i="2"/>
  <c r="Y323" i="2"/>
  <c r="Y319" i="2"/>
  <c r="T263" i="2"/>
  <c r="T264" i="2" s="1"/>
  <c r="T391" i="2" s="1"/>
  <c r="T392" i="2" s="1"/>
  <c r="T488" i="2" s="1"/>
  <c r="T489" i="2" s="1"/>
  <c r="T547" i="2" s="1"/>
  <c r="T551" i="2" s="1"/>
  <c r="Y385" i="2"/>
  <c r="Y426" i="2"/>
  <c r="Y437" i="2"/>
  <c r="Y465" i="2"/>
  <c r="Y267" i="2"/>
  <c r="Y326" i="2"/>
  <c r="Y328" i="2"/>
  <c r="Y360" i="2"/>
  <c r="Y498" i="2"/>
  <c r="Y234" i="2"/>
  <c r="Y169" i="2"/>
  <c r="W58" i="1"/>
  <c r="Y185" i="2"/>
  <c r="Y199" i="2"/>
  <c r="Y91" i="2"/>
  <c r="W63" i="3"/>
  <c r="Y97" i="2"/>
  <c r="Y196" i="2"/>
  <c r="Y213" i="2"/>
  <c r="Y203" i="2"/>
  <c r="Y223" i="2"/>
  <c r="Y231" i="2"/>
  <c r="Y235" i="2"/>
  <c r="Y239" i="2"/>
  <c r="Y247" i="2"/>
  <c r="R86" i="3"/>
  <c r="Y214" i="2"/>
  <c r="Y218" i="2"/>
  <c r="Y222" i="2"/>
  <c r="Y226" i="2"/>
  <c r="Y230" i="2"/>
  <c r="Y238" i="2"/>
  <c r="Y242" i="2"/>
  <c r="Y250" i="2"/>
  <c r="Y204" i="2"/>
  <c r="X94" i="4"/>
  <c r="Y81" i="4"/>
  <c r="R94" i="4"/>
  <c r="Y237" i="2"/>
  <c r="Y177" i="2"/>
  <c r="Y184" i="2"/>
  <c r="W38" i="1"/>
  <c r="W72" i="1"/>
  <c r="W33" i="1"/>
  <c r="W76" i="1"/>
  <c r="W80" i="1"/>
  <c r="W84" i="1"/>
  <c r="W88" i="1"/>
  <c r="U93" i="1"/>
  <c r="W91" i="1"/>
  <c r="Y160" i="2"/>
  <c r="Y217" i="2"/>
  <c r="Y221" i="2"/>
  <c r="Y225" i="2"/>
  <c r="Y229" i="2"/>
  <c r="Y233" i="2"/>
  <c r="Y241" i="2"/>
  <c r="Y245" i="2"/>
  <c r="Y176" i="2"/>
  <c r="Y181" i="2"/>
  <c r="Y171" i="2"/>
  <c r="Y41" i="2"/>
  <c r="Y170" i="2"/>
  <c r="Y76" i="4"/>
  <c r="Y157" i="2"/>
  <c r="X253" i="2"/>
  <c r="Z263" i="2"/>
  <c r="Z264" i="2" s="1"/>
  <c r="Z391" i="2" s="1"/>
  <c r="Z392" i="2" s="1"/>
  <c r="Z488" i="2" s="1"/>
  <c r="Z489" i="2" s="1"/>
  <c r="Z547" i="2" s="1"/>
  <c r="Z551" i="2" s="1"/>
  <c r="T53" i="4"/>
  <c r="T73" i="4" s="1"/>
  <c r="K53" i="4"/>
  <c r="K73" i="4" s="1"/>
  <c r="K74" i="4" s="1"/>
  <c r="K117" i="4" s="1"/>
  <c r="K118" i="4" s="1"/>
  <c r="N53" i="4"/>
  <c r="N73" i="4" s="1"/>
  <c r="N74" i="4" s="1"/>
  <c r="X17" i="4"/>
  <c r="X71" i="4"/>
  <c r="Y55" i="4"/>
  <c r="H49" i="4"/>
  <c r="H53" i="4" s="1"/>
  <c r="H73" i="4" s="1"/>
  <c r="H74" i="4" s="1"/>
  <c r="H117" i="4" s="1"/>
  <c r="H118" i="4" s="1"/>
  <c r="H145" i="4" s="1"/>
  <c r="H146" i="4" s="1"/>
  <c r="Y64" i="4"/>
  <c r="X154" i="4"/>
  <c r="W245" i="4"/>
  <c r="Q245" i="4"/>
  <c r="O144" i="4"/>
  <c r="M144" i="4"/>
  <c r="K144" i="4"/>
  <c r="G144" i="4"/>
  <c r="E189" i="4"/>
  <c r="U144" i="4"/>
  <c r="U189" i="4"/>
  <c r="Y171" i="4"/>
  <c r="Y202" i="4"/>
  <c r="Y211" i="4"/>
  <c r="Y229" i="4"/>
  <c r="Y123" i="4"/>
  <c r="Y180" i="4"/>
  <c r="E144" i="4"/>
  <c r="J166" i="4"/>
  <c r="I189" i="4"/>
  <c r="T189" i="4"/>
  <c r="Y193" i="4"/>
  <c r="Y198" i="4"/>
  <c r="Y237" i="4"/>
  <c r="Y179" i="4"/>
  <c r="R154" i="4"/>
  <c r="E166" i="4"/>
  <c r="W144" i="4"/>
  <c r="Q144" i="4"/>
  <c r="Y216" i="4"/>
  <c r="Y133" i="4"/>
  <c r="Y137" i="4"/>
  <c r="H166" i="4"/>
  <c r="Q189" i="4"/>
  <c r="T144" i="4"/>
  <c r="X144" i="4" s="1"/>
  <c r="Y99" i="4"/>
  <c r="Y120" i="4"/>
  <c r="Y121" i="4"/>
  <c r="X116" i="4"/>
  <c r="I144" i="4"/>
  <c r="X142" i="4"/>
  <c r="O189" i="4"/>
  <c r="Y134" i="4"/>
  <c r="N117" i="4"/>
  <c r="N118" i="4" s="1"/>
  <c r="N145" i="4" s="1"/>
  <c r="N146" i="4" s="1"/>
  <c r="N167" i="4" s="1"/>
  <c r="N168" i="4" s="1"/>
  <c r="N190" i="4" s="1"/>
  <c r="N204" i="4" s="1"/>
  <c r="N205" i="4" s="1"/>
  <c r="N246" i="4" s="1"/>
  <c r="N252" i="4" s="1"/>
  <c r="V245" i="4"/>
  <c r="Y100" i="4"/>
  <c r="Y138" i="4"/>
  <c r="K245" i="4"/>
  <c r="L166" i="4"/>
  <c r="P144" i="4"/>
  <c r="G116" i="4"/>
  <c r="R116" i="4" s="1"/>
  <c r="F189" i="4"/>
  <c r="W28" i="3"/>
  <c r="Q47" i="3"/>
  <c r="Q53" i="3" s="1"/>
  <c r="Q54" i="3" s="1"/>
  <c r="W27" i="3"/>
  <c r="W51" i="3"/>
  <c r="W171" i="3"/>
  <c r="W152" i="3"/>
  <c r="W153" i="3"/>
  <c r="O156" i="3"/>
  <c r="M194" i="3"/>
  <c r="N109" i="3"/>
  <c r="F149" i="3"/>
  <c r="U191" i="3"/>
  <c r="U146" i="3"/>
  <c r="X194" i="3"/>
  <c r="S129" i="3"/>
  <c r="L109" i="3"/>
  <c r="K149" i="3"/>
  <c r="W89" i="3"/>
  <c r="U156" i="3"/>
  <c r="U184" i="3"/>
  <c r="G194" i="3"/>
  <c r="N129" i="3"/>
  <c r="G129" i="3"/>
  <c r="D109" i="3"/>
  <c r="H149" i="3"/>
  <c r="L149" i="3"/>
  <c r="R149" i="3"/>
  <c r="W167" i="3"/>
  <c r="U97" i="3"/>
  <c r="W100" i="3"/>
  <c r="U126" i="3"/>
  <c r="U129" i="3" s="1"/>
  <c r="E194" i="3"/>
  <c r="N194" i="3"/>
  <c r="R109" i="3"/>
  <c r="M109" i="3"/>
  <c r="E109" i="3"/>
  <c r="T109" i="3"/>
  <c r="W59" i="3"/>
  <c r="W133" i="3"/>
  <c r="U194" i="3"/>
  <c r="W177" i="3"/>
  <c r="W181" i="3"/>
  <c r="S194" i="3"/>
  <c r="K194" i="3"/>
  <c r="D149" i="3"/>
  <c r="O191" i="3"/>
  <c r="U74" i="3"/>
  <c r="U86" i="3" s="1"/>
  <c r="I103" i="2"/>
  <c r="Y67" i="2"/>
  <c r="Y72" i="2"/>
  <c r="P103" i="2"/>
  <c r="P152" i="2" s="1"/>
  <c r="P153" i="2" s="1"/>
  <c r="P263" i="2" s="1"/>
  <c r="P264" i="2" s="1"/>
  <c r="P391" i="2" s="1"/>
  <c r="P392" i="2" s="1"/>
  <c r="P488" i="2" s="1"/>
  <c r="P489" i="2" s="1"/>
  <c r="P547" i="2" s="1"/>
  <c r="P551" i="2" s="1"/>
  <c r="Y120" i="2"/>
  <c r="Y124" i="2"/>
  <c r="Y141" i="2"/>
  <c r="Y79" i="2"/>
  <c r="Y61" i="2"/>
  <c r="W103" i="2"/>
  <c r="W152" i="2" s="1"/>
  <c r="W153" i="2" s="1"/>
  <c r="W263" i="2" s="1"/>
  <c r="W264" i="2" s="1"/>
  <c r="W391" i="2" s="1"/>
  <c r="W392" i="2" s="1"/>
  <c r="W488" i="2" s="1"/>
  <c r="W489" i="2" s="1"/>
  <c r="W547" i="2" s="1"/>
  <c r="W551" i="2" s="1"/>
  <c r="Y115" i="2"/>
  <c r="X546" i="2"/>
  <c r="Y515" i="2"/>
  <c r="Y517" i="2"/>
  <c r="Y544" i="2"/>
  <c r="Y414" i="2"/>
  <c r="Y432" i="2"/>
  <c r="Y441" i="2"/>
  <c r="Y453" i="2"/>
  <c r="Y457" i="2"/>
  <c r="Y461" i="2"/>
  <c r="Y469" i="2"/>
  <c r="Y477" i="2"/>
  <c r="Y481" i="2"/>
  <c r="Y501" i="2"/>
  <c r="Y403" i="2"/>
  <c r="Y371" i="2"/>
  <c r="Y377" i="2"/>
  <c r="Y358" i="2"/>
  <c r="Y367" i="2"/>
  <c r="Y340" i="2"/>
  <c r="Y352" i="2"/>
  <c r="Y356" i="2"/>
  <c r="X363" i="2"/>
  <c r="Y274" i="2"/>
  <c r="Y292" i="2"/>
  <c r="Y281" i="2"/>
  <c r="Y305" i="2"/>
  <c r="Y285" i="2"/>
  <c r="Y301" i="2"/>
  <c r="Y279" i="2"/>
  <c r="Y310" i="2"/>
  <c r="R546" i="2"/>
  <c r="Y286" i="2"/>
  <c r="Y342" i="2"/>
  <c r="R262" i="2"/>
  <c r="Y216" i="2"/>
  <c r="Y220" i="2"/>
  <c r="Y240" i="2"/>
  <c r="Y248" i="2"/>
  <c r="Y252" i="2"/>
  <c r="Y257" i="2"/>
  <c r="Y261" i="2"/>
  <c r="Y378" i="2"/>
  <c r="Y470" i="2"/>
  <c r="Y178" i="2"/>
  <c r="Y191" i="2"/>
  <c r="Y270" i="2"/>
  <c r="Y284" i="2"/>
  <c r="Y327" i="2"/>
  <c r="Y330" i="2"/>
  <c r="Y351" i="2"/>
  <c r="Y521" i="2"/>
  <c r="X487" i="2"/>
  <c r="Y187" i="2"/>
  <c r="Y294" i="2"/>
  <c r="Y315" i="2"/>
  <c r="Y325" i="2"/>
  <c r="Y336" i="2"/>
  <c r="Y343" i="2"/>
  <c r="Y508" i="2"/>
  <c r="R363" i="2"/>
  <c r="R487" i="2"/>
  <c r="Y190" i="2"/>
  <c r="Y282" i="2"/>
  <c r="Y359" i="2"/>
  <c r="Y510" i="2"/>
  <c r="Y522" i="2"/>
  <c r="Y524" i="2"/>
  <c r="Y496" i="2"/>
  <c r="W39" i="1"/>
  <c r="W40" i="1"/>
  <c r="W172" i="1"/>
  <c r="W180" i="1"/>
  <c r="W112" i="1"/>
  <c r="W158" i="1"/>
  <c r="W168" i="1"/>
  <c r="W142" i="1"/>
  <c r="U149" i="1"/>
  <c r="W194" i="1"/>
  <c r="W108" i="1"/>
  <c r="W135" i="1"/>
  <c r="W157" i="1"/>
  <c r="W98" i="1"/>
  <c r="U105" i="1"/>
  <c r="O93" i="1"/>
  <c r="W79" i="1"/>
  <c r="W83" i="1"/>
  <c r="W97" i="1"/>
  <c r="W101" i="1"/>
  <c r="W139" i="1"/>
  <c r="W147" i="1"/>
  <c r="W164" i="1"/>
  <c r="W60" i="1"/>
  <c r="W200" i="1"/>
  <c r="D106" i="1"/>
  <c r="D107" i="1" s="1"/>
  <c r="D153" i="1" s="1"/>
  <c r="D154" i="1" s="1"/>
  <c r="D186" i="1" s="1"/>
  <c r="D187" i="1" s="1"/>
  <c r="D217" i="1" s="1"/>
  <c r="D221" i="1" s="1"/>
  <c r="W169" i="1"/>
  <c r="W173" i="1"/>
  <c r="W177" i="1"/>
  <c r="W208" i="1"/>
  <c r="O149" i="1"/>
  <c r="W126" i="1"/>
  <c r="W133" i="1"/>
  <c r="W214" i="1"/>
  <c r="W189" i="1"/>
  <c r="W82" i="3"/>
  <c r="O126" i="3"/>
  <c r="O106" i="3"/>
  <c r="H194" i="3"/>
  <c r="R194" i="3"/>
  <c r="Q129" i="3"/>
  <c r="N86" i="3"/>
  <c r="K129" i="3"/>
  <c r="H86" i="3"/>
  <c r="G149" i="3"/>
  <c r="O140" i="3"/>
  <c r="W76" i="3"/>
  <c r="T129" i="3"/>
  <c r="S86" i="3"/>
  <c r="R129" i="3"/>
  <c r="M129" i="3"/>
  <c r="M86" i="3"/>
  <c r="K86" i="3"/>
  <c r="G86" i="3"/>
  <c r="E86" i="3"/>
  <c r="Q149" i="3"/>
  <c r="W137" i="3"/>
  <c r="W61" i="3"/>
  <c r="W93" i="3"/>
  <c r="W40" i="3"/>
  <c r="W14" i="3"/>
  <c r="W16" i="3" s="1"/>
  <c r="L129" i="3"/>
  <c r="I109" i="3"/>
  <c r="D129" i="3"/>
  <c r="D86" i="3"/>
  <c r="I149" i="3"/>
  <c r="W122" i="3"/>
  <c r="W134" i="3"/>
  <c r="W169" i="3"/>
  <c r="W188" i="3"/>
  <c r="R47" i="3"/>
  <c r="R53" i="3" s="1"/>
  <c r="R54" i="3" s="1"/>
  <c r="W124" i="3"/>
  <c r="W39" i="3"/>
  <c r="S46" i="3"/>
  <c r="S47" i="3" s="1"/>
  <c r="S53" i="3" s="1"/>
  <c r="S54" i="3" s="1"/>
  <c r="M46" i="3"/>
  <c r="M47" i="3" s="1"/>
  <c r="M53" i="3" s="1"/>
  <c r="M54" i="3" s="1"/>
  <c r="E46" i="3"/>
  <c r="E47" i="3" s="1"/>
  <c r="E53" i="3" s="1"/>
  <c r="E54" i="3" s="1"/>
  <c r="T46" i="3"/>
  <c r="T47" i="3" s="1"/>
  <c r="T53" i="3" s="1"/>
  <c r="T54" i="3" s="1"/>
  <c r="N46" i="3"/>
  <c r="N47" i="3" s="1"/>
  <c r="N53" i="3" s="1"/>
  <c r="N54" i="3" s="1"/>
  <c r="F46" i="3"/>
  <c r="F47" i="3" s="1"/>
  <c r="F53" i="3" s="1"/>
  <c r="F54" i="3" s="1"/>
  <c r="F87" i="3" s="1"/>
  <c r="F88" i="3" s="1"/>
  <c r="I46" i="3"/>
  <c r="I47" i="3" s="1"/>
  <c r="I53" i="3" s="1"/>
  <c r="I54" i="3" s="1"/>
  <c r="W38" i="3"/>
  <c r="W41" i="3"/>
  <c r="W35" i="1"/>
  <c r="W44" i="1"/>
  <c r="I152" i="2"/>
  <c r="I153" i="2" s="1"/>
  <c r="I263" i="2" s="1"/>
  <c r="I264" i="2" s="1"/>
  <c r="I391" i="2" s="1"/>
  <c r="I392" i="2" s="1"/>
  <c r="I488" i="2" s="1"/>
  <c r="I489" i="2" s="1"/>
  <c r="I547" i="2" s="1"/>
  <c r="I551" i="2" s="1"/>
  <c r="Y149" i="2"/>
  <c r="Y101" i="2"/>
  <c r="Y96" i="2"/>
  <c r="Y64" i="2"/>
  <c r="Y69" i="2"/>
  <c r="Y86" i="2"/>
  <c r="Y76" i="2"/>
  <c r="Y87" i="2"/>
  <c r="O103" i="2"/>
  <c r="O152" i="2" s="1"/>
  <c r="O153" i="2" s="1"/>
  <c r="O263" i="2" s="1"/>
  <c r="O264" i="2" s="1"/>
  <c r="O391" i="2" s="1"/>
  <c r="O392" i="2" s="1"/>
  <c r="O488" i="2" s="1"/>
  <c r="O489" i="2" s="1"/>
  <c r="O547" i="2" s="1"/>
  <c r="O551" i="2" s="1"/>
  <c r="H103" i="2"/>
  <c r="H152" i="2" s="1"/>
  <c r="H153" i="2" s="1"/>
  <c r="H263" i="2" s="1"/>
  <c r="H264" i="2" s="1"/>
  <c r="H391" i="2" s="1"/>
  <c r="H392" i="2" s="1"/>
  <c r="H488" i="2" s="1"/>
  <c r="H489" i="2" s="1"/>
  <c r="H547" i="2" s="1"/>
  <c r="H551" i="2" s="1"/>
  <c r="Y132" i="2"/>
  <c r="Y145" i="2"/>
  <c r="Y57" i="2"/>
  <c r="Y20" i="2"/>
  <c r="Y77" i="2"/>
  <c r="Y49" i="2"/>
  <c r="Y26" i="2"/>
  <c r="Y93" i="2"/>
  <c r="Y62" i="2"/>
  <c r="Y83" i="2"/>
  <c r="Y81" i="2"/>
  <c r="Y126" i="2"/>
  <c r="Y78" i="2"/>
  <c r="Y110" i="2"/>
  <c r="W49" i="3"/>
  <c r="Y80" i="4"/>
  <c r="Y84" i="4"/>
  <c r="Y61" i="4"/>
  <c r="Y39" i="4"/>
  <c r="W35" i="3"/>
  <c r="Y87" i="4"/>
  <c r="Y88" i="4"/>
  <c r="Y23" i="4"/>
  <c r="Y36" i="4"/>
  <c r="Y37" i="4"/>
  <c r="Y56" i="4"/>
  <c r="Y18" i="4"/>
  <c r="Y26" i="4"/>
  <c r="Y22" i="4"/>
  <c r="Y66" i="4"/>
  <c r="Y35" i="4"/>
  <c r="Y89" i="4"/>
  <c r="Y25" i="4"/>
  <c r="Y21" i="4"/>
  <c r="Y32" i="4"/>
  <c r="Y67" i="4"/>
  <c r="Y57" i="4"/>
  <c r="Y90" i="4"/>
  <c r="O30" i="3"/>
  <c r="J53" i="4"/>
  <c r="J73" i="4" s="1"/>
  <c r="J74" i="4" s="1"/>
  <c r="J117" i="4" s="1"/>
  <c r="J118" i="4" s="1"/>
  <c r="J145" i="4" s="1"/>
  <c r="J146" i="4" s="1"/>
  <c r="J167" i="4" s="1"/>
  <c r="J168" i="4" s="1"/>
  <c r="J190" i="4" s="1"/>
  <c r="J204" i="4" s="1"/>
  <c r="J205" i="4" s="1"/>
  <c r="J246" i="4" s="1"/>
  <c r="J252" i="4" s="1"/>
  <c r="X46" i="4"/>
  <c r="Q49" i="4"/>
  <c r="Y38" i="4"/>
  <c r="Y24" i="2"/>
  <c r="Y25" i="2"/>
  <c r="Y50" i="2"/>
  <c r="G47" i="1"/>
  <c r="G49" i="1" s="1"/>
  <c r="G50" i="1" s="1"/>
  <c r="G106" i="1" s="1"/>
  <c r="G107" i="1" s="1"/>
  <c r="G153" i="1" s="1"/>
  <c r="G154" i="1" s="1"/>
  <c r="G186" i="1" s="1"/>
  <c r="G187" i="1" s="1"/>
  <c r="G217" i="1" s="1"/>
  <c r="G221" i="1" s="1"/>
  <c r="J47" i="1"/>
  <c r="J49" i="1" s="1"/>
  <c r="J50" i="1" s="1"/>
  <c r="J106" i="1" s="1"/>
  <c r="J107" i="1" s="1"/>
  <c r="J153" i="1" s="1"/>
  <c r="J154" i="1" s="1"/>
  <c r="J186" i="1" s="1"/>
  <c r="J187" i="1" s="1"/>
  <c r="J217" i="1" s="1"/>
  <c r="J221" i="1" s="1"/>
  <c r="E47" i="1"/>
  <c r="E49" i="1" s="1"/>
  <c r="E50" i="1" s="1"/>
  <c r="E106" i="1" s="1"/>
  <c r="E107" i="1" s="1"/>
  <c r="E153" i="1" s="1"/>
  <c r="E154" i="1" s="1"/>
  <c r="E186" i="1" s="1"/>
  <c r="E187" i="1" s="1"/>
  <c r="E217" i="1" s="1"/>
  <c r="E221" i="1" s="1"/>
  <c r="W63" i="1"/>
  <c r="W71" i="1"/>
  <c r="W82" i="1"/>
  <c r="W86" i="1"/>
  <c r="W25" i="1"/>
  <c r="S153" i="1"/>
  <c r="S154" i="1" s="1"/>
  <c r="S186" i="1" s="1"/>
  <c r="S187" i="1" s="1"/>
  <c r="S217" i="1" s="1"/>
  <c r="S221" i="1" s="1"/>
  <c r="W75" i="1"/>
  <c r="W96" i="1"/>
  <c r="W102" i="1"/>
  <c r="W136" i="1"/>
  <c r="W144" i="1"/>
  <c r="W178" i="1"/>
  <c r="U131" i="1"/>
  <c r="W179" i="1"/>
  <c r="W191" i="1"/>
  <c r="M106" i="1"/>
  <c r="M107" i="1" s="1"/>
  <c r="M153" i="1" s="1"/>
  <c r="M154" i="1" s="1"/>
  <c r="M186" i="1" s="1"/>
  <c r="M187" i="1" s="1"/>
  <c r="M217" i="1" s="1"/>
  <c r="M221" i="1" s="1"/>
  <c r="W151" i="1"/>
  <c r="W161" i="1"/>
  <c r="W165" i="1"/>
  <c r="O216" i="1"/>
  <c r="W212" i="1"/>
  <c r="R47" i="1"/>
  <c r="R49" i="1" s="1"/>
  <c r="R50" i="1" s="1"/>
  <c r="R106" i="1" s="1"/>
  <c r="R107" i="1" s="1"/>
  <c r="R153" i="1" s="1"/>
  <c r="R154" i="1" s="1"/>
  <c r="R186" i="1" s="1"/>
  <c r="R187" i="1" s="1"/>
  <c r="R217" i="1" s="1"/>
  <c r="R221" i="1" s="1"/>
  <c r="U46" i="1"/>
  <c r="U47" i="1" s="1"/>
  <c r="U49" i="1" s="1"/>
  <c r="U50" i="1" s="1"/>
  <c r="Y409" i="2"/>
  <c r="Y109" i="2"/>
  <c r="R387" i="2"/>
  <c r="Y188" i="2"/>
  <c r="X262" i="2"/>
  <c r="Y228" i="2"/>
  <c r="Y454" i="2"/>
  <c r="Y154" i="2"/>
  <c r="Y258" i="2"/>
  <c r="Y158" i="2"/>
  <c r="Y174" i="2"/>
  <c r="Y200" i="2"/>
  <c r="Y215" i="2"/>
  <c r="Y304" i="2"/>
  <c r="Y311" i="2"/>
  <c r="Y334" i="2"/>
  <c r="Y353" i="2"/>
  <c r="Y346" i="2"/>
  <c r="Y405" i="2"/>
  <c r="Y523" i="2"/>
  <c r="Y528" i="2"/>
  <c r="Y503" i="2"/>
  <c r="Y47" i="2"/>
  <c r="Y73" i="2"/>
  <c r="Y179" i="2"/>
  <c r="Y368" i="2"/>
  <c r="Y427" i="2"/>
  <c r="Y433" i="2"/>
  <c r="Y473" i="2"/>
  <c r="Y485" i="2"/>
  <c r="Y111" i="2"/>
  <c r="Y121" i="2"/>
  <c r="Y125" i="2"/>
  <c r="Y288" i="2"/>
  <c r="Y318" i="2"/>
  <c r="Y314" i="2"/>
  <c r="Y333" i="2"/>
  <c r="Y331" i="2"/>
  <c r="Y406" i="2"/>
  <c r="Y411" i="2"/>
  <c r="Y530" i="2"/>
  <c r="Y48" i="2"/>
  <c r="Y95" i="2"/>
  <c r="Y90" i="2"/>
  <c r="Y32" i="2"/>
  <c r="Y66" i="2"/>
  <c r="Y71" i="2"/>
  <c r="Y75" i="2"/>
  <c r="G103" i="2"/>
  <c r="G152" i="2" s="1"/>
  <c r="G153" i="2" s="1"/>
  <c r="G263" i="2" s="1"/>
  <c r="G264" i="2" s="1"/>
  <c r="G391" i="2" s="1"/>
  <c r="G392" i="2" s="1"/>
  <c r="G488" i="2" s="1"/>
  <c r="G489" i="2" s="1"/>
  <c r="G547" i="2" s="1"/>
  <c r="G551" i="2" s="1"/>
  <c r="Y232" i="2"/>
  <c r="Y236" i="2"/>
  <c r="Y466" i="2"/>
  <c r="Y38" i="2"/>
  <c r="Y130" i="2"/>
  <c r="Y421" i="2"/>
  <c r="Y193" i="2"/>
  <c r="Y198" i="2"/>
  <c r="Y269" i="2"/>
  <c r="Y272" i="2"/>
  <c r="Y275" i="2"/>
  <c r="Y289" i="2"/>
  <c r="Y332" i="2"/>
  <c r="Y338" i="2"/>
  <c r="Y512" i="2"/>
  <c r="Y518" i="2"/>
  <c r="Y535" i="2"/>
  <c r="Y540" i="2"/>
  <c r="Y495" i="2"/>
  <c r="Y490" i="2"/>
  <c r="Y94" i="2"/>
  <c r="Y84" i="2"/>
  <c r="Y27" i="2"/>
  <c r="Y56" i="2"/>
  <c r="Y68" i="2"/>
  <c r="N103" i="2"/>
  <c r="N152" i="2" s="1"/>
  <c r="N153" i="2" s="1"/>
  <c r="N263" i="2" s="1"/>
  <c r="N264" i="2" s="1"/>
  <c r="N391" i="2" s="1"/>
  <c r="N392" i="2" s="1"/>
  <c r="N488" i="2" s="1"/>
  <c r="N489" i="2" s="1"/>
  <c r="N547" i="2" s="1"/>
  <c r="N551" i="2" s="1"/>
  <c r="V103" i="2"/>
  <c r="V152" i="2" s="1"/>
  <c r="Y21" i="2"/>
  <c r="Y107" i="2"/>
  <c r="Y43" i="2"/>
  <c r="Y23" i="2"/>
  <c r="W30" i="1"/>
  <c r="Y18" i="2"/>
  <c r="Y22" i="2"/>
  <c r="Y112" i="2"/>
  <c r="Y108" i="2"/>
  <c r="Y45" i="2"/>
  <c r="Y44" i="2"/>
  <c r="Y29" i="2"/>
  <c r="Y31" i="2"/>
  <c r="X99" i="2"/>
  <c r="Y127" i="2"/>
  <c r="W24" i="1"/>
  <c r="Y33" i="2"/>
  <c r="Y92" i="2"/>
  <c r="U30" i="3"/>
  <c r="W18" i="3"/>
  <c r="N47" i="1"/>
  <c r="N49" i="1" s="1"/>
  <c r="N50" i="1" s="1"/>
  <c r="N106" i="1" s="1"/>
  <c r="N107" i="1" s="1"/>
  <c r="N153" i="1" s="1"/>
  <c r="N154" i="1" s="1"/>
  <c r="N186" i="1" s="1"/>
  <c r="N187" i="1" s="1"/>
  <c r="N217" i="1" s="1"/>
  <c r="N221" i="1" s="1"/>
  <c r="K103" i="2"/>
  <c r="K152" i="2" s="1"/>
  <c r="K153" i="2" s="1"/>
  <c r="K263" i="2" s="1"/>
  <c r="K264" i="2" s="1"/>
  <c r="K391" i="2" s="1"/>
  <c r="K392" i="2" s="1"/>
  <c r="K488" i="2" s="1"/>
  <c r="K489" i="2" s="1"/>
  <c r="K547" i="2" s="1"/>
  <c r="K551" i="2" s="1"/>
  <c r="F103" i="2"/>
  <c r="F152" i="2" s="1"/>
  <c r="F153" i="2" s="1"/>
  <c r="F263" i="2" s="1"/>
  <c r="F264" i="2" s="1"/>
  <c r="F391" i="2" s="1"/>
  <c r="F392" i="2" s="1"/>
  <c r="F488" i="2" s="1"/>
  <c r="F489" i="2" s="1"/>
  <c r="F547" i="2" s="1"/>
  <c r="F551" i="2" s="1"/>
  <c r="D103" i="2"/>
  <c r="D152" i="2" s="1"/>
  <c r="D153" i="2" s="1"/>
  <c r="D263" i="2" s="1"/>
  <c r="D264" i="2" s="1"/>
  <c r="O53" i="4"/>
  <c r="O73" i="4" s="1"/>
  <c r="O74" i="4" s="1"/>
  <c r="O117" i="4" s="1"/>
  <c r="O118" i="4" s="1"/>
  <c r="O145" i="4" s="1"/>
  <c r="O146" i="4" s="1"/>
  <c r="O167" i="4" s="1"/>
  <c r="O168" i="4" s="1"/>
  <c r="O190" i="4" s="1"/>
  <c r="O204" i="4" s="1"/>
  <c r="O205" i="4" s="1"/>
  <c r="O246" i="4" s="1"/>
  <c r="O252" i="4" s="1"/>
  <c r="P53" i="4"/>
  <c r="P73" i="4" s="1"/>
  <c r="P74" i="4" s="1"/>
  <c r="P117" i="4" s="1"/>
  <c r="P118" i="4" s="1"/>
  <c r="R17" i="4"/>
  <c r="D47" i="3"/>
  <c r="D53" i="3" s="1"/>
  <c r="D54" i="3" s="1"/>
  <c r="K47" i="3"/>
  <c r="K53" i="3" s="1"/>
  <c r="K54" i="3" s="1"/>
  <c r="W143" i="3"/>
  <c r="O146" i="3"/>
  <c r="W160" i="1"/>
  <c r="O185" i="1"/>
  <c r="W92" i="3"/>
  <c r="O97" i="3"/>
  <c r="R242" i="4"/>
  <c r="Y242" i="4" s="1"/>
  <c r="I129" i="3"/>
  <c r="H129" i="3"/>
  <c r="O105" i="1"/>
  <c r="W188" i="1"/>
  <c r="X226" i="4"/>
  <c r="R176" i="4"/>
  <c r="Y176" i="4" s="1"/>
  <c r="M166" i="4"/>
  <c r="R166" i="4" s="1"/>
  <c r="U185" i="1"/>
  <c r="R226" i="4"/>
  <c r="E245" i="4"/>
  <c r="W70" i="3"/>
  <c r="O74" i="3"/>
  <c r="K106" i="1"/>
  <c r="K107" i="1" s="1"/>
  <c r="K153" i="1" s="1"/>
  <c r="K154" i="1" s="1"/>
  <c r="K186" i="1" s="1"/>
  <c r="K187" i="1" s="1"/>
  <c r="K217" i="1" s="1"/>
  <c r="K221" i="1" s="1"/>
  <c r="L47" i="1"/>
  <c r="L49" i="1" s="1"/>
  <c r="L50" i="1" s="1"/>
  <c r="L106" i="1" s="1"/>
  <c r="L107" i="1" s="1"/>
  <c r="L153" i="1" s="1"/>
  <c r="L154" i="1" s="1"/>
  <c r="L186" i="1" s="1"/>
  <c r="L187" i="1" s="1"/>
  <c r="L217" i="1" s="1"/>
  <c r="L221" i="1" s="1"/>
  <c r="F47" i="1"/>
  <c r="F49" i="1" s="1"/>
  <c r="F50" i="1" s="1"/>
  <c r="F106" i="1" s="1"/>
  <c r="F107" i="1" s="1"/>
  <c r="F153" i="1" s="1"/>
  <c r="F154" i="1" s="1"/>
  <c r="F186" i="1" s="1"/>
  <c r="F187" i="1" s="1"/>
  <c r="F217" i="1" s="1"/>
  <c r="F221" i="1" s="1"/>
  <c r="W137" i="1"/>
  <c r="X163" i="4"/>
  <c r="Y249" i="2"/>
  <c r="Y254" i="2"/>
  <c r="L46" i="3"/>
  <c r="L47" i="3" s="1"/>
  <c r="L53" i="3" s="1"/>
  <c r="L54" i="3" s="1"/>
  <c r="L87" i="3" s="1"/>
  <c r="L88" i="3" s="1"/>
  <c r="G46" i="3"/>
  <c r="G47" i="3" s="1"/>
  <c r="G53" i="3" s="1"/>
  <c r="G54" i="3" s="1"/>
  <c r="V53" i="4"/>
  <c r="V73" i="4" s="1"/>
  <c r="V74" i="4" s="1"/>
  <c r="V117" i="4" s="1"/>
  <c r="V118" i="4" s="1"/>
  <c r="V145" i="4" s="1"/>
  <c r="V146" i="4" s="1"/>
  <c r="V167" i="4" s="1"/>
  <c r="V168" i="4" s="1"/>
  <c r="V190" i="4" s="1"/>
  <c r="V204" i="4" s="1"/>
  <c r="V205" i="4" s="1"/>
  <c r="W68" i="1"/>
  <c r="W176" i="1"/>
  <c r="W20" i="3"/>
  <c r="U140" i="3"/>
  <c r="Y474" i="2"/>
  <c r="Y293" i="2"/>
  <c r="Y146" i="2"/>
  <c r="S47" i="1"/>
  <c r="S49" i="1" s="1"/>
  <c r="S50" i="1" s="1"/>
  <c r="S106" i="1" s="1"/>
  <c r="M53" i="4"/>
  <c r="M73" i="4" s="1"/>
  <c r="M74" i="4" s="1"/>
  <c r="M117" i="4" s="1"/>
  <c r="M118" i="4" s="1"/>
  <c r="M145" i="4" s="1"/>
  <c r="M146" i="4" s="1"/>
  <c r="I53" i="4"/>
  <c r="I73" i="4" s="1"/>
  <c r="I74" i="4" s="1"/>
  <c r="I117" i="4" s="1"/>
  <c r="I118" i="4" s="1"/>
  <c r="W53" i="4"/>
  <c r="W73" i="4" s="1"/>
  <c r="W74" i="4" s="1"/>
  <c r="W117" i="4" s="1"/>
  <c r="W118" i="4" s="1"/>
  <c r="W145" i="4" s="1"/>
  <c r="W146" i="4" s="1"/>
  <c r="W167" i="4" s="1"/>
  <c r="W168" i="4" s="1"/>
  <c r="Q53" i="4"/>
  <c r="Q73" i="4" s="1"/>
  <c r="Q74" i="4" s="1"/>
  <c r="Q117" i="4" s="1"/>
  <c r="Q118" i="4" s="1"/>
  <c r="X151" i="2"/>
  <c r="Y122" i="2"/>
  <c r="Y15" i="2"/>
  <c r="Y17" i="2" s="1"/>
  <c r="Y467" i="2"/>
  <c r="Y106" i="2"/>
  <c r="R253" i="2"/>
  <c r="Y194" i="2"/>
  <c r="W110" i="1"/>
  <c r="Y283" i="2"/>
  <c r="Y299" i="2"/>
  <c r="W116" i="1"/>
  <c r="W128" i="1"/>
  <c r="Y533" i="2"/>
  <c r="X46" i="3"/>
  <c r="X47" i="3" s="1"/>
  <c r="X53" i="3" s="1"/>
  <c r="X54" i="3" s="1"/>
  <c r="U44" i="3"/>
  <c r="U53" i="4"/>
  <c r="U73" i="4" s="1"/>
  <c r="U74" i="4" s="1"/>
  <c r="U117" i="4" s="1"/>
  <c r="U118" i="4" s="1"/>
  <c r="U145" i="4" s="1"/>
  <c r="U146" i="4" s="1"/>
  <c r="U167" i="4" s="1"/>
  <c r="U168" i="4" s="1"/>
  <c r="Y116" i="2"/>
  <c r="Y239" i="4"/>
  <c r="Y202" i="2"/>
  <c r="Y302" i="2"/>
  <c r="Y400" i="2"/>
  <c r="Y413" i="2"/>
  <c r="U216" i="1"/>
  <c r="Y493" i="2"/>
  <c r="W144" i="3"/>
  <c r="Y40" i="4"/>
  <c r="W17" i="1"/>
  <c r="U103" i="2"/>
  <c r="X387" i="2"/>
  <c r="Y233" i="4"/>
  <c r="W51" i="1"/>
  <c r="Y271" i="2"/>
  <c r="Y290" i="2"/>
  <c r="W113" i="1"/>
  <c r="Y324" i="2"/>
  <c r="Y407" i="2"/>
  <c r="Y532" i="2"/>
  <c r="Y537" i="2"/>
  <c r="Y542" i="2"/>
  <c r="Y526" i="2"/>
  <c r="Y159" i="4"/>
  <c r="Y147" i="2"/>
  <c r="Y70" i="2"/>
  <c r="Y15" i="4"/>
  <c r="Y17" i="4" s="1"/>
  <c r="W18" i="1"/>
  <c r="Y42" i="2"/>
  <c r="Y19" i="4"/>
  <c r="Y117" i="2"/>
  <c r="R151" i="2"/>
  <c r="Y128" i="2"/>
  <c r="Y142" i="2"/>
  <c r="Y65" i="4"/>
  <c r="H46" i="3"/>
  <c r="H47" i="3" s="1"/>
  <c r="H53" i="3" s="1"/>
  <c r="H54" i="3" s="1"/>
  <c r="R46" i="4"/>
  <c r="Y54" i="2"/>
  <c r="Y28" i="2"/>
  <c r="Y20" i="4"/>
  <c r="E103" i="2"/>
  <c r="E152" i="2" s="1"/>
  <c r="E153" i="2" s="1"/>
  <c r="E263" i="2" s="1"/>
  <c r="E264" i="2" s="1"/>
  <c r="E391" i="2" s="1"/>
  <c r="E392" i="2" s="1"/>
  <c r="E488" i="2" s="1"/>
  <c r="E489" i="2" s="1"/>
  <c r="E547" i="2" s="1"/>
  <c r="E551" i="2" s="1"/>
  <c r="Y129" i="2"/>
  <c r="Y143" i="2"/>
  <c r="Y51" i="4"/>
  <c r="Y58" i="2"/>
  <c r="Y59" i="2"/>
  <c r="Y88" i="2"/>
  <c r="Y89" i="2"/>
  <c r="Y63" i="2"/>
  <c r="L49" i="4"/>
  <c r="L53" i="4" s="1"/>
  <c r="L73" i="4" s="1"/>
  <c r="L74" i="4" s="1"/>
  <c r="L117" i="4" s="1"/>
  <c r="L118" i="4" s="1"/>
  <c r="L145" i="4" s="1"/>
  <c r="L146" i="4" s="1"/>
  <c r="L167" i="4" s="1"/>
  <c r="L168" i="4" s="1"/>
  <c r="L190" i="4" s="1"/>
  <c r="L204" i="4" s="1"/>
  <c r="L205" i="4" s="1"/>
  <c r="Y62" i="4"/>
  <c r="Y82" i="2"/>
  <c r="W32" i="3"/>
  <c r="M103" i="2"/>
  <c r="M152" i="2" s="1"/>
  <c r="M153" i="2" s="1"/>
  <c r="M263" i="2" s="1"/>
  <c r="M264" i="2" s="1"/>
  <c r="M391" i="2" s="1"/>
  <c r="M392" i="2" s="1"/>
  <c r="M488" i="2" s="1"/>
  <c r="M489" i="2" s="1"/>
  <c r="M547" i="2" s="1"/>
  <c r="M551" i="2" s="1"/>
  <c r="W28" i="1"/>
  <c r="F49" i="4"/>
  <c r="F53" i="4" s="1"/>
  <c r="F73" i="4" s="1"/>
  <c r="F74" i="4" s="1"/>
  <c r="F117" i="4" s="1"/>
  <c r="F118" i="4" s="1"/>
  <c r="F145" i="4" s="1"/>
  <c r="F146" i="4" s="1"/>
  <c r="F167" i="4" s="1"/>
  <c r="F168" i="4" s="1"/>
  <c r="W34" i="1"/>
  <c r="R71" i="4"/>
  <c r="Y71" i="4" s="1"/>
  <c r="D49" i="4"/>
  <c r="D53" i="4" s="1"/>
  <c r="D73" i="4" s="1"/>
  <c r="D74" i="4" s="1"/>
  <c r="D117" i="4" s="1"/>
  <c r="T74" i="4"/>
  <c r="X30" i="4"/>
  <c r="X49" i="4"/>
  <c r="R30" i="4"/>
  <c r="E53" i="4"/>
  <c r="E73" i="4" s="1"/>
  <c r="G53" i="4"/>
  <c r="G73" i="4" s="1"/>
  <c r="G74" i="4" s="1"/>
  <c r="O44" i="3"/>
  <c r="Y104" i="2"/>
  <c r="Y105" i="2"/>
  <c r="R99" i="2"/>
  <c r="Q103" i="2"/>
  <c r="Q152" i="2" s="1"/>
  <c r="Q153" i="2" s="1"/>
  <c r="Q263" i="2" s="1"/>
  <c r="Q264" i="2" s="1"/>
  <c r="Q391" i="2" s="1"/>
  <c r="Q392" i="2" s="1"/>
  <c r="Q488" i="2" s="1"/>
  <c r="Q489" i="2" s="1"/>
  <c r="Q547" i="2" s="1"/>
  <c r="Q551" i="2" s="1"/>
  <c r="I47" i="1"/>
  <c r="I49" i="1" s="1"/>
  <c r="I50" i="1" s="1"/>
  <c r="I106" i="1" s="1"/>
  <c r="I107" i="1" s="1"/>
  <c r="I153" i="1" s="1"/>
  <c r="I154" i="1" s="1"/>
  <c r="I186" i="1" s="1"/>
  <c r="I187" i="1" s="1"/>
  <c r="I217" i="1" s="1"/>
  <c r="I221" i="1" s="1"/>
  <c r="O46" i="1"/>
  <c r="H47" i="1"/>
  <c r="H49" i="1" s="1"/>
  <c r="H50" i="1" s="1"/>
  <c r="H106" i="1" s="1"/>
  <c r="H107" i="1" s="1"/>
  <c r="H153" i="1" s="1"/>
  <c r="H154" i="1" s="1"/>
  <c r="H186" i="1" s="1"/>
  <c r="H187" i="1" s="1"/>
  <c r="H217" i="1" s="1"/>
  <c r="H221" i="1" s="1"/>
  <c r="W14" i="1"/>
  <c r="W16" i="1" s="1"/>
  <c r="O16" i="1"/>
  <c r="Y142" i="4" l="1"/>
  <c r="Y129" i="4"/>
  <c r="X110" i="3"/>
  <c r="O194" i="3"/>
  <c r="O129" i="3"/>
  <c r="Q110" i="3"/>
  <c r="Q111" i="3" s="1"/>
  <c r="Q130" i="3" s="1"/>
  <c r="Q87" i="3"/>
  <c r="Q88" i="3" s="1"/>
  <c r="J110" i="3"/>
  <c r="J111" i="3" s="1"/>
  <c r="J130" i="3" s="1"/>
  <c r="N87" i="3"/>
  <c r="N88" i="3" s="1"/>
  <c r="S110" i="3"/>
  <c r="S111" i="3" s="1"/>
  <c r="S130" i="3" s="1"/>
  <c r="R110" i="3"/>
  <c r="R111" i="3" s="1"/>
  <c r="R130" i="3" s="1"/>
  <c r="R131" i="3" s="1"/>
  <c r="R150" i="3" s="1"/>
  <c r="R160" i="3" s="1"/>
  <c r="W106" i="3"/>
  <c r="U46" i="3"/>
  <c r="U47" i="3" s="1"/>
  <c r="U53" i="3" s="1"/>
  <c r="U54" i="3" s="1"/>
  <c r="R87" i="3"/>
  <c r="R88" i="3" s="1"/>
  <c r="W119" i="3"/>
  <c r="Y186" i="4"/>
  <c r="W190" i="4"/>
  <c r="W204" i="4" s="1"/>
  <c r="W205" i="4" s="1"/>
  <c r="X189" i="4"/>
  <c r="V246" i="4"/>
  <c r="V252" i="4" s="1"/>
  <c r="U149" i="3"/>
  <c r="Y163" i="4"/>
  <c r="Y166" i="4"/>
  <c r="W191" i="3"/>
  <c r="W156" i="3"/>
  <c r="W131" i="1"/>
  <c r="Y154" i="4"/>
  <c r="H167" i="4"/>
  <c r="H168" i="4" s="1"/>
  <c r="H190" i="4" s="1"/>
  <c r="H204" i="4" s="1"/>
  <c r="H205" i="4" s="1"/>
  <c r="H246" i="4" s="1"/>
  <c r="H252" i="4" s="1"/>
  <c r="K145" i="4"/>
  <c r="K146" i="4" s="1"/>
  <c r="K167" i="4" s="1"/>
  <c r="K168" i="4" s="1"/>
  <c r="K190" i="4" s="1"/>
  <c r="K204" i="4" s="1"/>
  <c r="K205" i="4" s="1"/>
  <c r="K246" i="4" s="1"/>
  <c r="K252" i="4" s="1"/>
  <c r="Y200" i="4"/>
  <c r="F190" i="4"/>
  <c r="F204" i="4" s="1"/>
  <c r="F205" i="4" s="1"/>
  <c r="F246" i="4" s="1"/>
  <c r="F252" i="4" s="1"/>
  <c r="L246" i="4"/>
  <c r="L252" i="4" s="1"/>
  <c r="I145" i="4"/>
  <c r="I146" i="4" s="1"/>
  <c r="I167" i="4" s="1"/>
  <c r="I168" i="4" s="1"/>
  <c r="I190" i="4" s="1"/>
  <c r="I204" i="4" s="1"/>
  <c r="I205" i="4" s="1"/>
  <c r="I246" i="4" s="1"/>
  <c r="I252" i="4" s="1"/>
  <c r="W97" i="3"/>
  <c r="W109" i="3" s="1"/>
  <c r="U109" i="3"/>
  <c r="K110" i="3"/>
  <c r="K111" i="3" s="1"/>
  <c r="K130" i="3" s="1"/>
  <c r="W184" i="3"/>
  <c r="Y363" i="2"/>
  <c r="Y546" i="2"/>
  <c r="Y253" i="2"/>
  <c r="G117" i="4"/>
  <c r="G118" i="4" s="1"/>
  <c r="Y94" i="4"/>
  <c r="U106" i="1"/>
  <c r="U107" i="1" s="1"/>
  <c r="U153" i="1" s="1"/>
  <c r="U154" i="1" s="1"/>
  <c r="U186" i="1" s="1"/>
  <c r="U187" i="1" s="1"/>
  <c r="U217" i="1" s="1"/>
  <c r="U221" i="1" s="1"/>
  <c r="W93" i="1"/>
  <c r="U190" i="4"/>
  <c r="U204" i="4" s="1"/>
  <c r="U205" i="4" s="1"/>
  <c r="U246" i="4" s="1"/>
  <c r="U252" i="4" s="1"/>
  <c r="Q145" i="4"/>
  <c r="Q146" i="4" s="1"/>
  <c r="Q167" i="4" s="1"/>
  <c r="Q168" i="4" s="1"/>
  <c r="Q190" i="4" s="1"/>
  <c r="Q204" i="4" s="1"/>
  <c r="Q205" i="4" s="1"/>
  <c r="Q246" i="4" s="1"/>
  <c r="Q252" i="4" s="1"/>
  <c r="P145" i="4"/>
  <c r="P146" i="4" s="1"/>
  <c r="P167" i="4" s="1"/>
  <c r="P168" i="4" s="1"/>
  <c r="P190" i="4" s="1"/>
  <c r="P204" i="4" s="1"/>
  <c r="P205" i="4" s="1"/>
  <c r="P246" i="4" s="1"/>
  <c r="P252" i="4" s="1"/>
  <c r="R189" i="4"/>
  <c r="X245" i="4"/>
  <c r="G145" i="4"/>
  <c r="G146" i="4" s="1"/>
  <c r="G167" i="4" s="1"/>
  <c r="G168" i="4" s="1"/>
  <c r="G190" i="4" s="1"/>
  <c r="G204" i="4" s="1"/>
  <c r="G205" i="4" s="1"/>
  <c r="G246" i="4" s="1"/>
  <c r="G252" i="4" s="1"/>
  <c r="M167" i="4"/>
  <c r="M168" i="4" s="1"/>
  <c r="M190" i="4" s="1"/>
  <c r="M204" i="4" s="1"/>
  <c r="M205" i="4" s="1"/>
  <c r="M246" i="4" s="1"/>
  <c r="M252" i="4" s="1"/>
  <c r="R245" i="4"/>
  <c r="W246" i="4"/>
  <c r="W252" i="4" s="1"/>
  <c r="R144" i="4"/>
  <c r="Y144" i="4" s="1"/>
  <c r="Y116" i="4"/>
  <c r="Y226" i="4"/>
  <c r="J87" i="3"/>
  <c r="J88" i="3" s="1"/>
  <c r="T110" i="3"/>
  <c r="T111" i="3" s="1"/>
  <c r="T130" i="3" s="1"/>
  <c r="W146" i="3"/>
  <c r="S87" i="3"/>
  <c r="S88" i="3" s="1"/>
  <c r="W140" i="3"/>
  <c r="W126" i="3"/>
  <c r="X103" i="2"/>
  <c r="Y487" i="2"/>
  <c r="Y387" i="2"/>
  <c r="Y262" i="2"/>
  <c r="W149" i="1"/>
  <c r="W216" i="1"/>
  <c r="W105" i="1"/>
  <c r="X73" i="4"/>
  <c r="N110" i="3"/>
  <c r="N111" i="3" s="1"/>
  <c r="N130" i="3" s="1"/>
  <c r="N131" i="3" s="1"/>
  <c r="N150" i="3" s="1"/>
  <c r="N160" i="3" s="1"/>
  <c r="O109" i="3"/>
  <c r="T87" i="3"/>
  <c r="T88" i="3" s="1"/>
  <c r="G87" i="3"/>
  <c r="G88" i="3" s="1"/>
  <c r="O149" i="3"/>
  <c r="H110" i="3"/>
  <c r="H111" i="3" s="1"/>
  <c r="H130" i="3" s="1"/>
  <c r="M110" i="3"/>
  <c r="M111" i="3" s="1"/>
  <c r="M130" i="3" s="1"/>
  <c r="M131" i="3" s="1"/>
  <c r="M150" i="3" s="1"/>
  <c r="M160" i="3" s="1"/>
  <c r="W30" i="3"/>
  <c r="I110" i="3"/>
  <c r="I111" i="3" s="1"/>
  <c r="I130" i="3" s="1"/>
  <c r="I87" i="3"/>
  <c r="I88" i="3" s="1"/>
  <c r="Y151" i="2"/>
  <c r="AA151" i="2" s="1"/>
  <c r="Y46" i="4"/>
  <c r="M87" i="3"/>
  <c r="M88" i="3" s="1"/>
  <c r="U152" i="2"/>
  <c r="U153" i="2" s="1"/>
  <c r="U263" i="2" s="1"/>
  <c r="U264" i="2" s="1"/>
  <c r="U391" i="2" s="1"/>
  <c r="U392" i="2" s="1"/>
  <c r="U488" i="2" s="1"/>
  <c r="U489" i="2" s="1"/>
  <c r="U547" i="2" s="1"/>
  <c r="U551" i="2" s="1"/>
  <c r="Y99" i="2"/>
  <c r="F110" i="3"/>
  <c r="F111" i="3" s="1"/>
  <c r="F130" i="3" s="1"/>
  <c r="R49" i="4"/>
  <c r="Y49" i="4" s="1"/>
  <c r="W46" i="1"/>
  <c r="X87" i="3"/>
  <c r="X88" i="3" s="1"/>
  <c r="D110" i="3"/>
  <c r="D111" i="3" s="1"/>
  <c r="D130" i="3" s="1"/>
  <c r="D87" i="3"/>
  <c r="D88" i="3" s="1"/>
  <c r="E110" i="3"/>
  <c r="E111" i="3" s="1"/>
  <c r="E130" i="3" s="1"/>
  <c r="E87" i="3"/>
  <c r="E88" i="3" s="1"/>
  <c r="G110" i="3"/>
  <c r="G111" i="3" s="1"/>
  <c r="G130" i="3" s="1"/>
  <c r="K87" i="3"/>
  <c r="K88" i="3" s="1"/>
  <c r="W185" i="1"/>
  <c r="W74" i="3"/>
  <c r="W86" i="3" s="1"/>
  <c r="O86" i="3"/>
  <c r="R103" i="2"/>
  <c r="H87" i="3"/>
  <c r="H88" i="3" s="1"/>
  <c r="X53" i="4"/>
  <c r="R53" i="4"/>
  <c r="E74" i="4"/>
  <c r="R73" i="4"/>
  <c r="Y30" i="4"/>
  <c r="X74" i="4"/>
  <c r="T117" i="4"/>
  <c r="D118" i="4"/>
  <c r="L110" i="3"/>
  <c r="L111" i="3" s="1"/>
  <c r="L130" i="3" s="1"/>
  <c r="L131" i="3" s="1"/>
  <c r="L150" i="3" s="1"/>
  <c r="L160" i="3" s="1"/>
  <c r="W44" i="3"/>
  <c r="O46" i="3"/>
  <c r="O47" i="3" s="1"/>
  <c r="O53" i="3" s="1"/>
  <c r="O54" i="3" s="1"/>
  <c r="X130" i="3"/>
  <c r="X111" i="3"/>
  <c r="R263" i="2"/>
  <c r="R153" i="2"/>
  <c r="R152" i="2"/>
  <c r="V153" i="2"/>
  <c r="R264" i="2"/>
  <c r="D391" i="2"/>
  <c r="D392" i="2" s="1"/>
  <c r="O47" i="1"/>
  <c r="O49" i="1" s="1"/>
  <c r="Q131" i="3" l="1"/>
  <c r="Q150" i="3" s="1"/>
  <c r="Q160" i="3" s="1"/>
  <c r="Q161" i="3" s="1"/>
  <c r="Q195" i="3" s="1"/>
  <c r="Q200" i="3" s="1"/>
  <c r="T161" i="3"/>
  <c r="T195" i="3" s="1"/>
  <c r="T200" i="3" s="1"/>
  <c r="W129" i="3"/>
  <c r="W194" i="3"/>
  <c r="J131" i="3"/>
  <c r="J150" i="3" s="1"/>
  <c r="J160" i="3" s="1"/>
  <c r="J161" i="3" s="1"/>
  <c r="J195" i="3" s="1"/>
  <c r="J200" i="3" s="1"/>
  <c r="Y189" i="4"/>
  <c r="Y245" i="4"/>
  <c r="W149" i="3"/>
  <c r="Y73" i="4"/>
  <c r="N161" i="3"/>
  <c r="N195" i="3" s="1"/>
  <c r="N200" i="3" s="1"/>
  <c r="K131" i="3"/>
  <c r="K150" i="3" s="1"/>
  <c r="K160" i="3" s="1"/>
  <c r="K161" i="3" s="1"/>
  <c r="K195" i="3" s="1"/>
  <c r="K200" i="3" s="1"/>
  <c r="Y103" i="2"/>
  <c r="AB103" i="2" s="1"/>
  <c r="M161" i="3"/>
  <c r="M195" i="3" s="1"/>
  <c r="M200" i="3" s="1"/>
  <c r="T131" i="3"/>
  <c r="T150" i="3" s="1"/>
  <c r="T160" i="3" s="1"/>
  <c r="R161" i="3"/>
  <c r="R195" i="3" s="1"/>
  <c r="R200" i="3" s="1"/>
  <c r="S131" i="3"/>
  <c r="S150" i="3" s="1"/>
  <c r="S160" i="3" s="1"/>
  <c r="S161" i="3" s="1"/>
  <c r="S195" i="3" s="1"/>
  <c r="S200" i="3" s="1"/>
  <c r="H131" i="3"/>
  <c r="H150" i="3" s="1"/>
  <c r="H160" i="3" s="1"/>
  <c r="H161" i="3" s="1"/>
  <c r="H195" i="3" s="1"/>
  <c r="H200" i="3" s="1"/>
  <c r="W46" i="3"/>
  <c r="I131" i="3"/>
  <c r="I150" i="3" s="1"/>
  <c r="I160" i="3" s="1"/>
  <c r="I161" i="3"/>
  <c r="I195" i="3" s="1"/>
  <c r="I200" i="3" s="1"/>
  <c r="G131" i="3"/>
  <c r="G150" i="3" s="1"/>
  <c r="G160" i="3" s="1"/>
  <c r="G161" i="3" s="1"/>
  <c r="G195" i="3" s="1"/>
  <c r="G200" i="3" s="1"/>
  <c r="L161" i="3"/>
  <c r="L195" i="3" s="1"/>
  <c r="L200" i="3" s="1"/>
  <c r="X152" i="2"/>
  <c r="Y152" i="2" s="1"/>
  <c r="AB152" i="2" s="1"/>
  <c r="Y53" i="4"/>
  <c r="F131" i="3"/>
  <c r="F150" i="3" s="1"/>
  <c r="F160" i="3" s="1"/>
  <c r="F161" i="3" s="1"/>
  <c r="F195" i="3" s="1"/>
  <c r="F200" i="3" s="1"/>
  <c r="W47" i="3"/>
  <c r="W53" i="3" s="1"/>
  <c r="D131" i="3"/>
  <c r="D150" i="3" s="1"/>
  <c r="D160" i="3" s="1"/>
  <c r="D161" i="3" s="1"/>
  <c r="D195" i="3" s="1"/>
  <c r="D200" i="3" s="1"/>
  <c r="E195" i="3"/>
  <c r="E200" i="3" s="1"/>
  <c r="E131" i="3"/>
  <c r="E150" i="3" s="1"/>
  <c r="E160" i="3" s="1"/>
  <c r="E161" i="3" s="1"/>
  <c r="T118" i="4"/>
  <c r="X117" i="4"/>
  <c r="E117" i="4"/>
  <c r="R74" i="4"/>
  <c r="Y74" i="4" s="1"/>
  <c r="D145" i="4"/>
  <c r="O110" i="3"/>
  <c r="O111" i="3" s="1"/>
  <c r="O130" i="3" s="1"/>
  <c r="O87" i="3"/>
  <c r="O88" i="3" s="1"/>
  <c r="X131" i="3"/>
  <c r="X150" i="3" s="1"/>
  <c r="X160" i="3" s="1"/>
  <c r="W54" i="3"/>
  <c r="U110" i="3"/>
  <c r="U111" i="3" s="1"/>
  <c r="U87" i="3"/>
  <c r="U88" i="3" s="1"/>
  <c r="V263" i="2"/>
  <c r="X153" i="2"/>
  <c r="Y153" i="2" s="1"/>
  <c r="R392" i="2"/>
  <c r="D488" i="2"/>
  <c r="R391" i="2"/>
  <c r="W47" i="1"/>
  <c r="W49" i="1"/>
  <c r="O50" i="1"/>
  <c r="E118" i="4" l="1"/>
  <c r="R117" i="4"/>
  <c r="Y117" i="4" s="1"/>
  <c r="T145" i="4"/>
  <c r="X118" i="4"/>
  <c r="D146" i="4"/>
  <c r="W88" i="3"/>
  <c r="O131" i="3"/>
  <c r="O150" i="3" s="1"/>
  <c r="O160" i="3" s="1"/>
  <c r="O161" i="3" s="1"/>
  <c r="O195" i="3" s="1"/>
  <c r="O200" i="3" s="1"/>
  <c r="U130" i="3"/>
  <c r="W111" i="3"/>
  <c r="W110" i="3"/>
  <c r="W87" i="3"/>
  <c r="V264" i="2"/>
  <c r="X263" i="2"/>
  <c r="Y263" i="2" s="1"/>
  <c r="AB263" i="2" s="1"/>
  <c r="D489" i="2"/>
  <c r="R488" i="2"/>
  <c r="W50" i="1"/>
  <c r="W106" i="1" s="1"/>
  <c r="O106" i="1"/>
  <c r="O107" i="1" s="1"/>
  <c r="T146" i="4" l="1"/>
  <c r="X145" i="4"/>
  <c r="E145" i="4"/>
  <c r="R118" i="4"/>
  <c r="Y118" i="4" s="1"/>
  <c r="D167" i="4"/>
  <c r="X161" i="3"/>
  <c r="X195" i="3"/>
  <c r="X200" i="3" s="1"/>
  <c r="U131" i="3"/>
  <c r="U150" i="3" s="1"/>
  <c r="U160" i="3" s="1"/>
  <c r="U161" i="3" s="1"/>
  <c r="W130" i="3"/>
  <c r="V391" i="2"/>
  <c r="V392" i="2" s="1"/>
  <c r="X264" i="2"/>
  <c r="D547" i="2"/>
  <c r="R489" i="2"/>
  <c r="O153" i="1"/>
  <c r="O154" i="1" s="1"/>
  <c r="W107" i="1"/>
  <c r="W153" i="1" s="1"/>
  <c r="E146" i="4" l="1"/>
  <c r="R145" i="4"/>
  <c r="Y145" i="4" s="1"/>
  <c r="T167" i="4"/>
  <c r="X146" i="4"/>
  <c r="D168" i="4"/>
  <c r="W131" i="3"/>
  <c r="W150" i="3" s="1"/>
  <c r="W160" i="3" s="1"/>
  <c r="U195" i="3"/>
  <c r="W161" i="3"/>
  <c r="X391" i="2"/>
  <c r="Y264" i="2"/>
  <c r="Y391" i="2" s="1"/>
  <c r="AB391" i="2" s="1"/>
  <c r="V488" i="2"/>
  <c r="X392" i="2"/>
  <c r="Y392" i="2" s="1"/>
  <c r="D551" i="2"/>
  <c r="R547" i="2"/>
  <c r="W154" i="1"/>
  <c r="W186" i="1" s="1"/>
  <c r="O186" i="1"/>
  <c r="O187" i="1" s="1"/>
  <c r="W195" i="3" l="1"/>
  <c r="W200" i="3" s="1"/>
  <c r="U200" i="3"/>
  <c r="Y160" i="3"/>
  <c r="T168" i="4"/>
  <c r="X167" i="4"/>
  <c r="E167" i="4"/>
  <c r="R146" i="4"/>
  <c r="Y146" i="4" s="1"/>
  <c r="D190" i="4"/>
  <c r="X488" i="2"/>
  <c r="Y488" i="2" s="1"/>
  <c r="AB488" i="2" s="1"/>
  <c r="V489" i="2"/>
  <c r="R551" i="2"/>
  <c r="W187" i="1"/>
  <c r="W217" i="1" s="1"/>
  <c r="W221" i="1" s="1"/>
  <c r="O217" i="1"/>
  <c r="O221" i="1" s="1"/>
  <c r="Y150" i="3" l="1"/>
  <c r="E168" i="4"/>
  <c r="R167" i="4"/>
  <c r="Y167" i="4" s="1"/>
  <c r="Z167" i="4" s="1"/>
  <c r="T190" i="4"/>
  <c r="X168" i="4"/>
  <c r="D204" i="4"/>
  <c r="X489" i="2"/>
  <c r="Y489" i="2" s="1"/>
  <c r="V547" i="2"/>
  <c r="T204" i="4" l="1"/>
  <c r="X190" i="4"/>
  <c r="E190" i="4"/>
  <c r="R168" i="4"/>
  <c r="Y168" i="4" s="1"/>
  <c r="D205" i="4"/>
  <c r="X547" i="2"/>
  <c r="V551" i="2"/>
  <c r="E204" i="4" l="1"/>
  <c r="R190" i="4"/>
  <c r="Y190" i="4" s="1"/>
  <c r="T205" i="4"/>
  <c r="X204" i="4"/>
  <c r="D246" i="4"/>
  <c r="X551" i="2"/>
  <c r="Y547" i="2"/>
  <c r="T246" i="4" l="1"/>
  <c r="X205" i="4"/>
  <c r="E205" i="4"/>
  <c r="R204" i="4"/>
  <c r="Y204" i="4" s="1"/>
  <c r="D252" i="4"/>
  <c r="Y551" i="2"/>
  <c r="AB547" i="2"/>
  <c r="E246" i="4" l="1"/>
  <c r="R205" i="4"/>
  <c r="Y205" i="4" s="1"/>
  <c r="T252" i="4"/>
  <c r="X246" i="4"/>
  <c r="X252" i="4" s="1"/>
  <c r="E252" i="4" l="1"/>
  <c r="R246" i="4"/>
  <c r="Y246" i="4" l="1"/>
  <c r="Y252" i="4" s="1"/>
  <c r="R252" i="4"/>
</calcChain>
</file>

<file path=xl/sharedStrings.xml><?xml version="1.0" encoding="utf-8"?>
<sst xmlns="http://schemas.openxmlformats.org/spreadsheetml/2006/main" count="1596" uniqueCount="721">
  <si>
    <t>K I M U T A T Á S</t>
  </si>
  <si>
    <t>ezer Ft-ban</t>
  </si>
  <si>
    <t xml:space="preserve"> </t>
  </si>
  <si>
    <t>Szöveges indoklás a</t>
  </si>
  <si>
    <t>Egyéb</t>
  </si>
  <si>
    <t>Működési</t>
  </si>
  <si>
    <t>Felhalmozási</t>
  </si>
  <si>
    <t>Bevételek</t>
  </si>
  <si>
    <t>Ssz.</t>
  </si>
  <si>
    <t>forrás származására és a kiadás</t>
  </si>
  <si>
    <t>bevételek</t>
  </si>
  <si>
    <t>célú</t>
  </si>
  <si>
    <t>összesen</t>
  </si>
  <si>
    <t>felhasználási  jogcimére</t>
  </si>
  <si>
    <t>visszatérül.</t>
  </si>
  <si>
    <t>működési</t>
  </si>
  <si>
    <t>bevételei</t>
  </si>
  <si>
    <t>pénzeszköz</t>
  </si>
  <si>
    <t>Érvényes előirányzatok:</t>
  </si>
  <si>
    <t>Módosítás</t>
  </si>
  <si>
    <t>Módosított előirányzat</t>
  </si>
  <si>
    <t>Felülvizsgálat</t>
  </si>
  <si>
    <t>010</t>
  </si>
  <si>
    <t>180</t>
  </si>
  <si>
    <t>Felülvizsgálati módosítások összesen:</t>
  </si>
  <si>
    <t>Módosítások összesen:</t>
  </si>
  <si>
    <t>K I A D Á S O K</t>
  </si>
  <si>
    <t>Ellátottak</t>
  </si>
  <si>
    <t>Intézmény-</t>
  </si>
  <si>
    <t>Kiadások</t>
  </si>
  <si>
    <t>Személyi</t>
  </si>
  <si>
    <t>Munkaadót</t>
  </si>
  <si>
    <t xml:space="preserve">Dologi </t>
  </si>
  <si>
    <t>pénzbeli</t>
  </si>
  <si>
    <t>kiadások</t>
  </si>
  <si>
    <t>kölcsönök</t>
  </si>
  <si>
    <t>Tartalékok</t>
  </si>
  <si>
    <t>finan-</t>
  </si>
  <si>
    <t>juttatás</t>
  </si>
  <si>
    <t>juttatásai</t>
  </si>
  <si>
    <t>nyújtása</t>
  </si>
  <si>
    <t>kiadásai</t>
  </si>
  <si>
    <t>szírozás</t>
  </si>
  <si>
    <t>járulékok</t>
  </si>
  <si>
    <t>támogatás</t>
  </si>
  <si>
    <t>028</t>
  </si>
  <si>
    <t>034</t>
  </si>
  <si>
    <t>Vonal alattiak</t>
  </si>
  <si>
    <t>019</t>
  </si>
  <si>
    <t>1</t>
  </si>
  <si>
    <t>001</t>
  </si>
  <si>
    <t>Eredeti előirányzatok:</t>
  </si>
  <si>
    <t>Kerekítés miatt</t>
  </si>
  <si>
    <t>002</t>
  </si>
  <si>
    <t>150</t>
  </si>
  <si>
    <t>190</t>
  </si>
  <si>
    <t>terhelő</t>
  </si>
  <si>
    <t>Szociális adó</t>
  </si>
  <si>
    <t>támogatások</t>
  </si>
  <si>
    <t>1/H-1</t>
  </si>
  <si>
    <t>003</t>
  </si>
  <si>
    <t>Előző évi maradvány átvétel</t>
  </si>
  <si>
    <t>FELÜGYELETI HATÁSKÖRŰ MÓDOSÍTÁSOK</t>
  </si>
  <si>
    <t>SAJÁT HATÁSKÖRŰ MÓDOSÍTÁSOK</t>
  </si>
  <si>
    <t>A</t>
  </si>
  <si>
    <t>B</t>
  </si>
  <si>
    <t>Módosítások összesen (A+B)</t>
  </si>
  <si>
    <t>H151</t>
  </si>
  <si>
    <t>1. sz. melléklet</t>
  </si>
  <si>
    <t>2. sz. melléklet</t>
  </si>
  <si>
    <t>3. sz. melléklet</t>
  </si>
  <si>
    <t>4. sz. melléklet</t>
  </si>
  <si>
    <t>Rendelet 4. sz. tábla</t>
  </si>
  <si>
    <t>Eltérés rendelethez:</t>
  </si>
  <si>
    <t>Rendelet 5. sz. tábla</t>
  </si>
  <si>
    <t>Rendelet 4 sz. tábla</t>
  </si>
  <si>
    <t>belülről</t>
  </si>
  <si>
    <t>átvett</t>
  </si>
  <si>
    <t>Felhal-</t>
  </si>
  <si>
    <t>mozási</t>
  </si>
  <si>
    <t>felhalm.</t>
  </si>
  <si>
    <t>első</t>
  </si>
  <si>
    <t>Csak szöveges módosítás volt</t>
  </si>
  <si>
    <t>Csak szöveges módosítás volt!</t>
  </si>
  <si>
    <t xml:space="preserve">Irányító </t>
  </si>
  <si>
    <t>szervtől</t>
  </si>
  <si>
    <t>kapott</t>
  </si>
  <si>
    <t>H090</t>
  </si>
  <si>
    <t>H180</t>
  </si>
  <si>
    <t>…</t>
  </si>
  <si>
    <t>418</t>
  </si>
  <si>
    <t>419</t>
  </si>
  <si>
    <t>utólag feladásnál</t>
  </si>
  <si>
    <t>Műk. célú támogatások áht-n belülről</t>
  </si>
  <si>
    <t>Önkorm.</t>
  </si>
  <si>
    <t>Elvonások</t>
  </si>
  <si>
    <t>Egyéb műk.c.</t>
  </si>
  <si>
    <t xml:space="preserve">és </t>
  </si>
  <si>
    <t>támogatása</t>
  </si>
  <si>
    <t>befizetések</t>
  </si>
  <si>
    <t>áht-n</t>
  </si>
  <si>
    <t>Felh.c.tám.áht-n belülről</t>
  </si>
  <si>
    <t>Felh.c.átvett pénzeszközök</t>
  </si>
  <si>
    <t>Közhatalmi</t>
  </si>
  <si>
    <t>Egyéb felh.c.</t>
  </si>
  <si>
    <t>Felh.c.</t>
  </si>
  <si>
    <t>támogatások,</t>
  </si>
  <si>
    <t>önk-i</t>
  </si>
  <si>
    <t>célú átvett</t>
  </si>
  <si>
    <t>Költség-</t>
  </si>
  <si>
    <t>vetési</t>
  </si>
  <si>
    <t>Finanszírozási bevételek</t>
  </si>
  <si>
    <t xml:space="preserve">Belföldi </t>
  </si>
  <si>
    <t>Előző év</t>
  </si>
  <si>
    <t>érték-</t>
  </si>
  <si>
    <t>költségv-i</t>
  </si>
  <si>
    <t>papírok</t>
  </si>
  <si>
    <t>maradvány</t>
  </si>
  <si>
    <t>igénybevét.</t>
  </si>
  <si>
    <t>(3+…+13)</t>
  </si>
  <si>
    <t>Finan-</t>
  </si>
  <si>
    <t>szírozási</t>
  </si>
  <si>
    <t>(15+18)</t>
  </si>
  <si>
    <t>(14 + 19)</t>
  </si>
  <si>
    <t>Módosított előirányzatok</t>
  </si>
  <si>
    <t>Módosított előirányzatok:</t>
  </si>
  <si>
    <t>Felh.c.vtérít.</t>
  </si>
  <si>
    <t>Lakás-</t>
  </si>
  <si>
    <t>Hosszú lej.</t>
  </si>
  <si>
    <t>Belföldi</t>
  </si>
  <si>
    <t>Beruházások</t>
  </si>
  <si>
    <t>Felújítások</t>
  </si>
  <si>
    <t>felhalm.célú</t>
  </si>
  <si>
    <t>tám.,kölcsön</t>
  </si>
  <si>
    <t>hitelek,</t>
  </si>
  <si>
    <t xml:space="preserve"> kölcsönök</t>
  </si>
  <si>
    <t>belülre</t>
  </si>
  <si>
    <t>kívülre</t>
  </si>
  <si>
    <t>áht-n belülre</t>
  </si>
  <si>
    <t>áht-n kívülre</t>
  </si>
  <si>
    <t>törlesztése</t>
  </si>
  <si>
    <t>Működési költségvetési kiadások</t>
  </si>
  <si>
    <t>Felhalmozási költségvetési kiadások</t>
  </si>
  <si>
    <t>Finanszírozási kiadások</t>
  </si>
  <si>
    <t>Első</t>
  </si>
  <si>
    <t>(3+16)</t>
  </si>
  <si>
    <t>(18+21)</t>
  </si>
  <si>
    <t>(17+22)</t>
  </si>
  <si>
    <t>Szoc. adó</t>
  </si>
  <si>
    <t>Második</t>
  </si>
  <si>
    <t>harmadik</t>
  </si>
  <si>
    <t>Harmadik</t>
  </si>
  <si>
    <t>Szept. 30.</t>
  </si>
  <si>
    <t>Működtetett intézmények többletbevétele</t>
  </si>
  <si>
    <t>Okt.31.</t>
  </si>
  <si>
    <t>negyedik</t>
  </si>
  <si>
    <t>nov.30.</t>
  </si>
  <si>
    <t>Okt. 31.</t>
  </si>
  <si>
    <t>dec.31.</t>
  </si>
  <si>
    <t>ötödik</t>
  </si>
  <si>
    <t>finanszí-</t>
  </si>
  <si>
    <t>rozási</t>
  </si>
  <si>
    <t>..</t>
  </si>
  <si>
    <t>EIM-1</t>
  </si>
  <si>
    <t>K1</t>
  </si>
  <si>
    <t>K2</t>
  </si>
  <si>
    <t>K3</t>
  </si>
  <si>
    <t>K4</t>
  </si>
  <si>
    <t>K502</t>
  </si>
  <si>
    <t>K506</t>
  </si>
  <si>
    <t>K512</t>
  </si>
  <si>
    <t>K513</t>
  </si>
  <si>
    <t>K6</t>
  </si>
  <si>
    <t>K7</t>
  </si>
  <si>
    <t>K84</t>
  </si>
  <si>
    <t>K86</t>
  </si>
  <si>
    <t>K87</t>
  </si>
  <si>
    <t>K89</t>
  </si>
  <si>
    <t>K9111</t>
  </si>
  <si>
    <t>K912</t>
  </si>
  <si>
    <t>K915</t>
  </si>
  <si>
    <t>K916</t>
  </si>
  <si>
    <t>B11</t>
  </si>
  <si>
    <t>B12</t>
  </si>
  <si>
    <t>B16</t>
  </si>
  <si>
    <t>B3</t>
  </si>
  <si>
    <t>B4</t>
  </si>
  <si>
    <t>B6</t>
  </si>
  <si>
    <t>B21</t>
  </si>
  <si>
    <t>B25</t>
  </si>
  <si>
    <t>B5</t>
  </si>
  <si>
    <t>B74</t>
  </si>
  <si>
    <t>B75</t>
  </si>
  <si>
    <t>B812</t>
  </si>
  <si>
    <t>B813</t>
  </si>
  <si>
    <t>B816</t>
  </si>
  <si>
    <t>B817</t>
  </si>
  <si>
    <t>055</t>
  </si>
  <si>
    <t xml:space="preserve">Maradvány </t>
  </si>
  <si>
    <t>Maradvány</t>
  </si>
  <si>
    <t>Maradvánnyal módosított előirányzatok</t>
  </si>
  <si>
    <t>ÁHT-n</t>
  </si>
  <si>
    <t>belüli meg-</t>
  </si>
  <si>
    <t>előlegezések</t>
  </si>
  <si>
    <t>kapott előleg</t>
  </si>
  <si>
    <t>előlegezés</t>
  </si>
  <si>
    <t>visszafiz.</t>
  </si>
  <si>
    <t>EIM-H-3
EIM-4</t>
  </si>
  <si>
    <t>EIM-H-5
EIM-5</t>
  </si>
  <si>
    <t>EIM-3</t>
  </si>
  <si>
    <t>Ördögárok u.-Nagyrét u.körforg.eng.és kivit.terv</t>
  </si>
  <si>
    <t>Európai Mobilitási Hét - Autómentes Nap</t>
  </si>
  <si>
    <t>EIM-4</t>
  </si>
  <si>
    <t>Frankel Leó út 5. átalakítási munkák</t>
  </si>
  <si>
    <t>EIM-5</t>
  </si>
  <si>
    <t>Országgyűlési képviselő v.saját keret</t>
  </si>
  <si>
    <t>EIM-H-4</t>
  </si>
  <si>
    <t>Országgyűlési képviselő választás - központi keret</t>
  </si>
  <si>
    <t>EIM-6</t>
  </si>
  <si>
    <t>Eü.Szolg. - 2017. évi támogatás visszavonása</t>
  </si>
  <si>
    <t>EIM-7</t>
  </si>
  <si>
    <t>EIM-8</t>
  </si>
  <si>
    <t>EIM-9</t>
  </si>
  <si>
    <t>EIM-10</t>
  </si>
  <si>
    <t>Szoftver felhasználati jog megváltása</t>
  </si>
  <si>
    <t>FIDESZ Frakciókeret</t>
  </si>
  <si>
    <t>KDNP Frakciókeret</t>
  </si>
  <si>
    <t>Kerületünk az otthonznk Frakciókeret</t>
  </si>
  <si>
    <t>EIM-11</t>
  </si>
  <si>
    <t>Uszoda - földgáz csatlakozási szerz.</t>
  </si>
  <si>
    <t>EIM-13</t>
  </si>
  <si>
    <t xml:space="preserve">Bursa Hungarica-visszautalt fel nem haszn. ösztöndíj </t>
  </si>
  <si>
    <t>EIM-14</t>
  </si>
  <si>
    <t>Bursa Hungarica-visszautalt fel nem használt ösztöndíj</t>
  </si>
  <si>
    <t>Várakozóhely megváltás</t>
  </si>
  <si>
    <t>EIM-15</t>
  </si>
  <si>
    <t>El nem végzett munkák ellenértéke Széher út 16.</t>
  </si>
  <si>
    <t>EIM-16</t>
  </si>
  <si>
    <t>EU-s adatvédelmi rendeletre felkészülés</t>
  </si>
  <si>
    <t>EIM-H-9
EIM-16</t>
  </si>
  <si>
    <t>EIM-H-10
EIM-17</t>
  </si>
  <si>
    <t>Állampolgársági eskütételeken versmondás</t>
  </si>
  <si>
    <t>EIM-17</t>
  </si>
  <si>
    <t>EIM-18</t>
  </si>
  <si>
    <t>Polgármesteri Keret felhasználása</t>
  </si>
  <si>
    <t>2017. december havi bérkompenzáció</t>
  </si>
  <si>
    <t>EIM-H-11
EIM-23</t>
  </si>
  <si>
    <t>EIM-H-12
EIM-24</t>
  </si>
  <si>
    <t>2018. évi bérkompenzáció</t>
  </si>
  <si>
    <t>EIM-23</t>
  </si>
  <si>
    <t>PH - 2017. december havi bérkompenzáció</t>
  </si>
  <si>
    <t>EIM-24</t>
  </si>
  <si>
    <t>PH - 2018. évi bérkompenzáció</t>
  </si>
  <si>
    <t>EIM-22</t>
  </si>
  <si>
    <t>Bevétel átcsoportosítás</t>
  </si>
  <si>
    <t>Intézmények - 2017. december havi bérkompenzáció</t>
  </si>
  <si>
    <t>Eü. Szolg. - 2017. december havi bérkompenzáció</t>
  </si>
  <si>
    <t>Intézmények - Bérkompenzáció 2018.</t>
  </si>
  <si>
    <t xml:space="preserve">Eü. Szolg. - Bérkompenzáció 2018. </t>
  </si>
  <si>
    <t>EIM-25</t>
  </si>
  <si>
    <t>EIM-26</t>
  </si>
  <si>
    <t>Intézmények - Szociális ágazati pótlék 2018. 01. hó</t>
  </si>
  <si>
    <t>Intézmények-Szociális ágazati pótlék 2018. 02-03. hó</t>
  </si>
  <si>
    <t>Intézmények-Szoc.ágazati pótlék 2018.02-03. hó</t>
  </si>
  <si>
    <t>EIM-19</t>
  </si>
  <si>
    <t>Központi ügyfélszolg.tervezés, művezetés</t>
  </si>
  <si>
    <t>EIM-H-13
EIM-19</t>
  </si>
  <si>
    <t>EIM-20</t>
  </si>
  <si>
    <t>Musica Sacra közreműködőinek vendéglátás</t>
  </si>
  <si>
    <t>Előző évi maradvány visszafizetése</t>
  </si>
  <si>
    <t>EIM-29</t>
  </si>
  <si>
    <t>Állategészségügyi kiadások átcsoportosítása</t>
  </si>
  <si>
    <t>EIM-30</t>
  </si>
  <si>
    <t>EIM-31</t>
  </si>
  <si>
    <t>Államkötvény beváltás, kincstárjegy vásárlás</t>
  </si>
  <si>
    <t>EIM-32</t>
  </si>
  <si>
    <t>EIM-33</t>
  </si>
  <si>
    <t xml:space="preserve"> Polgármesteri Keret felhasználása</t>
  </si>
  <si>
    <t>Tanulmányterv és koncepcióterv</t>
  </si>
  <si>
    <t>EIM-36</t>
  </si>
  <si>
    <t>Önállóan működő intézmények karbantartási munkái</t>
  </si>
  <si>
    <t>EIM-38</t>
  </si>
  <si>
    <t>Int. fin.  - Szászorszép Óvoda dologi kiadások</t>
  </si>
  <si>
    <t>EIM-42</t>
  </si>
  <si>
    <t>Int.fin. - III. Gondozási Központ dologi kiadások</t>
  </si>
  <si>
    <t>EIM-39</t>
  </si>
  <si>
    <t>EIM-40</t>
  </si>
  <si>
    <t>PH-új irodák kial. tervezése és kivitelezése</t>
  </si>
  <si>
    <t>EIM-41</t>
  </si>
  <si>
    <t>EIM-H-15
EIM-40</t>
  </si>
  <si>
    <t>HungaroControll Zrt-től támogatás</t>
  </si>
  <si>
    <t>EIM-43</t>
  </si>
  <si>
    <t>EIM-H-20</t>
  </si>
  <si>
    <t>EIM-H-21</t>
  </si>
  <si>
    <t>Bécsi út 17-21. biztosító által fiz.kártérítés</t>
  </si>
  <si>
    <t>EIM-H-22</t>
  </si>
  <si>
    <t>Választás saját keret átcsoportosítás</t>
  </si>
  <si>
    <t>EIM-H-19</t>
  </si>
  <si>
    <t>Közfoglalkozás támogatása</t>
  </si>
  <si>
    <t>EIM-H-14</t>
  </si>
  <si>
    <t>Használt készlet értékesítése</t>
  </si>
  <si>
    <t>Kommunikációs eszk-k beszerzése</t>
  </si>
  <si>
    <t>EIM-45</t>
  </si>
  <si>
    <t>EIM-46</t>
  </si>
  <si>
    <t>EIM-47</t>
  </si>
  <si>
    <t>Lakásépítési kölcsön folyósítása</t>
  </si>
  <si>
    <t>Sikeresen pályázott HAVARIA keret maradv.</t>
  </si>
  <si>
    <t>8010</t>
  </si>
  <si>
    <t>8020</t>
  </si>
  <si>
    <t>8021</t>
  </si>
  <si>
    <t>8022</t>
  </si>
  <si>
    <t>8051</t>
  </si>
  <si>
    <t>8070</t>
  </si>
  <si>
    <t>8101</t>
  </si>
  <si>
    <t>8401</t>
  </si>
  <si>
    <t>8402</t>
  </si>
  <si>
    <t>9000</t>
  </si>
  <si>
    <t>9010</t>
  </si>
  <si>
    <t>9024</t>
  </si>
  <si>
    <t>9025</t>
  </si>
  <si>
    <t>9026</t>
  </si>
  <si>
    <t>9032</t>
  </si>
  <si>
    <t>9035</t>
  </si>
  <si>
    <t>9052</t>
  </si>
  <si>
    <t>9054</t>
  </si>
  <si>
    <t>9060</t>
  </si>
  <si>
    <t>9070</t>
  </si>
  <si>
    <t>9080</t>
  </si>
  <si>
    <t>9090</t>
  </si>
  <si>
    <t>9085</t>
  </si>
  <si>
    <t>Frankel Leó u 5. átalakítási munkák</t>
  </si>
  <si>
    <t>EIM-51</t>
  </si>
  <si>
    <t>EIM-53</t>
  </si>
  <si>
    <t>Előző évben adott, fel nem haszn.tám.visszafiz.</t>
  </si>
  <si>
    <t>EIM-50</t>
  </si>
  <si>
    <t>Int.fin.- Szemlőhegy Óvoda vizesblokk</t>
  </si>
  <si>
    <t>EIM-58</t>
  </si>
  <si>
    <t>II.ker.ingatlan-nyilvántartási térkép felhasználási joga</t>
  </si>
  <si>
    <t>EIM-59</t>
  </si>
  <si>
    <t>EIM-H-26
EIM-59</t>
  </si>
  <si>
    <t>EIM-62</t>
  </si>
  <si>
    <t>Alpolgármesteri Keret felhasználása</t>
  </si>
  <si>
    <t>Központi ügyfélszolg.kiviteli munkák többletktg.</t>
  </si>
  <si>
    <t>EIM-68</t>
  </si>
  <si>
    <t>EIM-69</t>
  </si>
  <si>
    <t>Kátyúzási munkák többletktg.</t>
  </si>
  <si>
    <t>EIM-70</t>
  </si>
  <si>
    <t>EIM-74</t>
  </si>
  <si>
    <t>Nemzetiségeink támogatása - Kerület Napja</t>
  </si>
  <si>
    <t>EIM-60</t>
  </si>
  <si>
    <t>EIM-63</t>
  </si>
  <si>
    <t>EIM-64</t>
  </si>
  <si>
    <t>Int.fin. - Szociális intézmények: Jutalom</t>
  </si>
  <si>
    <t>EIM-65</t>
  </si>
  <si>
    <t>Int.fin.-Intézmények: Pedagógus napi  vezetői jutalom</t>
  </si>
  <si>
    <t>Int.fin. - Intézmények: Dolgozók jutalmazása</t>
  </si>
  <si>
    <t>Int.fin.-Eü.Szolg. Jutalom</t>
  </si>
  <si>
    <t>EIM-66</t>
  </si>
  <si>
    <t>Int.fin.-Intézmények:Művészeti,kulturális progr.-ra</t>
  </si>
  <si>
    <t>EIM-67</t>
  </si>
  <si>
    <t>Int.fin.-Intézmények: Bérkompenzáció</t>
  </si>
  <si>
    <t>Int.fin.-Eü. Szolg:  Bérkompenzáció</t>
  </si>
  <si>
    <t>EIM-71</t>
  </si>
  <si>
    <t>Int.fi.-Szoc.Intézmények: Szoc.ágazati pótlék</t>
  </si>
  <si>
    <t>EIM-75</t>
  </si>
  <si>
    <t>Int.fin.-Intézmények: 5 fő vezető továbbképzése</t>
  </si>
  <si>
    <t>Int.fin. - Szociális intézmények programjainak tám.</t>
  </si>
  <si>
    <t>EIM-H-31</t>
  </si>
  <si>
    <t>Országgyűlési képviselő választás kp-i keret - többletig.</t>
  </si>
  <si>
    <t>EIM-H-30
EIM-67</t>
  </si>
  <si>
    <t>2018. évi bérkompenzáció 2018. 04-05. hó</t>
  </si>
  <si>
    <t>Int.fin.-PH:  Bérkompenzáció</t>
  </si>
  <si>
    <t>EIM-77</t>
  </si>
  <si>
    <t>Országgyűlési képv.vál.saját keret kiegészítés</t>
  </si>
  <si>
    <t>EIM-H-34
EIM-77</t>
  </si>
  <si>
    <t>Int-k fel nem használt maradvány befiz.</t>
  </si>
  <si>
    <t>EIM-76</t>
  </si>
  <si>
    <t>Többletbevételek beemelése</t>
  </si>
  <si>
    <t>EIM-78</t>
  </si>
  <si>
    <t>EIM-79</t>
  </si>
  <si>
    <t>Iparűzési adó költségtérítése Főváros felé</t>
  </si>
  <si>
    <t>EIM-81</t>
  </si>
  <si>
    <t>Internet Kortalanul tanfolyam</t>
  </si>
  <si>
    <t>Őrzési szerződés hosszabbítása</t>
  </si>
  <si>
    <t>EIM-86</t>
  </si>
  <si>
    <t>EIM-87</t>
  </si>
  <si>
    <t xml:space="preserve">Int.fin. - Eü. Szolg. Allergiaszűrés </t>
  </si>
  <si>
    <t>EIM-90</t>
  </si>
  <si>
    <t>Belső árnyékolók, világítás, nyíláshatárolók</t>
  </si>
  <si>
    <t>EIM-H-41
EIM-90</t>
  </si>
  <si>
    <t>EIM-91</t>
  </si>
  <si>
    <t>VEKOP-5.3.1 Kerékp-barát fejl.pály. rendezésebev-kiad.csökk</t>
  </si>
  <si>
    <t>EIM-93</t>
  </si>
  <si>
    <t>Gazd.mfolyamat.felmérés és tanácsadás</t>
  </si>
  <si>
    <t>EIM-H-42
EIM-93</t>
  </si>
  <si>
    <t>EIM-94</t>
  </si>
  <si>
    <t>Felületképzés új irodák kialakításakor</t>
  </si>
  <si>
    <t>EIM-H-43
EIM-94</t>
  </si>
  <si>
    <t>EIM-97</t>
  </si>
  <si>
    <t>Összevont Egészségügyi Szolg.terv kieg.</t>
  </si>
  <si>
    <t>VEKOP-5.3.1 Kerékp-barát fejl.pály. Rendezése bev-kiad.csökk</t>
  </si>
  <si>
    <t>EIM-88</t>
  </si>
  <si>
    <t>EIM-89</t>
  </si>
  <si>
    <t>EIM-92</t>
  </si>
  <si>
    <t>Int.fin. - Helyi illetménykiegészítés</t>
  </si>
  <si>
    <t>EIM-95</t>
  </si>
  <si>
    <t>EIM-99</t>
  </si>
  <si>
    <t>Int.fin. - Óvodák személyi juttatás</t>
  </si>
  <si>
    <t>EIM-100</t>
  </si>
  <si>
    <t>Int.fin.-Százszorszép Óvoda SNI-s gyerekek ellátása</t>
  </si>
  <si>
    <t xml:space="preserve">Int.fin.-Százszorszép Óvoda </t>
  </si>
  <si>
    <t>Int.fin.-Százszorszép Óvoda élelmiszerbizt.vizsg.</t>
  </si>
  <si>
    <t>EIM-104</t>
  </si>
  <si>
    <t>Használt gépjármű értékesítése PH-ban</t>
  </si>
  <si>
    <t>EIM-H-46
EIM-104</t>
  </si>
  <si>
    <t>EIM-105</t>
  </si>
  <si>
    <t>Kadarka-Áchim-Szabadság u.fennmaradási eng.</t>
  </si>
  <si>
    <t>EIM-108</t>
  </si>
  <si>
    <t>EIM-107</t>
  </si>
  <si>
    <t xml:space="preserve">Polgármesteri Keret felhasználása </t>
  </si>
  <si>
    <t>II. Hűvösvölgyi u.137.fszt.1.lakásvás.fordított áfa</t>
  </si>
  <si>
    <t>EIM-109</t>
  </si>
  <si>
    <t>Lámpaoszlop káresemény</t>
  </si>
  <si>
    <t>EIM-111</t>
  </si>
  <si>
    <t>EIM-112</t>
  </si>
  <si>
    <t>EIM-113</t>
  </si>
  <si>
    <t>EIM-114</t>
  </si>
  <si>
    <t>EIM-115</t>
  </si>
  <si>
    <t>EIM-116</t>
  </si>
  <si>
    <t>EIM-117</t>
  </si>
  <si>
    <t>DMSOne rsz.bevezetésének támogatása</t>
  </si>
  <si>
    <t>EIM-H-54
EIM-112</t>
  </si>
  <si>
    <t>SQL Server licensz beszerzése</t>
  </si>
  <si>
    <t>EIM-H-55
EIM-113</t>
  </si>
  <si>
    <t>Reprezentációs áfa átcsop.-Képviselő testület átcsop.</t>
  </si>
  <si>
    <t>Közép-Budai Tankerületi Kp.támogatása</t>
  </si>
  <si>
    <t>EIM-125</t>
  </si>
  <si>
    <t>Temető u.53.telek vásárlás több tulajdonostól</t>
  </si>
  <si>
    <t>EIM-126</t>
  </si>
  <si>
    <t>Madárbarát Program lebonyolítása</t>
  </si>
  <si>
    <t>Bölcsődei kiegészítő támogatás</t>
  </si>
  <si>
    <t>EIM-124</t>
  </si>
  <si>
    <t>Előző évben adott, fel nem haszn.tám. Visszafizetése Tankerületi Központtól</t>
  </si>
  <si>
    <t>EIM-127</t>
  </si>
  <si>
    <t>EIM-122</t>
  </si>
  <si>
    <t>2018. évi bérkompenzáció 2018. 06-07. hó</t>
  </si>
  <si>
    <t>EIM-H-58
EIM-122</t>
  </si>
  <si>
    <t>EIM-119</t>
  </si>
  <si>
    <t>Int.fin.Eü.Szolg - Egészségnap- szűrővizsg.</t>
  </si>
  <si>
    <t>EIM-120</t>
  </si>
  <si>
    <t>Int.fin. - Százszorszép Óvoda nyílászáró felújítás</t>
  </si>
  <si>
    <t>EIM-121</t>
  </si>
  <si>
    <t>Int.fin. - Bölcsődék: karbantartási munkák</t>
  </si>
  <si>
    <t>EIM-123</t>
  </si>
  <si>
    <t>Másodlagos értékpapírv vételárban kamatfiz.</t>
  </si>
  <si>
    <t>EIM-131</t>
  </si>
  <si>
    <t>EIM-132</t>
  </si>
  <si>
    <t>08.31.</t>
  </si>
  <si>
    <t>Felülvizsg.</t>
  </si>
  <si>
    <t>harmadik+fv.</t>
  </si>
  <si>
    <t>EIM-135</t>
  </si>
  <si>
    <t>Alpolgármesteri keret felhasználása</t>
  </si>
  <si>
    <t>EIM-136</t>
  </si>
  <si>
    <t>Polgármesteri keret felhasználása</t>
  </si>
  <si>
    <t>EIM-140</t>
  </si>
  <si>
    <t xml:space="preserve">Uszoda ép.központi kvetésből kapott vissza nem térítedő tám. </t>
  </si>
  <si>
    <t>EIM-141</t>
  </si>
  <si>
    <t>EIM-139</t>
  </si>
  <si>
    <t>Központi ügyfélszolg.kiviteli munkák és műszaki ellenőrzés</t>
  </si>
  <si>
    <t>Panoráma Sportközpont műfüves labdarúgó pálya beruh.10% önerő</t>
  </si>
  <si>
    <t>EIM-142</t>
  </si>
  <si>
    <t>Parkoló automatákhoz akkumulátor beszerzés</t>
  </si>
  <si>
    <t>EIM-144</t>
  </si>
  <si>
    <t>EIM-147</t>
  </si>
  <si>
    <t>EIM-148</t>
  </si>
  <si>
    <t>Műszaki előkészítésre</t>
  </si>
  <si>
    <t>EIM-149</t>
  </si>
  <si>
    <t>OCR szerver licensz beszerzése</t>
  </si>
  <si>
    <t>EIM-H-64
EIM-149</t>
  </si>
  <si>
    <t>EIM-150</t>
  </si>
  <si>
    <t>Parkoló automatákhoz előnyomott hópapírtekercs beszerzés</t>
  </si>
  <si>
    <t>EIM-152</t>
  </si>
  <si>
    <t xml:space="preserve"> Nyári napközis és tábori kedvezmények megtérítése</t>
  </si>
  <si>
    <t>EIM-153</t>
  </si>
  <si>
    <t>Parkoltatási eszk.karbantartása</t>
  </si>
  <si>
    <t>Jelzőrendszeres házi segítségnyújtáshoz tám.</t>
  </si>
  <si>
    <t>EIM-155</t>
  </si>
  <si>
    <t>EIM-156</t>
  </si>
  <si>
    <t>EIM-157</t>
  </si>
  <si>
    <t>Készletbeszerzéshez átcsoportosítás</t>
  </si>
  <si>
    <t>CleanSYS örökös szoftver licenc vásárlás</t>
  </si>
  <si>
    <t>EIM-H-65
EIM-157</t>
  </si>
  <si>
    <t>Bfenyvesi üdülőtábor - beruházási áfa rendezése</t>
  </si>
  <si>
    <t>EIM-158</t>
  </si>
  <si>
    <t>EIM-159</t>
  </si>
  <si>
    <t>Káplár u.15-17.IV.8 lakás felújítása</t>
  </si>
  <si>
    <t>EIM-161</t>
  </si>
  <si>
    <t>PH-ban bevétel emelkedés miatt int.fin.csökk.</t>
  </si>
  <si>
    <t>PH-ban bevétel emelkedés miatt int.fin.csökkenés</t>
  </si>
  <si>
    <t>EIM-H-66 EIM-161</t>
  </si>
  <si>
    <t>Biztosító által fizetett kártérítés beemelése</t>
  </si>
  <si>
    <t>EIM-163</t>
  </si>
  <si>
    <t>EIM-169</t>
  </si>
  <si>
    <t>Kadarka u.1-3. Óvoda kivitelezési munkáihoz</t>
  </si>
  <si>
    <t>EIM-170</t>
  </si>
  <si>
    <t>EIM-171</t>
  </si>
  <si>
    <t>Átcsoportosítás parkolóőrök munkaruházatára</t>
  </si>
  <si>
    <t>Közterületi beruházás, felújítás 6 jogcímen</t>
  </si>
  <si>
    <t>EIM-174</t>
  </si>
  <si>
    <t>EIM-178</t>
  </si>
  <si>
    <t>Parkoló automata utólagos kárrendezés</t>
  </si>
  <si>
    <t>EIM-183</t>
  </si>
  <si>
    <t>Átcsoportosítás műszaki előkészítésre</t>
  </si>
  <si>
    <t>EIM-184</t>
  </si>
  <si>
    <t>Ipari PDA képernyő védőfólia</t>
  </si>
  <si>
    <t>EIM-185</t>
  </si>
  <si>
    <t>Állategészségügyi kiadások átcsop.</t>
  </si>
  <si>
    <t>EIM-186</t>
  </si>
  <si>
    <t xml:space="preserve">Fenyves Park: kerékpáros KRESZ-park+tanpálya </t>
  </si>
  <si>
    <t>EIM-188</t>
  </si>
  <si>
    <t>VEKOP-6.1.1-15 pály. Szaktanácsadás</t>
  </si>
  <si>
    <t>EIM-189</t>
  </si>
  <si>
    <t>Mosbachi és Finikei látogatások</t>
  </si>
  <si>
    <t>EIM-179</t>
  </si>
  <si>
    <t>EIM-180</t>
  </si>
  <si>
    <t>EIM-181</t>
  </si>
  <si>
    <t>EIM-182</t>
  </si>
  <si>
    <t>Int.fin-Eü.Szolg: szűrővizsgálatok lebonyolítása</t>
  </si>
  <si>
    <t>Int.fin. - Intézmények tisztasági festése</t>
  </si>
  <si>
    <t>Int.fin. - Szászorszép Óvoda dologi kiadásra</t>
  </si>
  <si>
    <t>Int.fin. - Családsegítő Szolg. Személyi juttatások</t>
  </si>
  <si>
    <t>EIM-190</t>
  </si>
  <si>
    <t xml:space="preserve">Int.fin. - Intézmények:  Bérkompenzáció </t>
  </si>
  <si>
    <t>Int.fin. - Egészségügyi Szolg.: Bérkompenzáció</t>
  </si>
  <si>
    <t>Int.fin. - Polgármesteri Hiv. Bérkompenzáció</t>
  </si>
  <si>
    <t>EIM-191</t>
  </si>
  <si>
    <t xml:space="preserve">Int.fin. - Intézmények:  Szoc.ágazati pótlék </t>
  </si>
  <si>
    <t>EIM-H-78 EIM-190</t>
  </si>
  <si>
    <t>Polgármesteri Hiv. Bérkompenzáció</t>
  </si>
  <si>
    <t>EIM-192</t>
  </si>
  <si>
    <t>8023</t>
  </si>
  <si>
    <t>8024</t>
  </si>
  <si>
    <t>9042</t>
  </si>
  <si>
    <t>9043</t>
  </si>
  <si>
    <t>9121</t>
  </si>
  <si>
    <t>9150</t>
  </si>
  <si>
    <t>9152</t>
  </si>
  <si>
    <t>9154</t>
  </si>
  <si>
    <t>9155</t>
  </si>
  <si>
    <t>9180</t>
  </si>
  <si>
    <t>9181</t>
  </si>
  <si>
    <t>9182</t>
  </si>
  <si>
    <t>9190</t>
  </si>
  <si>
    <t>9401</t>
  </si>
  <si>
    <t>9420</t>
  </si>
  <si>
    <t>9424</t>
  </si>
  <si>
    <t>9103</t>
  </si>
  <si>
    <t>dec. 31.</t>
  </si>
  <si>
    <t>Nem intézmények által ellátott önkormányzati feladatok bevételi előirányzatain végrehajtott saját hatáskörű változtatások kiemelt előirányzatonként 
2018. november 1 - től   2018. december 31 - ig</t>
  </si>
  <si>
    <t>Nem intézmények által ellátott önkormányzati feladatok kiadási előirányzatain végrehajtott saját hatáskörű változtatások kiemelt előirányzatonként 
2018. november 1 - től   2018. december 31 - ig</t>
  </si>
  <si>
    <t>A Polgármesteri Hivatal által ellátott feladatok bevételi előirányzatain végrehajtott változtatások kiemelt előirányzatonként 
2018. november 1 - től   2018. december 31 - ig</t>
  </si>
  <si>
    <t>A Polgármesteri Hivatal által ellátott feladatok kiadási előirányzatain végrehajtott változtatások kiemelt előirányzatonként 
2018. november 1 - től   2018. december 31 - ig</t>
  </si>
  <si>
    <t>EIM-196</t>
  </si>
  <si>
    <t>Megrongált parkoló automata: kártérítés</t>
  </si>
  <si>
    <t>Út céljára kötelezően lejegyzés</t>
  </si>
  <si>
    <t>EIM-197</t>
  </si>
  <si>
    <t>EIM-198</t>
  </si>
  <si>
    <t>VÖK keretből átcsoportosítás</t>
  </si>
  <si>
    <t>EIM-199</t>
  </si>
  <si>
    <t>Gyermeket Háza I. Alapítvány támogatása</t>
  </si>
  <si>
    <t>EIM-200</t>
  </si>
  <si>
    <t>EIM-201</t>
  </si>
  <si>
    <t>EIM-202</t>
  </si>
  <si>
    <t>EIM-203</t>
  </si>
  <si>
    <t>EIM-204</t>
  </si>
  <si>
    <t>Útépítés engedélyezési tervek előkészítése</t>
  </si>
  <si>
    <t>EIM-208</t>
  </si>
  <si>
    <t>EIM-205</t>
  </si>
  <si>
    <t>EIM-206</t>
  </si>
  <si>
    <t>EIM-207</t>
  </si>
  <si>
    <t>EIM-210</t>
  </si>
  <si>
    <t>EIM-211</t>
  </si>
  <si>
    <t>EIM-213</t>
  </si>
  <si>
    <t>Játszótéri eszközök felújítása</t>
  </si>
  <si>
    <t>EIM-209</t>
  </si>
  <si>
    <t>PM Kabinet keretre átcsoportosítás</t>
  </si>
  <si>
    <t>Közbizt. feladatok támogatására</t>
  </si>
  <si>
    <t>EIM-215</t>
  </si>
  <si>
    <t>EIM-216</t>
  </si>
  <si>
    <t>Nagyrét: kézilabdapálya megvalósítása</t>
  </si>
  <si>
    <t>EIM-217</t>
  </si>
  <si>
    <t>Karácsonyi díszkivilágítás</t>
  </si>
  <si>
    <t>EIM-219</t>
  </si>
  <si>
    <t>EIM-195</t>
  </si>
  <si>
    <t>Rét u-i beszerzés áfa átcsop.</t>
  </si>
  <si>
    <t>EIM-220</t>
  </si>
  <si>
    <t>EIM-222</t>
  </si>
  <si>
    <t>EIM-223</t>
  </si>
  <si>
    <t>Int.fin. - Szoc. Intézmények személyi juttatás</t>
  </si>
  <si>
    <t xml:space="preserve">Int.fin.-Óvodák egészségnapi programokra  </t>
  </si>
  <si>
    <t xml:space="preserve">Int.fin.-Óvodák kulturális programokra  </t>
  </si>
  <si>
    <t>Int.fin.-Óvodák : vezetőképző tanfolyam 5 fő</t>
  </si>
  <si>
    <t>Int.fin.-Százszorszép Óvoda dologi kiadásra</t>
  </si>
  <si>
    <t>Int.fin.- Szoc. Intézmények vezetői jutalom</t>
  </si>
  <si>
    <t>Int.fin.- Szoc. Intézmények dolgozói jutalom</t>
  </si>
  <si>
    <t>EIM-227</t>
  </si>
  <si>
    <t>Int.fin. - Eü. Szolgálat eszközbeszerzés</t>
  </si>
  <si>
    <t>EIM-228</t>
  </si>
  <si>
    <t>Int.fin.- Intézmények: bérkompenzáció</t>
  </si>
  <si>
    <t>Int.fin.- Eü.Szolgálat bérkompenzáció</t>
  </si>
  <si>
    <t>EIM-229</t>
  </si>
  <si>
    <t>Int.fin.- Bölcsődék,Szoc.Int.-ek bérkompenzáció</t>
  </si>
  <si>
    <t>Int.fin.- Bölcsődék,Szoc.Int.k bérkompenzáció</t>
  </si>
  <si>
    <t>Polg-Hiv. bérkompenzáció</t>
  </si>
  <si>
    <t>EIM-230</t>
  </si>
  <si>
    <t>Fel nem használt Alpolgármesteri Keret</t>
  </si>
  <si>
    <t>EIM-H-88
EIM-228</t>
  </si>
  <si>
    <t>EIM-231</t>
  </si>
  <si>
    <t>Int.fin - Óvodás személyi juttatása</t>
  </si>
  <si>
    <t>EIM-232</t>
  </si>
  <si>
    <t>Takarítási költség továbbszámlázása</t>
  </si>
  <si>
    <t>EIM-233</t>
  </si>
  <si>
    <t>Kadarka u.1-3. óvoda kivitelezési munkáihoz ÁFA</t>
  </si>
  <si>
    <t>EIM-235</t>
  </si>
  <si>
    <t>EIM-236</t>
  </si>
  <si>
    <t>Fény utcai épületbontás miatti megállási tilalom</t>
  </si>
  <si>
    <t>EIM-240</t>
  </si>
  <si>
    <t>Behajtásgátló oszlopok karbantartása</t>
  </si>
  <si>
    <t>EIM-242</t>
  </si>
  <si>
    <t>Fény u. 2. Bontás</t>
  </si>
  <si>
    <t>EIM-243</t>
  </si>
  <si>
    <t>EIM-246</t>
  </si>
  <si>
    <t>Vezetői oktatási kerekasztal</t>
  </si>
  <si>
    <t>EIM-H-93
EIM-242</t>
  </si>
  <si>
    <t>EIM-H-95</t>
  </si>
  <si>
    <t>Főépület I.em. új kétszárnyú ajtólap</t>
  </si>
  <si>
    <t>EIM-247</t>
  </si>
  <si>
    <t>II.Ker.Kulturális Közh.Nonprofit Kft.felh.tám.</t>
  </si>
  <si>
    <t>EIM-248</t>
  </si>
  <si>
    <t>Gyermektáboroztatáshoz: II.Ker.Kulturális Közh.Nonprofit Kft.műk.tám.</t>
  </si>
  <si>
    <t>EIM-252</t>
  </si>
  <si>
    <t>Aprónép Alapítvány támogatása</t>
  </si>
  <si>
    <t>EIM-255</t>
  </si>
  <si>
    <t>EIM-238</t>
  </si>
  <si>
    <t>EIM-239</t>
  </si>
  <si>
    <t>Int.fin. - Óvodák személyi juttatása</t>
  </si>
  <si>
    <t>EIM-245</t>
  </si>
  <si>
    <t>Int.fin. - Százszorszép Óvoda dologi kiadások</t>
  </si>
  <si>
    <t>EIM-249</t>
  </si>
  <si>
    <t>EIM-256</t>
  </si>
  <si>
    <t>EIM-260</t>
  </si>
  <si>
    <t>Int.fin. - Százszorszép Óvoda személyi juttatás</t>
  </si>
  <si>
    <t>EIM-271</t>
  </si>
  <si>
    <t xml:space="preserve">Int.fin. - Eü. Szolgálat lakossági szűrővizsgálatokra </t>
  </si>
  <si>
    <t>EIM-272</t>
  </si>
  <si>
    <t>EIM-273</t>
  </si>
  <si>
    <t>Int.fin. - Intézmények bérkompenzáció</t>
  </si>
  <si>
    <t>Int.fin.- Bölcsődék,Szoc.Int.k szoc.ágazati pótlék</t>
  </si>
  <si>
    <t>EIM-259</t>
  </si>
  <si>
    <t>Földutak szilárd burkolásához útépítési eng.díj</t>
  </si>
  <si>
    <t>EIM-H-99
EIM-272</t>
  </si>
  <si>
    <t>EIM-262</t>
  </si>
  <si>
    <t>EIM-263</t>
  </si>
  <si>
    <t>EIM-264</t>
  </si>
  <si>
    <t>Perköltség megfizetése</t>
  </si>
  <si>
    <t>EIM-H-97
EIM-263</t>
  </si>
  <si>
    <t>Közösségi Liget tervezéséhez</t>
  </si>
  <si>
    <t>Schmuter Attiláné-S-F.A 2019.09.30</t>
  </si>
  <si>
    <t>EIM-257</t>
  </si>
  <si>
    <t>Int.fin. - Százszorszép Óvoda személyi+dologi kiad.</t>
  </si>
  <si>
    <t>EIM-266</t>
  </si>
  <si>
    <t>SharePoint szolgáltatások bevezetése</t>
  </si>
  <si>
    <t>EIM-H-98
EIM-266</t>
  </si>
  <si>
    <t>EIM-269</t>
  </si>
  <si>
    <t xml:space="preserve">Társasházak felújítása Keret </t>
  </si>
  <si>
    <t>EIM-270</t>
  </si>
  <si>
    <t xml:space="preserve">HAVARIA Keret </t>
  </si>
  <si>
    <t>EIM-274</t>
  </si>
  <si>
    <t>Monitor beszerzés</t>
  </si>
  <si>
    <t>EIM-H-101
EIM-274</t>
  </si>
  <si>
    <t>EIM-275</t>
  </si>
  <si>
    <t>Telefonközpont</t>
  </si>
  <si>
    <t>EIM-H-102
EIM-275</t>
  </si>
  <si>
    <t>EIM-H-103
EIM-276</t>
  </si>
  <si>
    <t>Mentési rendszer fejlesztése</t>
  </si>
  <si>
    <t>EIM-276</t>
  </si>
  <si>
    <t>EIM-277</t>
  </si>
  <si>
    <t>Lakás bérleti jogviszony megváltása</t>
  </si>
  <si>
    <t>EIM-278</t>
  </si>
  <si>
    <t>Iratkezelő rendszer fejlesztése</t>
  </si>
  <si>
    <t>EIM-H-104
EIM-278</t>
  </si>
  <si>
    <t>EIM-279</t>
  </si>
  <si>
    <t>Inf-i esz.besz.Kiemelt Ügyfélszolgálatra</t>
  </si>
  <si>
    <t>EIM-H-105
EIM-279</t>
  </si>
  <si>
    <t>EIM-280</t>
  </si>
  <si>
    <t>EIM-H-106
EIM-280</t>
  </si>
  <si>
    <t>EIM-H-107</t>
  </si>
  <si>
    <t>Bevételek átcsoportosítása</t>
  </si>
  <si>
    <t>EIM-H-108</t>
  </si>
  <si>
    <t>Elmaradt bevételek csökkentése</t>
  </si>
  <si>
    <t>EIM-282</t>
  </si>
  <si>
    <t>Téli rezsicsökkentés - szilárd tüzeléshez</t>
  </si>
  <si>
    <t>EIM-283</t>
  </si>
  <si>
    <t>Buszvárók kihelyezéséhez kapcsolódó közterület használat</t>
  </si>
  <si>
    <t>EIM-286</t>
  </si>
  <si>
    <t>EIM-289</t>
  </si>
  <si>
    <t>EIM-290</t>
  </si>
  <si>
    <t>EIM-291</t>
  </si>
  <si>
    <t>CORSO lassulás vizsgálata</t>
  </si>
  <si>
    <t>EIM-H-112
EIM-291</t>
  </si>
  <si>
    <t>Szervezés, projektmenedzselésre átcsop.</t>
  </si>
  <si>
    <t>Önk. működési támogatásai</t>
  </si>
  <si>
    <t>Ker.az Otthonunk Frakciókeret átcsoportosítás</t>
  </si>
  <si>
    <t>KDNP Frakciókeret átcsoportosítás</t>
  </si>
  <si>
    <t>EIM-293</t>
  </si>
  <si>
    <t>Háziorvosi ügyeleti ellátás finanszírozás</t>
  </si>
  <si>
    <t>Szerverben HDD csere</t>
  </si>
  <si>
    <t>Vonalas telefon Kp. és készülék</t>
  </si>
  <si>
    <t>EIM-294</t>
  </si>
  <si>
    <t>Iskolák áthúzódó kiadásai kiegészítése</t>
  </si>
  <si>
    <t>EIM-295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</si>
</sst>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0\ _F_t"/>
    <numFmt numFmtId="165" formatCode="#,##0.000"/>
    <numFmt numFmtId="166" formatCode="_-* #,##0.000\ _F_t_-;\-* #,##0.000\ _F_t_-;_-* &quot;-&quot;??\ _F_t_-;_-@_-"/>
    <numFmt numFmtId="167" formatCode="_-* #,##0\ _F_t_-;\-* #,##0\ _F_t_-;_-* &quot;-&quot;??\ _F_t_-;_-@_-"/>
    <numFmt numFmtId="168" formatCode="#,##0.000;[Red]#,##0.000"/>
    <numFmt numFmtId="169" formatCode="0.000"/>
    <numFmt numFmtId="170" formatCode="#,##0.000\ _F_t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8"/>
      <name val="Arial"/>
      <family val="2"/>
      <charset val="238"/>
    </font>
    <font>
      <sz val="13"/>
      <name val="Times New Roman CE"/>
      <family val="1"/>
      <charset val="238"/>
    </font>
    <font>
      <sz val="10"/>
      <name val="Times New Roman CE"/>
      <family val="1"/>
      <charset val="238"/>
    </font>
    <font>
      <b/>
      <sz val="13"/>
      <name val="Times New Roman CE"/>
      <family val="1"/>
      <charset val="238"/>
    </font>
    <font>
      <sz val="9"/>
      <name val="Times New Roman CE"/>
      <family val="1"/>
      <charset val="238"/>
    </font>
    <font>
      <sz val="13"/>
      <name val="Times New Roman CE"/>
      <charset val="238"/>
    </font>
    <font>
      <i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i/>
      <sz val="13"/>
      <name val="Times New Roman CE"/>
      <charset val="238"/>
    </font>
    <font>
      <sz val="12"/>
      <name val="Times New Roman CE"/>
      <family val="1"/>
      <charset val="238"/>
    </font>
    <font>
      <i/>
      <sz val="13"/>
      <name val="Times New Roman CE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2"/>
      <color indexed="10"/>
      <name val="Times New Roman CE"/>
      <charset val="238"/>
    </font>
    <font>
      <b/>
      <i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sz val="13"/>
      <color indexed="10"/>
      <name val="Times New Roman CE"/>
      <family val="1"/>
      <charset val="238"/>
    </font>
    <font>
      <b/>
      <i/>
      <sz val="10"/>
      <name val="Times New Roman CE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sz val="14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charset val="238"/>
    </font>
    <font>
      <sz val="12"/>
      <color rgb="FFFF0000"/>
      <name val="Times New Roman CE"/>
      <family val="1"/>
      <charset val="238"/>
    </font>
    <font>
      <b/>
      <sz val="13"/>
      <color rgb="FFFF0000"/>
      <name val="Times New Roman CE"/>
      <charset val="238"/>
    </font>
    <font>
      <sz val="13"/>
      <color theme="1"/>
      <name val="Times New Roman CE"/>
      <charset val="238"/>
    </font>
    <font>
      <sz val="9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770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4" fillId="0" borderId="1" xfId="2" applyFont="1" applyBorder="1" applyAlignment="1">
      <alignment horizontal="right" vertical="top"/>
    </xf>
    <xf numFmtId="0" fontId="4" fillId="0" borderId="2" xfId="2" applyFont="1" applyBorder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4" fillId="0" borderId="5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center"/>
    </xf>
    <xf numFmtId="0" fontId="4" fillId="0" borderId="7" xfId="2" applyFont="1" applyBorder="1" applyAlignment="1"/>
    <xf numFmtId="0" fontId="6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0" fontId="9" fillId="0" borderId="15" xfId="2" applyFont="1" applyBorder="1" applyAlignment="1">
      <alignment horizontal="right" vertical="center"/>
    </xf>
    <xf numFmtId="3" fontId="9" fillId="0" borderId="15" xfId="2" applyNumberFormat="1" applyFont="1" applyBorder="1" applyAlignment="1">
      <alignment horizontal="right" vertical="center" wrapText="1"/>
    </xf>
    <xf numFmtId="0" fontId="4" fillId="0" borderId="5" xfId="2" applyFont="1" applyBorder="1" applyAlignment="1">
      <alignment horizontal="center" vertical="top"/>
    </xf>
    <xf numFmtId="49" fontId="8" fillId="0" borderId="15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3" fontId="5" fillId="0" borderId="0" xfId="2" applyNumberFormat="1" applyFont="1"/>
    <xf numFmtId="1" fontId="8" fillId="0" borderId="15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164" fontId="11" fillId="0" borderId="17" xfId="2" applyNumberFormat="1" applyFont="1" applyBorder="1" applyAlignment="1">
      <alignment vertical="center" wrapText="1"/>
    </xf>
    <xf numFmtId="0" fontId="12" fillId="0" borderId="10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1" fontId="4" fillId="0" borderId="15" xfId="2" applyNumberFormat="1" applyFont="1" applyBorder="1" applyAlignment="1">
      <alignment horizontal="center" vertical="center" wrapText="1"/>
    </xf>
    <xf numFmtId="16" fontId="5" fillId="0" borderId="16" xfId="2" quotePrefix="1" applyNumberFormat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vertical="center" wrapText="1"/>
    </xf>
    <xf numFmtId="0" fontId="12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/>
    </xf>
    <xf numFmtId="3" fontId="12" fillId="0" borderId="10" xfId="2" applyNumberFormat="1" applyFont="1" applyBorder="1" applyAlignment="1">
      <alignment vertical="center" wrapText="1"/>
    </xf>
    <xf numFmtId="0" fontId="5" fillId="0" borderId="0" xfId="2" applyFont="1" applyBorder="1"/>
    <xf numFmtId="0" fontId="4" fillId="0" borderId="1" xfId="2" applyFont="1" applyBorder="1" applyAlignment="1">
      <alignment vertical="top"/>
    </xf>
    <xf numFmtId="0" fontId="4" fillId="0" borderId="2" xfId="2" applyFont="1" applyBorder="1" applyAlignment="1">
      <alignment vertical="top"/>
    </xf>
    <xf numFmtId="0" fontId="6" fillId="0" borderId="0" xfId="2" applyFont="1" applyBorder="1" applyAlignment="1">
      <alignment horizontal="center"/>
    </xf>
    <xf numFmtId="0" fontId="4" fillId="0" borderId="5" xfId="2" applyFont="1" applyBorder="1" applyAlignment="1">
      <alignment vertical="top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6" xfId="0" applyFont="1" applyFill="1" applyBorder="1" applyAlignment="1">
      <alignment horizontal="center"/>
    </xf>
    <xf numFmtId="0" fontId="13" fillId="0" borderId="13" xfId="2" applyFont="1" applyBorder="1" applyAlignment="1">
      <alignment vertical="top"/>
    </xf>
    <xf numFmtId="0" fontId="13" fillId="0" borderId="15" xfId="2" applyFont="1" applyBorder="1" applyAlignment="1">
      <alignment horizontal="right" vertical="center"/>
    </xf>
    <xf numFmtId="3" fontId="13" fillId="0" borderId="0" xfId="2" applyNumberFormat="1" applyFont="1" applyBorder="1"/>
    <xf numFmtId="3" fontId="11" fillId="0" borderId="0" xfId="2" applyNumberFormat="1" applyFont="1" applyBorder="1"/>
    <xf numFmtId="0" fontId="15" fillId="0" borderId="0" xfId="2" applyFont="1"/>
    <xf numFmtId="0" fontId="8" fillId="0" borderId="5" xfId="2" applyFont="1" applyBorder="1" applyAlignment="1">
      <alignment horizontal="center" vertical="top"/>
    </xf>
    <xf numFmtId="3" fontId="4" fillId="0" borderId="0" xfId="2" applyNumberFormat="1" applyFont="1" applyBorder="1"/>
    <xf numFmtId="3" fontId="6" fillId="0" borderId="0" xfId="2" applyNumberFormat="1" applyFont="1" applyBorder="1"/>
    <xf numFmtId="3" fontId="8" fillId="0" borderId="10" xfId="2" applyNumberFormat="1" applyFont="1" applyFill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3" fontId="8" fillId="0" borderId="19" xfId="2" applyNumberFormat="1" applyFont="1" applyBorder="1" applyAlignment="1">
      <alignment vertical="center" wrapText="1"/>
    </xf>
    <xf numFmtId="49" fontId="12" fillId="0" borderId="15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0" fontId="9" fillId="0" borderId="20" xfId="2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3" fontId="10" fillId="0" borderId="21" xfId="2" applyNumberFormat="1" applyFont="1" applyBorder="1" applyAlignment="1">
      <alignment vertical="center"/>
    </xf>
    <xf numFmtId="0" fontId="5" fillId="0" borderId="17" xfId="2" applyFont="1" applyBorder="1"/>
    <xf numFmtId="0" fontId="8" fillId="0" borderId="5" xfId="2" applyFont="1" applyBorder="1" applyAlignment="1">
      <alignment horizontal="center" vertical="center"/>
    </xf>
    <xf numFmtId="3" fontId="16" fillId="0" borderId="22" xfId="2" applyNumberFormat="1" applyFont="1" applyBorder="1" applyAlignment="1">
      <alignment vertical="center" wrapText="1"/>
    </xf>
    <xf numFmtId="0" fontId="8" fillId="0" borderId="11" xfId="2" applyFont="1" applyBorder="1" applyAlignment="1">
      <alignment horizontal="center" vertical="center" wrapText="1"/>
    </xf>
    <xf numFmtId="3" fontId="5" fillId="0" borderId="0" xfId="2" applyNumberFormat="1" applyFont="1" applyBorder="1"/>
    <xf numFmtId="3" fontId="10" fillId="0" borderId="17" xfId="2" applyNumberFormat="1" applyFont="1" applyBorder="1" applyAlignment="1">
      <alignment vertical="center"/>
    </xf>
    <xf numFmtId="3" fontId="10" fillId="0" borderId="23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vertical="center" wrapText="1"/>
    </xf>
    <xf numFmtId="0" fontId="8" fillId="0" borderId="24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49" fontId="8" fillId="0" borderId="6" xfId="2" applyNumberFormat="1" applyFont="1" applyBorder="1" applyAlignment="1">
      <alignment horizontal="center"/>
    </xf>
    <xf numFmtId="0" fontId="4" fillId="0" borderId="0" xfId="2" applyFont="1" applyAlignment="1">
      <alignment vertical="top"/>
    </xf>
    <xf numFmtId="0" fontId="13" fillId="0" borderId="25" xfId="2" applyFont="1" applyBorder="1" applyAlignment="1">
      <alignment vertical="center"/>
    </xf>
    <xf numFmtId="3" fontId="8" fillId="0" borderId="25" xfId="2" applyNumberFormat="1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3" fontId="8" fillId="0" borderId="20" xfId="2" applyNumberFormat="1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3" fontId="8" fillId="0" borderId="26" xfId="2" applyNumberFormat="1" applyFont="1" applyBorder="1" applyAlignment="1">
      <alignment vertical="center"/>
    </xf>
    <xf numFmtId="3" fontId="8" fillId="0" borderId="27" xfId="2" applyNumberFormat="1" applyFont="1" applyBorder="1" applyAlignment="1">
      <alignment vertical="center"/>
    </xf>
    <xf numFmtId="0" fontId="6" fillId="0" borderId="28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8" fillId="0" borderId="31" xfId="2" applyFont="1" applyBorder="1" applyAlignment="1">
      <alignment horizontal="center" vertical="center" wrapText="1"/>
    </xf>
    <xf numFmtId="0" fontId="8" fillId="0" borderId="32" xfId="2" applyFont="1" applyBorder="1" applyAlignment="1">
      <alignment vertical="center" wrapText="1"/>
    </xf>
    <xf numFmtId="3" fontId="8" fillId="0" borderId="33" xfId="2" applyNumberFormat="1" applyFont="1" applyBorder="1" applyAlignment="1">
      <alignment vertical="center" wrapText="1"/>
    </xf>
    <xf numFmtId="3" fontId="8" fillId="0" borderId="34" xfId="2" applyNumberFormat="1" applyFont="1" applyBorder="1" applyAlignment="1">
      <alignment vertical="center" wrapText="1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4" fillId="0" borderId="35" xfId="2" applyFont="1" applyBorder="1"/>
    <xf numFmtId="0" fontId="4" fillId="0" borderId="36" xfId="2" applyFont="1" applyBorder="1"/>
    <xf numFmtId="0" fontId="4" fillId="0" borderId="36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49" fontId="8" fillId="0" borderId="11" xfId="2" applyNumberFormat="1" applyFont="1" applyBorder="1" applyAlignment="1">
      <alignment horizontal="center" vertical="center" wrapText="1"/>
    </xf>
    <xf numFmtId="0" fontId="4" fillId="0" borderId="35" xfId="2" applyFont="1" applyBorder="1" applyAlignment="1">
      <alignment vertical="top"/>
    </xf>
    <xf numFmtId="0" fontId="4" fillId="0" borderId="9" xfId="2" applyFont="1" applyFill="1" applyBorder="1" applyAlignment="1">
      <alignment horizontal="center"/>
    </xf>
    <xf numFmtId="49" fontId="4" fillId="0" borderId="36" xfId="2" applyNumberFormat="1" applyFont="1" applyBorder="1" applyAlignment="1">
      <alignment horizontal="center"/>
    </xf>
    <xf numFmtId="0" fontId="14" fillId="0" borderId="36" xfId="2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/>
    </xf>
    <xf numFmtId="3" fontId="10" fillId="0" borderId="17" xfId="2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horizontal="center"/>
    </xf>
    <xf numFmtId="3" fontId="8" fillId="0" borderId="40" xfId="2" applyNumberFormat="1" applyFont="1" applyBorder="1" applyAlignment="1">
      <alignment vertical="center"/>
    </xf>
    <xf numFmtId="165" fontId="5" fillId="0" borderId="0" xfId="2" applyNumberFormat="1" applyFont="1" applyBorder="1"/>
    <xf numFmtId="0" fontId="4" fillId="0" borderId="41" xfId="2" applyFont="1" applyBorder="1" applyAlignment="1">
      <alignment horizontal="center"/>
    </xf>
    <xf numFmtId="0" fontId="13" fillId="0" borderId="11" xfId="2" applyFont="1" applyBorder="1" applyAlignment="1">
      <alignment horizontal="right" vertical="center"/>
    </xf>
    <xf numFmtId="0" fontId="10" fillId="0" borderId="16" xfId="2" applyFont="1" applyBorder="1" applyAlignment="1">
      <alignment horizontal="center"/>
    </xf>
    <xf numFmtId="0" fontId="4" fillId="0" borderId="16" xfId="2" applyFont="1" applyBorder="1" applyAlignment="1">
      <alignment horizontal="center" vertical="top"/>
    </xf>
    <xf numFmtId="49" fontId="12" fillId="0" borderId="11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1" fontId="8" fillId="0" borderId="10" xfId="2" applyNumberFormat="1" applyFont="1" applyBorder="1" applyAlignment="1">
      <alignment horizontal="center" vertical="center" wrapText="1"/>
    </xf>
    <xf numFmtId="3" fontId="16" fillId="0" borderId="10" xfId="2" applyNumberFormat="1" applyFont="1" applyBorder="1" applyAlignment="1">
      <alignment vertical="center" wrapText="1"/>
    </xf>
    <xf numFmtId="3" fontId="6" fillId="0" borderId="42" xfId="2" applyNumberFormat="1" applyFont="1" applyBorder="1" applyAlignment="1">
      <alignment horizontal="right" vertical="center" wrapText="1"/>
    </xf>
    <xf numFmtId="3" fontId="9" fillId="0" borderId="43" xfId="2" applyNumberFormat="1" applyFont="1" applyBorder="1" applyAlignment="1">
      <alignment horizontal="right" vertical="center" wrapText="1"/>
    </xf>
    <xf numFmtId="3" fontId="9" fillId="0" borderId="22" xfId="2" applyNumberFormat="1" applyFont="1" applyBorder="1"/>
    <xf numFmtId="3" fontId="9" fillId="0" borderId="44" xfId="2" applyNumberFormat="1" applyFont="1" applyBorder="1"/>
    <xf numFmtId="0" fontId="4" fillId="0" borderId="11" xfId="2" applyFont="1" applyBorder="1" applyAlignment="1">
      <alignment horizontal="center" vertical="center" wrapText="1"/>
    </xf>
    <xf numFmtId="0" fontId="9" fillId="0" borderId="45" xfId="2" applyFont="1" applyBorder="1" applyAlignment="1">
      <alignment vertical="center" wrapText="1"/>
    </xf>
    <xf numFmtId="3" fontId="18" fillId="0" borderId="45" xfId="2" applyNumberFormat="1" applyFont="1" applyFill="1" applyBorder="1" applyAlignment="1">
      <alignment vertical="center" wrapText="1"/>
    </xf>
    <xf numFmtId="3" fontId="8" fillId="0" borderId="45" xfId="2" applyNumberFormat="1" applyFont="1" applyFill="1" applyBorder="1" applyAlignment="1">
      <alignment vertical="center" wrapText="1"/>
    </xf>
    <xf numFmtId="3" fontId="8" fillId="0" borderId="45" xfId="2" applyNumberFormat="1" applyFont="1" applyBorder="1" applyAlignment="1">
      <alignment vertical="center" wrapText="1"/>
    </xf>
    <xf numFmtId="0" fontId="4" fillId="0" borderId="46" xfId="2" applyFont="1" applyBorder="1" applyAlignment="1">
      <alignment horizontal="center" vertical="top"/>
    </xf>
    <xf numFmtId="0" fontId="4" fillId="0" borderId="47" xfId="2" applyFont="1" applyBorder="1" applyAlignment="1">
      <alignment horizontal="center" vertical="top"/>
    </xf>
    <xf numFmtId="0" fontId="13" fillId="0" borderId="14" xfId="2" applyFont="1" applyBorder="1"/>
    <xf numFmtId="3" fontId="13" fillId="0" borderId="15" xfId="2" applyNumberFormat="1" applyFont="1" applyBorder="1" applyAlignment="1">
      <alignment vertical="center" wrapText="1"/>
    </xf>
    <xf numFmtId="3" fontId="13" fillId="0" borderId="48" xfId="2" applyNumberFormat="1" applyFont="1" applyBorder="1" applyAlignment="1">
      <alignment vertical="center" wrapText="1"/>
    </xf>
    <xf numFmtId="3" fontId="11" fillId="0" borderId="43" xfId="2" applyNumberFormat="1" applyFont="1" applyBorder="1" applyAlignment="1">
      <alignment horizontal="right" vertical="center" wrapText="1"/>
    </xf>
    <xf numFmtId="3" fontId="9" fillId="0" borderId="15" xfId="2" applyNumberFormat="1" applyFont="1" applyFill="1" applyBorder="1" applyAlignment="1">
      <alignment horizontal="right" vertical="center" wrapText="1"/>
    </xf>
    <xf numFmtId="165" fontId="8" fillId="0" borderId="10" xfId="2" applyNumberFormat="1" applyFont="1" applyBorder="1" applyAlignment="1">
      <alignment vertical="center" wrapText="1"/>
    </xf>
    <xf numFmtId="0" fontId="8" fillId="0" borderId="13" xfId="2" applyFont="1" applyBorder="1" applyAlignment="1">
      <alignment horizontal="center" vertical="top"/>
    </xf>
    <xf numFmtId="3" fontId="10" fillId="0" borderId="21" xfId="2" applyNumberFormat="1" applyFont="1" applyFill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5" fontId="8" fillId="0" borderId="10" xfId="2" applyNumberFormat="1" applyFont="1" applyFill="1" applyBorder="1" applyAlignment="1">
      <alignment vertical="center" wrapText="1"/>
    </xf>
    <xf numFmtId="165" fontId="8" fillId="0" borderId="19" xfId="2" applyNumberFormat="1" applyFont="1" applyBorder="1" applyAlignment="1">
      <alignment vertical="center" wrapText="1"/>
    </xf>
    <xf numFmtId="165" fontId="10" fillId="0" borderId="17" xfId="2" applyNumberFormat="1" applyFont="1" applyBorder="1" applyAlignment="1">
      <alignment vertical="center"/>
    </xf>
    <xf numFmtId="165" fontId="8" fillId="0" borderId="17" xfId="2" applyNumberFormat="1" applyFont="1" applyBorder="1" applyAlignment="1">
      <alignment vertical="center" wrapText="1"/>
    </xf>
    <xf numFmtId="165" fontId="8" fillId="0" borderId="33" xfId="2" applyNumberFormat="1" applyFont="1" applyBorder="1" applyAlignment="1">
      <alignment vertical="center" wrapText="1"/>
    </xf>
    <xf numFmtId="165" fontId="10" fillId="0" borderId="23" xfId="2" applyNumberFormat="1" applyFont="1" applyBorder="1" applyAlignment="1">
      <alignment vertical="center"/>
    </xf>
    <xf numFmtId="165" fontId="12" fillId="0" borderId="10" xfId="2" applyNumberFormat="1" applyFont="1" applyBorder="1" applyAlignment="1">
      <alignment vertical="center" wrapText="1"/>
    </xf>
    <xf numFmtId="165" fontId="12" fillId="0" borderId="19" xfId="2" applyNumberFormat="1" applyFont="1" applyBorder="1" applyAlignment="1">
      <alignment vertical="center" wrapText="1"/>
    </xf>
    <xf numFmtId="165" fontId="10" fillId="0" borderId="21" xfId="2" applyNumberFormat="1" applyFont="1" applyBorder="1" applyAlignment="1">
      <alignment vertical="center" wrapText="1"/>
    </xf>
    <xf numFmtId="165" fontId="5" fillId="0" borderId="0" xfId="2" applyNumberFormat="1" applyFont="1"/>
    <xf numFmtId="165" fontId="4" fillId="0" borderId="10" xfId="2" applyNumberFormat="1" applyFont="1" applyBorder="1" applyAlignment="1">
      <alignment vertical="center" wrapText="1"/>
    </xf>
    <xf numFmtId="165" fontId="4" fillId="0" borderId="19" xfId="2" applyNumberFormat="1" applyFont="1" applyBorder="1" applyAlignment="1">
      <alignment vertical="center" wrapText="1"/>
    </xf>
    <xf numFmtId="165" fontId="6" fillId="0" borderId="8" xfId="2" applyNumberFormat="1" applyFont="1" applyBorder="1" applyAlignment="1">
      <alignment vertical="center" wrapText="1"/>
    </xf>
    <xf numFmtId="165" fontId="4" fillId="0" borderId="33" xfId="2" applyNumberFormat="1" applyFont="1" applyBorder="1" applyAlignment="1">
      <alignment vertical="center" wrapText="1"/>
    </xf>
    <xf numFmtId="165" fontId="11" fillId="0" borderId="17" xfId="2" applyNumberFormat="1" applyFont="1" applyBorder="1" applyAlignment="1">
      <alignment vertical="center" wrapText="1"/>
    </xf>
    <xf numFmtId="165" fontId="4" fillId="0" borderId="6" xfId="2" applyNumberFormat="1" applyFont="1" applyBorder="1" applyAlignment="1">
      <alignment vertical="center" wrapText="1"/>
    </xf>
    <xf numFmtId="165" fontId="10" fillId="0" borderId="17" xfId="2" applyNumberFormat="1" applyFont="1" applyBorder="1" applyAlignment="1">
      <alignment vertical="center" wrapText="1"/>
    </xf>
    <xf numFmtId="165" fontId="10" fillId="0" borderId="18" xfId="2" applyNumberFormat="1" applyFont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5" fontId="11" fillId="0" borderId="21" xfId="2" applyNumberFormat="1" applyFont="1" applyBorder="1" applyAlignment="1">
      <alignment vertical="center" wrapText="1"/>
    </xf>
    <xf numFmtId="0" fontId="4" fillId="0" borderId="0" xfId="2" applyFont="1" applyAlignment="1">
      <alignment horizontal="right"/>
    </xf>
    <xf numFmtId="0" fontId="4" fillId="0" borderId="50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 wrapText="1"/>
    </xf>
    <xf numFmtId="0" fontId="10" fillId="0" borderId="51" xfId="2" applyFont="1" applyBorder="1" applyAlignment="1">
      <alignment vertical="center"/>
    </xf>
    <xf numFmtId="165" fontId="10" fillId="0" borderId="52" xfId="2" applyNumberFormat="1" applyFont="1" applyBorder="1" applyAlignment="1">
      <alignment vertical="center"/>
    </xf>
    <xf numFmtId="165" fontId="10" fillId="0" borderId="53" xfId="2" applyNumberFormat="1" applyFont="1" applyBorder="1" applyAlignment="1">
      <alignment vertical="center"/>
    </xf>
    <xf numFmtId="0" fontId="4" fillId="0" borderId="13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 wrapText="1"/>
    </xf>
    <xf numFmtId="165" fontId="10" fillId="0" borderId="48" xfId="2" applyNumberFormat="1" applyFont="1" applyBorder="1" applyAlignment="1">
      <alignment vertical="center"/>
    </xf>
    <xf numFmtId="165" fontId="10" fillId="0" borderId="43" xfId="2" applyNumberFormat="1" applyFont="1" applyBorder="1" applyAlignment="1">
      <alignment vertical="center"/>
    </xf>
    <xf numFmtId="0" fontId="4" fillId="0" borderId="54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 wrapText="1"/>
    </xf>
    <xf numFmtId="0" fontId="10" fillId="0" borderId="24" xfId="2" applyFont="1" applyBorder="1" applyAlignment="1">
      <alignment vertical="center"/>
    </xf>
    <xf numFmtId="165" fontId="10" fillId="0" borderId="55" xfId="2" applyNumberFormat="1" applyFont="1" applyBorder="1" applyAlignment="1">
      <alignment vertical="center"/>
    </xf>
    <xf numFmtId="165" fontId="10" fillId="0" borderId="56" xfId="2" applyNumberFormat="1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20" fillId="0" borderId="10" xfId="2" applyFont="1" applyBorder="1" applyAlignment="1">
      <alignment vertical="center" wrapText="1"/>
    </xf>
    <xf numFmtId="0" fontId="4" fillId="2" borderId="9" xfId="0" applyFont="1" applyFill="1" applyBorder="1" applyAlignment="1">
      <alignment horizontal="center"/>
    </xf>
    <xf numFmtId="3" fontId="16" fillId="0" borderId="19" xfId="2" applyNumberFormat="1" applyFont="1" applyBorder="1" applyAlignment="1">
      <alignment vertical="center" wrapText="1"/>
    </xf>
    <xf numFmtId="3" fontId="11" fillId="0" borderId="17" xfId="2" applyNumberFormat="1" applyFont="1" applyBorder="1" applyAlignment="1">
      <alignment vertical="center" wrapText="1"/>
    </xf>
    <xf numFmtId="165" fontId="21" fillId="0" borderId="17" xfId="2" applyNumberFormat="1" applyFont="1" applyBorder="1" applyAlignment="1">
      <alignment vertical="center" wrapText="1"/>
    </xf>
    <xf numFmtId="1" fontId="8" fillId="3" borderId="10" xfId="2" applyNumberFormat="1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vertical="center" wrapText="1"/>
    </xf>
    <xf numFmtId="164" fontId="11" fillId="0" borderId="21" xfId="2" applyNumberFormat="1" applyFont="1" applyBorder="1" applyAlignment="1">
      <alignment vertic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vertical="center" wrapText="1"/>
    </xf>
    <xf numFmtId="0" fontId="4" fillId="0" borderId="57" xfId="2" applyFont="1" applyBorder="1" applyAlignment="1">
      <alignment horizontal="center"/>
    </xf>
    <xf numFmtId="0" fontId="4" fillId="0" borderId="58" xfId="2" applyFont="1" applyBorder="1" applyAlignment="1">
      <alignment horizontal="center"/>
    </xf>
    <xf numFmtId="0" fontId="13" fillId="0" borderId="59" xfId="2" applyFont="1" applyBorder="1" applyAlignment="1">
      <alignment horizontal="right" vertical="center"/>
    </xf>
    <xf numFmtId="0" fontId="4" fillId="0" borderId="15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3" fontId="13" fillId="0" borderId="11" xfId="2" applyNumberFormat="1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0" fontId="5" fillId="0" borderId="17" xfId="2" applyFont="1" applyBorder="1" applyAlignment="1">
      <alignment horizontal="center"/>
    </xf>
    <xf numFmtId="0" fontId="8" fillId="0" borderId="5" xfId="2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1" fontId="8" fillId="0" borderId="15" xfId="2" applyNumberFormat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1" fontId="4" fillId="0" borderId="15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Border="1" applyAlignment="1">
      <alignment vertical="center" wrapText="1"/>
    </xf>
    <xf numFmtId="3" fontId="4" fillId="0" borderId="19" xfId="2" applyNumberFormat="1" applyFont="1" applyBorder="1" applyAlignment="1">
      <alignment vertical="center" wrapText="1"/>
    </xf>
    <xf numFmtId="3" fontId="11" fillId="0" borderId="18" xfId="2" applyNumberFormat="1" applyFont="1" applyBorder="1" applyAlignment="1">
      <alignment vertical="center" wrapText="1"/>
    </xf>
    <xf numFmtId="3" fontId="13" fillId="0" borderId="11" xfId="2" applyNumberFormat="1" applyFont="1" applyBorder="1" applyAlignment="1">
      <alignment vertical="center"/>
    </xf>
    <xf numFmtId="3" fontId="16" fillId="0" borderId="60" xfId="2" applyNumberFormat="1" applyFont="1" applyBorder="1"/>
    <xf numFmtId="3" fontId="16" fillId="0" borderId="61" xfId="2" applyNumberFormat="1" applyFont="1" applyBorder="1"/>
    <xf numFmtId="165" fontId="16" fillId="0" borderId="19" xfId="2" applyNumberFormat="1" applyFont="1" applyBorder="1" applyAlignment="1">
      <alignment vertical="center" wrapText="1"/>
    </xf>
    <xf numFmtId="165" fontId="16" fillId="3" borderId="62" xfId="2" applyNumberFormat="1" applyFont="1" applyFill="1" applyBorder="1" applyAlignment="1">
      <alignment vertical="center" wrapText="1"/>
    </xf>
    <xf numFmtId="3" fontId="16" fillId="0" borderId="63" xfId="2" applyNumberFormat="1" applyFont="1" applyBorder="1"/>
    <xf numFmtId="164" fontId="11" fillId="0" borderId="64" xfId="2" applyNumberFormat="1" applyFont="1" applyBorder="1" applyAlignment="1">
      <alignment vertical="center" wrapText="1"/>
    </xf>
    <xf numFmtId="165" fontId="10" fillId="0" borderId="61" xfId="2" applyNumberFormat="1" applyFont="1" applyBorder="1" applyAlignment="1">
      <alignment horizontal="right" vertical="center" wrapText="1"/>
    </xf>
    <xf numFmtId="0" fontId="4" fillId="0" borderId="8" xfId="2" applyFont="1" applyBorder="1" applyAlignment="1">
      <alignment horizontal="center"/>
    </xf>
    <xf numFmtId="0" fontId="4" fillId="0" borderId="65" xfId="2" applyFont="1" applyBorder="1" applyAlignment="1">
      <alignment horizontal="center"/>
    </xf>
    <xf numFmtId="0" fontId="4" fillId="0" borderId="66" xfId="2" applyFont="1" applyBorder="1" applyAlignment="1">
      <alignment horizontal="center" vertical="center"/>
    </xf>
    <xf numFmtId="3" fontId="8" fillId="0" borderId="8" xfId="2" applyNumberFormat="1" applyFont="1" applyBorder="1" applyAlignment="1">
      <alignment vertical="center" wrapText="1"/>
    </xf>
    <xf numFmtId="3" fontId="13" fillId="0" borderId="66" xfId="2" applyNumberFormat="1" applyFont="1" applyBorder="1" applyAlignment="1">
      <alignment vertical="center" wrapText="1"/>
    </xf>
    <xf numFmtId="3" fontId="6" fillId="0" borderId="62" xfId="2" applyNumberFormat="1" applyFont="1" applyBorder="1" applyAlignment="1">
      <alignment vertical="center" wrapText="1"/>
    </xf>
    <xf numFmtId="3" fontId="16" fillId="3" borderId="62" xfId="2" applyNumberFormat="1" applyFont="1" applyFill="1" applyBorder="1" applyAlignment="1">
      <alignment vertical="center" wrapText="1"/>
    </xf>
    <xf numFmtId="3" fontId="4" fillId="0" borderId="33" xfId="2" applyNumberFormat="1" applyFont="1" applyBorder="1" applyAlignment="1">
      <alignment vertical="center" wrapText="1"/>
    </xf>
    <xf numFmtId="3" fontId="4" fillId="0" borderId="34" xfId="2" applyNumberFormat="1" applyFont="1" applyBorder="1" applyAlignment="1">
      <alignment vertical="center" wrapText="1"/>
    </xf>
    <xf numFmtId="3" fontId="6" fillId="0" borderId="67" xfId="2" applyNumberFormat="1" applyFont="1" applyBorder="1" applyAlignment="1">
      <alignment vertical="center" wrapText="1"/>
    </xf>
    <xf numFmtId="3" fontId="11" fillId="0" borderId="64" xfId="2" applyNumberFormat="1" applyFont="1" applyBorder="1" applyAlignment="1">
      <alignment vertical="center" wrapText="1"/>
    </xf>
    <xf numFmtId="3" fontId="11" fillId="0" borderId="23" xfId="2" applyNumberFormat="1" applyFont="1" applyBorder="1" applyAlignment="1">
      <alignment vertical="center" wrapText="1"/>
    </xf>
    <xf numFmtId="3" fontId="16" fillId="0" borderId="62" xfId="2" applyNumberFormat="1" applyFont="1" applyBorder="1" applyAlignment="1">
      <alignment vertical="center" wrapText="1"/>
    </xf>
    <xf numFmtId="0" fontId="8" fillId="0" borderId="18" xfId="2" applyFont="1" applyBorder="1" applyAlignment="1">
      <alignment horizontal="center" vertical="center"/>
    </xf>
    <xf numFmtId="3" fontId="11" fillId="0" borderId="10" xfId="2" applyNumberFormat="1" applyFont="1" applyBorder="1" applyAlignment="1">
      <alignment vertical="center" wrapText="1"/>
    </xf>
    <xf numFmtId="3" fontId="11" fillId="0" borderId="19" xfId="2" applyNumberFormat="1" applyFont="1" applyBorder="1" applyAlignment="1">
      <alignment vertical="center" wrapText="1"/>
    </xf>
    <xf numFmtId="16" fontId="14" fillId="0" borderId="17" xfId="2" quotePrefix="1" applyNumberFormat="1" applyFont="1" applyBorder="1" applyAlignment="1">
      <alignment horizontal="center" vertical="center"/>
    </xf>
    <xf numFmtId="3" fontId="13" fillId="0" borderId="69" xfId="2" applyNumberFormat="1" applyFont="1" applyBorder="1" applyAlignment="1">
      <alignment vertical="center" wrapText="1"/>
    </xf>
    <xf numFmtId="3" fontId="11" fillId="0" borderId="70" xfId="2" applyNumberFormat="1" applyFont="1" applyBorder="1" applyAlignment="1">
      <alignment vertical="center" wrapText="1"/>
    </xf>
    <xf numFmtId="3" fontId="16" fillId="0" borderId="8" xfId="2" applyNumberFormat="1" applyFont="1" applyBorder="1" applyAlignment="1">
      <alignment vertical="center" wrapText="1"/>
    </xf>
    <xf numFmtId="3" fontId="16" fillId="0" borderId="68" xfId="2" applyNumberFormat="1" applyFont="1" applyBorder="1" applyAlignment="1">
      <alignment vertical="center" wrapText="1"/>
    </xf>
    <xf numFmtId="3" fontId="10" fillId="0" borderId="18" xfId="2" applyNumberFormat="1" applyFont="1" applyBorder="1" applyAlignment="1">
      <alignment vertical="center"/>
    </xf>
    <xf numFmtId="165" fontId="16" fillId="0" borderId="8" xfId="2" applyNumberFormat="1" applyFont="1" applyBorder="1" applyAlignment="1">
      <alignment vertical="center" wrapText="1"/>
    </xf>
    <xf numFmtId="165" fontId="10" fillId="0" borderId="18" xfId="2" applyNumberFormat="1" applyFont="1" applyBorder="1" applyAlignment="1">
      <alignment vertical="center"/>
    </xf>
    <xf numFmtId="165" fontId="10" fillId="0" borderId="70" xfId="2" applyNumberFormat="1" applyFont="1" applyBorder="1" applyAlignment="1">
      <alignment vertical="center"/>
    </xf>
    <xf numFmtId="165" fontId="10" fillId="0" borderId="66" xfId="2" applyNumberFormat="1" applyFont="1" applyBorder="1" applyAlignment="1">
      <alignment vertical="center"/>
    </xf>
    <xf numFmtId="165" fontId="10" fillId="0" borderId="71" xfId="2" applyNumberFormat="1" applyFont="1" applyBorder="1" applyAlignment="1">
      <alignment vertical="center"/>
    </xf>
    <xf numFmtId="0" fontId="4" fillId="0" borderId="15" xfId="2" applyFont="1" applyBorder="1" applyAlignment="1">
      <alignment horizontal="center"/>
    </xf>
    <xf numFmtId="165" fontId="8" fillId="0" borderId="21" xfId="2" applyNumberFormat="1" applyFont="1" applyBorder="1" applyAlignment="1">
      <alignment vertical="center" wrapText="1"/>
    </xf>
    <xf numFmtId="3" fontId="11" fillId="0" borderId="21" xfId="2" applyNumberFormat="1" applyFont="1" applyBorder="1" applyAlignment="1">
      <alignment vertical="center" wrapText="1"/>
    </xf>
    <xf numFmtId="49" fontId="12" fillId="0" borderId="9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vertical="center" wrapText="1"/>
    </xf>
    <xf numFmtId="165" fontId="4" fillId="0" borderId="9" xfId="2" applyNumberFormat="1" applyFont="1" applyBorder="1" applyAlignment="1">
      <alignment vertical="center" wrapText="1"/>
    </xf>
    <xf numFmtId="0" fontId="12" fillId="0" borderId="10" xfId="2" applyFont="1" applyFill="1" applyBorder="1" applyAlignment="1">
      <alignment horizontal="center" vertical="center" wrapText="1"/>
    </xf>
    <xf numFmtId="49" fontId="12" fillId="0" borderId="15" xfId="2" applyNumberFormat="1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3" fontId="5" fillId="0" borderId="72" xfId="2" applyNumberFormat="1" applyFont="1" applyBorder="1"/>
    <xf numFmtId="165" fontId="5" fillId="0" borderId="72" xfId="2" applyNumberFormat="1" applyFont="1" applyBorder="1"/>
    <xf numFmtId="0" fontId="5" fillId="0" borderId="72" xfId="2" applyFont="1" applyBorder="1"/>
    <xf numFmtId="0" fontId="23" fillId="0" borderId="0" xfId="2" applyFont="1"/>
    <xf numFmtId="0" fontId="23" fillId="0" borderId="0" xfId="2" applyFont="1" applyBorder="1"/>
    <xf numFmtId="165" fontId="23" fillId="0" borderId="0" xfId="2" applyNumberFormat="1" applyFont="1"/>
    <xf numFmtId="167" fontId="23" fillId="0" borderId="72" xfId="1" applyNumberFormat="1" applyFont="1" applyBorder="1" applyAlignment="1">
      <alignment horizontal="right"/>
    </xf>
    <xf numFmtId="167" fontId="23" fillId="0" borderId="72" xfId="1" applyNumberFormat="1" applyFont="1" applyBorder="1" applyAlignment="1"/>
    <xf numFmtId="0" fontId="4" fillId="0" borderId="9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/>
    </xf>
    <xf numFmtId="49" fontId="4" fillId="0" borderId="9" xfId="2" applyNumberFormat="1" applyFont="1" applyBorder="1" applyAlignment="1">
      <alignment horizontal="center" vertical="center" wrapText="1"/>
    </xf>
    <xf numFmtId="0" fontId="9" fillId="0" borderId="73" xfId="2" applyFont="1" applyBorder="1" applyAlignment="1">
      <alignment vertical="center"/>
    </xf>
    <xf numFmtId="3" fontId="8" fillId="0" borderId="73" xfId="2" applyNumberFormat="1" applyFont="1" applyBorder="1" applyAlignment="1">
      <alignment vertical="center"/>
    </xf>
    <xf numFmtId="3" fontId="8" fillId="0" borderId="74" xfId="2" applyNumberFormat="1" applyFont="1" applyBorder="1" applyAlignment="1">
      <alignment vertical="center"/>
    </xf>
    <xf numFmtId="0" fontId="4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vertical="center" wrapText="1"/>
    </xf>
    <xf numFmtId="3" fontId="12" fillId="0" borderId="17" xfId="2" applyNumberFormat="1" applyFont="1" applyBorder="1" applyAlignment="1">
      <alignment vertical="center" wrapText="1"/>
    </xf>
    <xf numFmtId="0" fontId="4" fillId="0" borderId="76" xfId="2" applyFont="1" applyBorder="1" applyAlignment="1">
      <alignment horizontal="center" vertical="center" wrapText="1"/>
    </xf>
    <xf numFmtId="0" fontId="12" fillId="0" borderId="76" xfId="2" applyFont="1" applyBorder="1" applyAlignment="1">
      <alignment vertical="center" wrapText="1"/>
    </xf>
    <xf numFmtId="3" fontId="12" fillId="0" borderId="76" xfId="2" applyNumberFormat="1" applyFont="1" applyBorder="1" applyAlignment="1">
      <alignment vertical="center" wrapText="1"/>
    </xf>
    <xf numFmtId="3" fontId="16" fillId="0" borderId="44" xfId="2" applyNumberFormat="1" applyFont="1" applyBorder="1" applyAlignment="1">
      <alignment vertical="center"/>
    </xf>
    <xf numFmtId="0" fontId="4" fillId="0" borderId="76" xfId="2" applyFont="1" applyFill="1" applyBorder="1" applyAlignment="1">
      <alignment horizontal="center" vertical="center" wrapText="1"/>
    </xf>
    <xf numFmtId="3" fontId="21" fillId="0" borderId="17" xfId="2" applyNumberFormat="1" applyFont="1" applyBorder="1" applyAlignment="1">
      <alignment vertical="center" wrapText="1"/>
    </xf>
    <xf numFmtId="3" fontId="13" fillId="0" borderId="59" xfId="2" applyNumberFormat="1" applyFont="1" applyBorder="1" applyAlignment="1">
      <alignment vertical="center" wrapText="1"/>
    </xf>
    <xf numFmtId="49" fontId="8" fillId="0" borderId="15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Border="1" applyAlignment="1">
      <alignment horizontal="right" vertical="center" wrapText="1"/>
    </xf>
    <xf numFmtId="3" fontId="9" fillId="0" borderId="19" xfId="2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horizontal="left" vertical="center"/>
    </xf>
    <xf numFmtId="3" fontId="5" fillId="0" borderId="72" xfId="2" applyNumberFormat="1" applyFont="1" applyFill="1" applyBorder="1"/>
    <xf numFmtId="16" fontId="5" fillId="0" borderId="17" xfId="2" applyNumberFormat="1" applyFont="1" applyBorder="1" applyAlignment="1">
      <alignment horizontal="center" vertical="center"/>
    </xf>
    <xf numFmtId="3" fontId="11" fillId="0" borderId="66" xfId="2" applyNumberFormat="1" applyFont="1" applyBorder="1" applyAlignment="1">
      <alignment vertical="center" wrapText="1"/>
    </xf>
    <xf numFmtId="165" fontId="8" fillId="0" borderId="8" xfId="2" applyNumberFormat="1" applyFont="1" applyBorder="1" applyAlignment="1">
      <alignment vertical="center" wrapText="1"/>
    </xf>
    <xf numFmtId="165" fontId="16" fillId="3" borderId="8" xfId="2" applyNumberFormat="1" applyFont="1" applyFill="1" applyBorder="1" applyAlignment="1">
      <alignment vertical="center" wrapText="1"/>
    </xf>
    <xf numFmtId="165" fontId="25" fillId="0" borderId="17" xfId="2" applyNumberFormat="1" applyFont="1" applyBorder="1" applyAlignment="1">
      <alignment vertical="center" wrapText="1"/>
    </xf>
    <xf numFmtId="165" fontId="8" fillId="3" borderId="10" xfId="2" applyNumberFormat="1" applyFont="1" applyFill="1" applyBorder="1" applyAlignment="1">
      <alignment vertical="center" wrapText="1"/>
    </xf>
    <xf numFmtId="49" fontId="8" fillId="0" borderId="11" xfId="2" applyNumberFormat="1" applyFont="1" applyFill="1" applyBorder="1" applyAlignment="1">
      <alignment horizontal="center" vertical="center" wrapText="1"/>
    </xf>
    <xf numFmtId="3" fontId="11" fillId="0" borderId="8" xfId="2" applyNumberFormat="1" applyFont="1" applyBorder="1" applyAlignment="1">
      <alignment vertical="center" wrapText="1"/>
    </xf>
    <xf numFmtId="165" fontId="4" fillId="0" borderId="0" xfId="2" applyNumberFormat="1" applyFont="1" applyBorder="1" applyAlignment="1">
      <alignment vertical="center" wrapText="1"/>
    </xf>
    <xf numFmtId="165" fontId="10" fillId="0" borderId="10" xfId="2" applyNumberFormat="1" applyFont="1" applyBorder="1" applyAlignment="1">
      <alignment vertical="center"/>
    </xf>
    <xf numFmtId="165" fontId="10" fillId="0" borderId="19" xfId="2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top"/>
    </xf>
    <xf numFmtId="0" fontId="4" fillId="0" borderId="0" xfId="2" applyFont="1" applyBorder="1" applyAlignment="1">
      <alignment horizontal="right" vertical="top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right" vertical="center" wrapText="1"/>
    </xf>
    <xf numFmtId="3" fontId="16" fillId="0" borderId="0" xfId="2" applyNumberFormat="1" applyFont="1" applyBorder="1" applyAlignment="1">
      <alignment vertical="center" wrapText="1"/>
    </xf>
    <xf numFmtId="3" fontId="10" fillId="0" borderId="0" xfId="2" applyNumberFormat="1" applyFont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3" fontId="17" fillId="0" borderId="0" xfId="2" applyNumberFormat="1" applyFont="1" applyBorder="1" applyAlignment="1">
      <alignment vertical="center" wrapText="1"/>
    </xf>
    <xf numFmtId="3" fontId="19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Border="1" applyAlignment="1">
      <alignment vertical="center" wrapText="1"/>
    </xf>
    <xf numFmtId="165" fontId="19" fillId="0" borderId="0" xfId="2" applyNumberFormat="1" applyFont="1" applyBorder="1" applyAlignment="1">
      <alignment vertical="center" wrapText="1"/>
    </xf>
    <xf numFmtId="165" fontId="11" fillId="0" borderId="0" xfId="2" applyNumberFormat="1" applyFont="1" applyBorder="1" applyAlignment="1">
      <alignment vertical="center" wrapText="1"/>
    </xf>
    <xf numFmtId="165" fontId="16" fillId="0" borderId="0" xfId="2" applyNumberFormat="1" applyFont="1" applyBorder="1" applyAlignment="1">
      <alignment vertical="center" wrapText="1"/>
    </xf>
    <xf numFmtId="165" fontId="10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 wrapText="1"/>
    </xf>
    <xf numFmtId="165" fontId="10" fillId="0" borderId="0" xfId="2" applyNumberFormat="1" applyFont="1" applyBorder="1" applyAlignment="1">
      <alignment vertical="center" wrapText="1"/>
    </xf>
    <xf numFmtId="3" fontId="10" fillId="0" borderId="23" xfId="2" applyNumberFormat="1" applyFont="1" applyFill="1" applyBorder="1" applyAlignment="1">
      <alignment vertical="center"/>
    </xf>
    <xf numFmtId="0" fontId="6" fillId="0" borderId="77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78" xfId="2" applyFont="1" applyBorder="1" applyAlignment="1">
      <alignment horizontal="center"/>
    </xf>
    <xf numFmtId="0" fontId="4" fillId="0" borderId="79" xfId="2" applyFont="1" applyBorder="1" applyAlignment="1">
      <alignment horizontal="center" vertical="center"/>
    </xf>
    <xf numFmtId="3" fontId="11" fillId="0" borderId="69" xfId="2" applyNumberFormat="1" applyFont="1" applyBorder="1" applyAlignment="1">
      <alignment horizontal="right" vertical="center" wrapText="1"/>
    </xf>
    <xf numFmtId="3" fontId="11" fillId="0" borderId="48" xfId="2" applyNumberFormat="1" applyFont="1" applyBorder="1" applyAlignment="1">
      <alignment horizontal="right" vertical="center" wrapText="1"/>
    </xf>
    <xf numFmtId="3" fontId="17" fillId="0" borderId="27" xfId="2" applyNumberFormat="1" applyFont="1" applyBorder="1" applyAlignment="1">
      <alignment vertical="center" wrapText="1"/>
    </xf>
    <xf numFmtId="165" fontId="19" fillId="0" borderId="80" xfId="2" applyNumberFormat="1" applyFont="1" applyBorder="1" applyAlignment="1">
      <alignment vertical="center" wrapText="1"/>
    </xf>
    <xf numFmtId="3" fontId="10" fillId="0" borderId="81" xfId="2" applyNumberFormat="1" applyFont="1" applyBorder="1" applyAlignment="1">
      <alignment vertical="center"/>
    </xf>
    <xf numFmtId="165" fontId="11" fillId="0" borderId="82" xfId="2" applyNumberFormat="1" applyFont="1" applyBorder="1" applyAlignment="1">
      <alignment vertical="center" wrapText="1"/>
    </xf>
    <xf numFmtId="165" fontId="16" fillId="0" borderId="34" xfId="2" applyNumberFormat="1" applyFont="1" applyBorder="1" applyAlignment="1">
      <alignment vertical="center" wrapText="1"/>
    </xf>
    <xf numFmtId="3" fontId="16" fillId="0" borderId="34" xfId="2" applyNumberFormat="1" applyFont="1" applyBorder="1" applyAlignment="1">
      <alignment vertical="center" wrapText="1"/>
    </xf>
    <xf numFmtId="3" fontId="10" fillId="0" borderId="34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165" fontId="10" fillId="0" borderId="64" xfId="2" applyNumberFormat="1" applyFont="1" applyBorder="1" applyAlignment="1">
      <alignment vertical="center" wrapText="1"/>
    </xf>
    <xf numFmtId="0" fontId="4" fillId="0" borderId="83" xfId="2" applyFont="1" applyBorder="1" applyAlignment="1">
      <alignment horizontal="center"/>
    </xf>
    <xf numFmtId="3" fontId="8" fillId="0" borderId="84" xfId="2" applyNumberFormat="1" applyFont="1" applyBorder="1" applyAlignment="1">
      <alignment vertical="center"/>
    </xf>
    <xf numFmtId="3" fontId="8" fillId="0" borderId="85" xfId="2" applyNumberFormat="1" applyFont="1" applyBorder="1" applyAlignment="1">
      <alignment vertical="center"/>
    </xf>
    <xf numFmtId="3" fontId="8" fillId="0" borderId="85" xfId="2" applyNumberFormat="1" applyFont="1" applyBorder="1" applyAlignment="1">
      <alignment vertical="center" wrapText="1"/>
    </xf>
    <xf numFmtId="3" fontId="8" fillId="0" borderId="86" xfId="2" applyNumberFormat="1" applyFont="1" applyBorder="1" applyAlignment="1">
      <alignment vertical="center" wrapText="1"/>
    </xf>
    <xf numFmtId="3" fontId="8" fillId="0" borderId="87" xfId="2" applyNumberFormat="1" applyFont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13" fillId="0" borderId="88" xfId="2" applyNumberFormat="1" applyFont="1" applyBorder="1" applyAlignment="1">
      <alignment vertical="center" wrapText="1"/>
    </xf>
    <xf numFmtId="165" fontId="8" fillId="0" borderId="68" xfId="2" applyNumberFormat="1" applyFont="1" applyBorder="1" applyAlignment="1">
      <alignment vertical="center" wrapText="1"/>
    </xf>
    <xf numFmtId="3" fontId="8" fillId="0" borderId="68" xfId="2" applyNumberFormat="1" applyFont="1" applyBorder="1" applyAlignment="1">
      <alignment vertical="center" wrapText="1"/>
    </xf>
    <xf numFmtId="3" fontId="13" fillId="0" borderId="49" xfId="2" applyNumberFormat="1" applyFont="1" applyBorder="1" applyAlignment="1">
      <alignment vertical="center"/>
    </xf>
    <xf numFmtId="165" fontId="12" fillId="0" borderId="8" xfId="2" applyNumberFormat="1" applyFont="1" applyBorder="1" applyAlignment="1">
      <alignment vertical="center" wrapText="1"/>
    </xf>
    <xf numFmtId="0" fontId="31" fillId="0" borderId="0" xfId="2" applyFont="1" applyBorder="1" applyAlignment="1">
      <alignment vertical="center" wrapText="1"/>
    </xf>
    <xf numFmtId="165" fontId="31" fillId="0" borderId="10" xfId="2" applyNumberFormat="1" applyFont="1" applyBorder="1" applyAlignment="1">
      <alignment vertical="center" wrapText="1"/>
    </xf>
    <xf numFmtId="3" fontId="11" fillId="0" borderId="17" xfId="2" applyNumberFormat="1" applyFont="1" applyFill="1" applyBorder="1" applyAlignment="1">
      <alignment vertical="center" wrapText="1"/>
    </xf>
    <xf numFmtId="165" fontId="12" fillId="0" borderId="0" xfId="2" applyNumberFormat="1" applyFont="1"/>
    <xf numFmtId="165" fontId="32" fillId="0" borderId="19" xfId="2" applyNumberFormat="1" applyFont="1" applyBorder="1" applyAlignment="1">
      <alignment vertical="center" wrapText="1"/>
    </xf>
    <xf numFmtId="0" fontId="4" fillId="4" borderId="5" xfId="2" applyFont="1" applyFill="1" applyBorder="1" applyAlignment="1">
      <alignment horizontal="center" vertical="center"/>
    </xf>
    <xf numFmtId="165" fontId="12" fillId="4" borderId="8" xfId="2" applyNumberFormat="1" applyFont="1" applyFill="1" applyBorder="1" applyAlignment="1">
      <alignment vertical="center" wrapText="1"/>
    </xf>
    <xf numFmtId="49" fontId="12" fillId="0" borderId="9" xfId="2" applyNumberFormat="1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165" fontId="22" fillId="0" borderId="17" xfId="2" applyNumberFormat="1" applyFont="1" applyBorder="1" applyAlignment="1">
      <alignment vertical="center" wrapText="1"/>
    </xf>
    <xf numFmtId="0" fontId="4" fillId="0" borderId="6" xfId="2" applyFont="1" applyBorder="1" applyAlignment="1"/>
    <xf numFmtId="0" fontId="0" fillId="0" borderId="89" xfId="0" applyBorder="1" applyAlignment="1"/>
    <xf numFmtId="0" fontId="4" fillId="0" borderId="90" xfId="2" applyFont="1" applyBorder="1" applyAlignment="1"/>
    <xf numFmtId="0" fontId="8" fillId="0" borderId="1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10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91" xfId="2" applyFont="1" applyBorder="1" applyAlignment="1"/>
    <xf numFmtId="0" fontId="4" fillId="2" borderId="91" xfId="0" applyFont="1" applyFill="1" applyBorder="1" applyAlignment="1" applyProtection="1">
      <protection hidden="1"/>
    </xf>
    <xf numFmtId="0" fontId="4" fillId="2" borderId="91" xfId="0" applyFont="1" applyFill="1" applyBorder="1" applyAlignment="1" applyProtection="1">
      <alignment horizontal="center"/>
      <protection hidden="1"/>
    </xf>
    <xf numFmtId="0" fontId="4" fillId="0" borderId="92" xfId="2" applyFont="1" applyBorder="1" applyAlignment="1"/>
    <xf numFmtId="0" fontId="4" fillId="0" borderId="93" xfId="2" applyFont="1" applyBorder="1" applyAlignment="1"/>
    <xf numFmtId="0" fontId="16" fillId="0" borderId="94" xfId="2" applyFont="1" applyBorder="1" applyAlignment="1">
      <alignment horizontal="center"/>
    </xf>
    <xf numFmtId="0" fontId="16" fillId="0" borderId="91" xfId="2" applyFont="1" applyBorder="1" applyAlignment="1">
      <alignment horizontal="center"/>
    </xf>
    <xf numFmtId="3" fontId="11" fillId="0" borderId="15" xfId="2" applyNumberFormat="1" applyFont="1" applyBorder="1" applyAlignment="1">
      <alignment horizontal="right" vertical="center" wrapText="1"/>
    </xf>
    <xf numFmtId="0" fontId="6" fillId="0" borderId="95" xfId="2" applyFont="1" applyBorder="1" applyAlignment="1">
      <alignment horizontal="center"/>
    </xf>
    <xf numFmtId="3" fontId="16" fillId="0" borderId="95" xfId="2" applyNumberFormat="1" applyFont="1" applyBorder="1"/>
    <xf numFmtId="3" fontId="16" fillId="0" borderId="42" xfId="2" applyNumberFormat="1" applyFont="1" applyBorder="1"/>
    <xf numFmtId="165" fontId="10" fillId="0" borderId="42" xfId="2" applyNumberFormat="1" applyFont="1" applyBorder="1" applyAlignment="1">
      <alignment horizontal="right" vertical="center" wrapText="1"/>
    </xf>
    <xf numFmtId="165" fontId="6" fillId="0" borderId="90" xfId="2" applyNumberFormat="1" applyFont="1" applyBorder="1" applyAlignment="1">
      <alignment vertical="center" wrapText="1"/>
    </xf>
    <xf numFmtId="165" fontId="6" fillId="0" borderId="96" xfId="2" applyNumberFormat="1" applyFont="1" applyBorder="1" applyAlignment="1">
      <alignment vertical="center" wrapText="1"/>
    </xf>
    <xf numFmtId="165" fontId="11" fillId="0" borderId="97" xfId="2" applyNumberFormat="1" applyFont="1" applyBorder="1" applyAlignment="1">
      <alignment vertical="center" wrapText="1"/>
    </xf>
    <xf numFmtId="3" fontId="11" fillId="0" borderId="98" xfId="2" applyNumberFormat="1" applyFont="1" applyBorder="1" applyAlignment="1">
      <alignment vertical="center" wrapText="1"/>
    </xf>
    <xf numFmtId="3" fontId="11" fillId="0" borderId="90" xfId="2" applyNumberFormat="1" applyFont="1" applyBorder="1" applyAlignment="1">
      <alignment vertical="center" wrapText="1"/>
    </xf>
    <xf numFmtId="165" fontId="6" fillId="0" borderId="97" xfId="2" applyNumberFormat="1" applyFont="1" applyBorder="1" applyAlignment="1">
      <alignment vertical="center" wrapText="1"/>
    </xf>
    <xf numFmtId="165" fontId="10" fillId="0" borderId="99" xfId="2" applyNumberFormat="1" applyFont="1" applyBorder="1" applyAlignment="1">
      <alignment vertical="center"/>
    </xf>
    <xf numFmtId="165" fontId="10" fillId="0" borderId="100" xfId="2" applyNumberFormat="1" applyFont="1" applyBorder="1" applyAlignment="1">
      <alignment vertical="center"/>
    </xf>
    <xf numFmtId="165" fontId="10" fillId="0" borderId="97" xfId="2" applyNumberFormat="1" applyFont="1" applyBorder="1" applyAlignment="1">
      <alignment vertical="center" wrapText="1"/>
    </xf>
    <xf numFmtId="3" fontId="13" fillId="0" borderId="43" xfId="2" applyNumberFormat="1" applyFont="1" applyBorder="1" applyAlignment="1">
      <alignment vertical="center" wrapText="1"/>
    </xf>
    <xf numFmtId="3" fontId="21" fillId="0" borderId="21" xfId="2" applyNumberFormat="1" applyFont="1" applyBorder="1" applyAlignment="1">
      <alignment vertical="center" wrapText="1"/>
    </xf>
    <xf numFmtId="165" fontId="4" fillId="0" borderId="22" xfId="2" applyNumberFormat="1" applyFont="1" applyBorder="1" applyAlignment="1">
      <alignment vertical="center" wrapText="1"/>
    </xf>
    <xf numFmtId="165" fontId="4" fillId="0" borderId="101" xfId="2" applyNumberFormat="1" applyFont="1" applyBorder="1" applyAlignment="1">
      <alignment vertical="center" wrapText="1"/>
    </xf>
    <xf numFmtId="3" fontId="13" fillId="0" borderId="12" xfId="2" applyNumberFormat="1" applyFont="1" applyBorder="1" applyAlignment="1">
      <alignment vertical="center" wrapText="1"/>
    </xf>
    <xf numFmtId="165" fontId="25" fillId="0" borderId="21" xfId="2" applyNumberFormat="1" applyFont="1" applyBorder="1" applyAlignment="1">
      <alignment vertical="center" wrapText="1"/>
    </xf>
    <xf numFmtId="3" fontId="11" fillId="0" borderId="22" xfId="2" applyNumberFormat="1" applyFont="1" applyBorder="1" applyAlignment="1">
      <alignment vertical="center" wrapText="1"/>
    </xf>
    <xf numFmtId="165" fontId="8" fillId="0" borderId="22" xfId="2" applyNumberFormat="1" applyFont="1" applyBorder="1" applyAlignment="1">
      <alignment vertical="center" wrapText="1"/>
    </xf>
    <xf numFmtId="165" fontId="10" fillId="0" borderId="51" xfId="2" applyNumberFormat="1" applyFont="1" applyBorder="1" applyAlignment="1">
      <alignment vertical="center"/>
    </xf>
    <xf numFmtId="165" fontId="10" fillId="0" borderId="15" xfId="2" applyNumberFormat="1" applyFont="1" applyBorder="1" applyAlignment="1">
      <alignment vertical="center"/>
    </xf>
    <xf numFmtId="165" fontId="10" fillId="0" borderId="22" xfId="2" applyNumberFormat="1" applyFont="1" applyBorder="1" applyAlignment="1">
      <alignment vertical="center"/>
    </xf>
    <xf numFmtId="165" fontId="10" fillId="0" borderId="24" xfId="2" applyNumberFormat="1" applyFont="1" applyBorder="1" applyAlignment="1">
      <alignment vertical="center"/>
    </xf>
    <xf numFmtId="0" fontId="5" fillId="0" borderId="10" xfId="2" applyFont="1" applyBorder="1"/>
    <xf numFmtId="0" fontId="5" fillId="0" borderId="22" xfId="2" applyFont="1" applyBorder="1"/>
    <xf numFmtId="3" fontId="11" fillId="0" borderId="21" xfId="2" applyNumberFormat="1" applyFont="1" applyFill="1" applyBorder="1" applyAlignment="1">
      <alignment vertical="center" wrapText="1"/>
    </xf>
    <xf numFmtId="3" fontId="11" fillId="0" borderId="15" xfId="2" applyNumberFormat="1" applyFont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165" fontId="4" fillId="0" borderId="10" xfId="2" applyNumberFormat="1" applyFont="1" applyFill="1" applyBorder="1" applyAlignment="1">
      <alignment vertical="center" wrapText="1"/>
    </xf>
    <xf numFmtId="0" fontId="6" fillId="0" borderId="102" xfId="2" applyFont="1" applyBorder="1" applyAlignment="1"/>
    <xf numFmtId="169" fontId="8" fillId="0" borderId="10" xfId="2" applyNumberFormat="1" applyFont="1" applyBorder="1" applyAlignment="1">
      <alignment vertical="center" wrapText="1"/>
    </xf>
    <xf numFmtId="165" fontId="27" fillId="0" borderId="17" xfId="2" applyNumberFormat="1" applyFont="1" applyBorder="1" applyAlignment="1">
      <alignment vertical="center" wrapText="1"/>
    </xf>
    <xf numFmtId="165" fontId="27" fillId="0" borderId="21" xfId="2" applyNumberFormat="1" applyFont="1" applyBorder="1" applyAlignment="1">
      <alignment vertical="center" wrapText="1"/>
    </xf>
    <xf numFmtId="165" fontId="27" fillId="0" borderId="97" xfId="2" applyNumberFormat="1" applyFont="1" applyBorder="1" applyAlignment="1">
      <alignment vertical="center" wrapText="1"/>
    </xf>
    <xf numFmtId="0" fontId="28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 vertical="top"/>
    </xf>
    <xf numFmtId="0" fontId="28" fillId="0" borderId="0" xfId="2" applyFont="1" applyBorder="1" applyAlignment="1">
      <alignment horizontal="center" vertical="top" wrapText="1"/>
    </xf>
    <xf numFmtId="49" fontId="4" fillId="0" borderId="10" xfId="2" applyNumberFormat="1" applyFont="1" applyBorder="1" applyAlignment="1">
      <alignment horizontal="center" vertical="center" wrapText="1"/>
    </xf>
    <xf numFmtId="0" fontId="9" fillId="0" borderId="10" xfId="2" applyFont="1" applyBorder="1" applyAlignment="1">
      <alignment vertical="center"/>
    </xf>
    <xf numFmtId="3" fontId="8" fillId="0" borderId="10" xfId="2" applyNumberFormat="1" applyFont="1" applyBorder="1" applyAlignment="1">
      <alignment vertical="center"/>
    </xf>
    <xf numFmtId="3" fontId="8" fillId="0" borderId="19" xfId="2" applyNumberFormat="1" applyFont="1" applyBorder="1" applyAlignment="1">
      <alignment vertical="center"/>
    </xf>
    <xf numFmtId="3" fontId="17" fillId="0" borderId="22" xfId="2" applyNumberFormat="1" applyFont="1" applyBorder="1" applyAlignment="1">
      <alignment vertical="center" wrapText="1"/>
    </xf>
    <xf numFmtId="0" fontId="8" fillId="0" borderId="16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/>
    </xf>
    <xf numFmtId="3" fontId="8" fillId="0" borderId="103" xfId="2" applyNumberFormat="1" applyFont="1" applyBorder="1" applyAlignment="1">
      <alignment vertical="center"/>
    </xf>
    <xf numFmtId="3" fontId="8" fillId="0" borderId="27" xfId="2" applyNumberFormat="1" applyFont="1" applyBorder="1" applyAlignment="1">
      <alignment vertical="center" wrapText="1"/>
    </xf>
    <xf numFmtId="3" fontId="8" fillId="0" borderId="80" xfId="2" applyNumberFormat="1" applyFont="1" applyBorder="1" applyAlignment="1">
      <alignment vertical="center" wrapText="1"/>
    </xf>
    <xf numFmtId="3" fontId="12" fillId="0" borderId="19" xfId="2" applyNumberFormat="1" applyFont="1" applyBorder="1" applyAlignment="1">
      <alignment vertical="center" wrapText="1"/>
    </xf>
    <xf numFmtId="3" fontId="13" fillId="0" borderId="82" xfId="2" applyNumberFormat="1" applyFont="1" applyBorder="1" applyAlignment="1">
      <alignment vertical="center" wrapText="1"/>
    </xf>
    <xf numFmtId="165" fontId="8" fillId="0" borderId="34" xfId="2" applyNumberFormat="1" applyFont="1" applyBorder="1" applyAlignment="1">
      <alignment vertical="center" wrapText="1"/>
    </xf>
    <xf numFmtId="165" fontId="10" fillId="0" borderId="104" xfId="2" applyNumberFormat="1" applyFont="1" applyBorder="1" applyAlignment="1">
      <alignment vertical="center" wrapText="1"/>
    </xf>
    <xf numFmtId="0" fontId="16" fillId="2" borderId="9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0" borderId="19" xfId="2" applyFont="1" applyBorder="1" applyAlignment="1">
      <alignment horizontal="center"/>
    </xf>
    <xf numFmtId="0" fontId="4" fillId="0" borderId="31" xfId="2" applyFont="1" applyBorder="1" applyAlignment="1">
      <alignment horizontal="center" vertical="center"/>
    </xf>
    <xf numFmtId="3" fontId="11" fillId="0" borderId="69" xfId="2" applyNumberFormat="1" applyFont="1" applyBorder="1" applyAlignment="1">
      <alignment vertical="center" wrapText="1"/>
    </xf>
    <xf numFmtId="0" fontId="4" fillId="0" borderId="48" xfId="2" applyFont="1" applyBorder="1" applyAlignment="1">
      <alignment horizontal="center" vertical="center"/>
    </xf>
    <xf numFmtId="3" fontId="12" fillId="0" borderId="23" xfId="2" applyNumberFormat="1" applyFont="1" applyBorder="1" applyAlignment="1">
      <alignment vertical="center" wrapText="1"/>
    </xf>
    <xf numFmtId="3" fontId="12" fillId="0" borderId="81" xfId="2" applyNumberFormat="1" applyFont="1" applyBorder="1" applyAlignment="1">
      <alignment vertical="center" wrapText="1"/>
    </xf>
    <xf numFmtId="0" fontId="4" fillId="0" borderId="94" xfId="2" applyFont="1" applyBorder="1" applyAlignment="1">
      <alignment horizontal="center"/>
    </xf>
    <xf numFmtId="3" fontId="13" fillId="0" borderId="105" xfId="2" applyNumberFormat="1" applyFont="1" applyBorder="1" applyAlignment="1">
      <alignment vertical="center"/>
    </xf>
    <xf numFmtId="1" fontId="8" fillId="0" borderId="15" xfId="2" applyNumberFormat="1" applyFont="1" applyBorder="1" applyAlignment="1">
      <alignment horizontal="left" vertical="center" wrapText="1"/>
    </xf>
    <xf numFmtId="1" fontId="4" fillId="0" borderId="15" xfId="2" applyNumberFormat="1" applyFont="1" applyBorder="1" applyAlignment="1">
      <alignment horizontal="left" vertical="center" wrapText="1"/>
    </xf>
    <xf numFmtId="1" fontId="4" fillId="0" borderId="15" xfId="2" applyNumberFormat="1" applyFont="1" applyFill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165" fontId="29" fillId="0" borderId="17" xfId="2" applyNumberFormat="1" applyFont="1" applyBorder="1" applyAlignment="1">
      <alignment vertical="center"/>
    </xf>
    <xf numFmtId="165" fontId="29" fillId="0" borderId="23" xfId="2" applyNumberFormat="1" applyFont="1" applyBorder="1" applyAlignment="1">
      <alignment vertical="center"/>
    </xf>
    <xf numFmtId="165" fontId="29" fillId="0" borderId="18" xfId="2" applyNumberFormat="1" applyFont="1" applyBorder="1" applyAlignment="1">
      <alignment vertical="center"/>
    </xf>
    <xf numFmtId="165" fontId="16" fillId="0" borderId="19" xfId="2" applyNumberFormat="1" applyFont="1" applyFill="1" applyBorder="1" applyAlignment="1">
      <alignment vertical="center" wrapText="1"/>
    </xf>
    <xf numFmtId="1" fontId="8" fillId="0" borderId="15" xfId="2" applyNumberFormat="1" applyFont="1" applyFill="1" applyBorder="1" applyAlignment="1">
      <alignment horizontal="left" vertical="center" wrapText="1"/>
    </xf>
    <xf numFmtId="49" fontId="8" fillId="0" borderId="11" xfId="2" applyNumberFormat="1" applyFont="1" applyFill="1" applyBorder="1" applyAlignment="1">
      <alignment horizontal="left" vertical="center" wrapText="1"/>
    </xf>
    <xf numFmtId="49" fontId="8" fillId="0" borderId="15" xfId="2" applyNumberFormat="1" applyFont="1" applyFill="1" applyBorder="1" applyAlignment="1">
      <alignment horizontal="left" vertical="center" wrapText="1"/>
    </xf>
    <xf numFmtId="165" fontId="13" fillId="0" borderId="9" xfId="2" applyNumberFormat="1" applyFont="1" applyBorder="1" applyAlignment="1">
      <alignment vertical="center" wrapText="1"/>
    </xf>
    <xf numFmtId="165" fontId="8" fillId="0" borderId="9" xfId="2" applyNumberFormat="1" applyFont="1" applyBorder="1" applyAlignment="1">
      <alignment vertical="center" wrapText="1"/>
    </xf>
    <xf numFmtId="0" fontId="4" fillId="0" borderId="11" xfId="2" applyFont="1" applyBorder="1" applyAlignment="1">
      <alignment horizontal="center" vertical="center"/>
    </xf>
    <xf numFmtId="165" fontId="6" fillId="0" borderId="62" xfId="2" applyNumberFormat="1" applyFont="1" applyBorder="1" applyAlignment="1">
      <alignment vertical="center" wrapText="1"/>
    </xf>
    <xf numFmtId="0" fontId="16" fillId="2" borderId="7" xfId="0" applyFont="1" applyFill="1" applyBorder="1" applyAlignment="1">
      <alignment horizontal="center"/>
    </xf>
    <xf numFmtId="0" fontId="4" fillId="0" borderId="5" xfId="2" applyFont="1" applyBorder="1" applyAlignment="1">
      <alignment horizontal="right"/>
    </xf>
    <xf numFmtId="0" fontId="4" fillId="0" borderId="36" xfId="2" applyFont="1" applyBorder="1" applyAlignment="1">
      <alignment horizontal="right"/>
    </xf>
    <xf numFmtId="0" fontId="9" fillId="0" borderId="10" xfId="2" applyFont="1" applyBorder="1" applyAlignment="1">
      <alignment horizontal="right" vertical="center"/>
    </xf>
    <xf numFmtId="165" fontId="10" fillId="0" borderId="62" xfId="2" applyNumberFormat="1" applyFont="1" applyBorder="1" applyAlignment="1">
      <alignment horizontal="right" vertical="center" wrapText="1"/>
    </xf>
    <xf numFmtId="3" fontId="8" fillId="0" borderId="10" xfId="2" applyNumberFormat="1" applyFont="1" applyBorder="1" applyAlignment="1">
      <alignment horizontal="right" vertical="center" wrapText="1"/>
    </xf>
    <xf numFmtId="1" fontId="8" fillId="0" borderId="9" xfId="2" applyNumberFormat="1" applyFont="1" applyBorder="1" applyAlignment="1">
      <alignment horizontal="center" vertical="center" wrapText="1"/>
    </xf>
    <xf numFmtId="165" fontId="13" fillId="0" borderId="10" xfId="2" applyNumberFormat="1" applyFont="1" applyBorder="1" applyAlignment="1">
      <alignment vertical="center" wrapText="1"/>
    </xf>
    <xf numFmtId="165" fontId="13" fillId="0" borderId="22" xfId="2" applyNumberFormat="1" applyFont="1" applyBorder="1" applyAlignment="1">
      <alignment vertical="center" wrapText="1"/>
    </xf>
    <xf numFmtId="3" fontId="8" fillId="0" borderId="101" xfId="2" applyNumberFormat="1" applyFont="1" applyBorder="1" applyAlignment="1">
      <alignment vertical="center" wrapText="1"/>
    </xf>
    <xf numFmtId="3" fontId="22" fillId="0" borderId="17" xfId="2" applyNumberFormat="1" applyFont="1" applyBorder="1" applyAlignment="1">
      <alignment vertical="center"/>
    </xf>
    <xf numFmtId="3" fontId="22" fillId="0" borderId="21" xfId="2" applyNumberFormat="1" applyFont="1" applyBorder="1" applyAlignment="1">
      <alignment vertical="center"/>
    </xf>
    <xf numFmtId="16" fontId="5" fillId="0" borderId="17" xfId="2" quotePrefix="1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165" fontId="13" fillId="0" borderId="78" xfId="2" applyNumberFormat="1" applyFont="1" applyBorder="1" applyAlignment="1">
      <alignment vertical="center" wrapText="1"/>
    </xf>
    <xf numFmtId="165" fontId="13" fillId="0" borderId="19" xfId="2" applyNumberFormat="1" applyFont="1" applyBorder="1" applyAlignment="1">
      <alignment vertical="center" wrapText="1"/>
    </xf>
    <xf numFmtId="165" fontId="8" fillId="3" borderId="19" xfId="2" applyNumberFormat="1" applyFont="1" applyFill="1" applyBorder="1" applyAlignment="1">
      <alignment vertical="center" wrapText="1"/>
    </xf>
    <xf numFmtId="165" fontId="10" fillId="0" borderId="17" xfId="2" applyNumberFormat="1" applyFont="1" applyFill="1" applyBorder="1" applyAlignment="1">
      <alignment vertical="center"/>
    </xf>
    <xf numFmtId="0" fontId="5" fillId="0" borderId="106" xfId="2" applyFont="1" applyBorder="1"/>
    <xf numFmtId="165" fontId="22" fillId="0" borderId="17" xfId="2" applyNumberFormat="1" applyFont="1" applyBorder="1" applyAlignment="1">
      <alignment vertical="center"/>
    </xf>
    <xf numFmtId="165" fontId="22" fillId="0" borderId="23" xfId="2" applyNumberFormat="1" applyFont="1" applyBorder="1" applyAlignment="1">
      <alignment vertical="center"/>
    </xf>
    <xf numFmtId="165" fontId="22" fillId="0" borderId="18" xfId="2" applyNumberFormat="1" applyFont="1" applyBorder="1" applyAlignment="1">
      <alignment vertical="center"/>
    </xf>
    <xf numFmtId="3" fontId="22" fillId="0" borderId="23" xfId="2" applyNumberFormat="1" applyFont="1" applyBorder="1" applyAlignment="1">
      <alignment vertical="center" wrapText="1"/>
    </xf>
    <xf numFmtId="3" fontId="22" fillId="0" borderId="17" xfId="2" applyNumberFormat="1" applyFont="1" applyBorder="1" applyAlignment="1">
      <alignment vertical="center" wrapText="1"/>
    </xf>
    <xf numFmtId="1" fontId="33" fillId="0" borderId="15" xfId="2" applyNumberFormat="1" applyFont="1" applyBorder="1" applyAlignment="1">
      <alignment horizontal="center" vertical="center" wrapText="1"/>
    </xf>
    <xf numFmtId="165" fontId="16" fillId="0" borderId="62" xfId="2" applyNumberFormat="1" applyFont="1" applyBorder="1" applyAlignment="1">
      <alignment vertical="center" wrapText="1"/>
    </xf>
    <xf numFmtId="0" fontId="26" fillId="0" borderId="15" xfId="2" applyFont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vertical="center" wrapText="1"/>
    </xf>
    <xf numFmtId="3" fontId="22" fillId="0" borderId="23" xfId="2" applyNumberFormat="1" applyFont="1" applyFill="1" applyBorder="1" applyAlignment="1">
      <alignment vertical="center" wrapText="1"/>
    </xf>
    <xf numFmtId="3" fontId="13" fillId="0" borderId="11" xfId="2" applyNumberFormat="1" applyFont="1" applyFill="1" applyBorder="1" applyAlignment="1">
      <alignment vertical="center" wrapText="1"/>
    </xf>
    <xf numFmtId="165" fontId="10" fillId="0" borderId="10" xfId="2" applyNumberFormat="1" applyFont="1" applyFill="1" applyBorder="1" applyAlignment="1">
      <alignment vertical="center"/>
    </xf>
    <xf numFmtId="165" fontId="12" fillId="0" borderId="10" xfId="2" applyNumberFormat="1" applyFont="1" applyFill="1" applyBorder="1" applyAlignment="1">
      <alignment vertical="center" wrapText="1"/>
    </xf>
    <xf numFmtId="165" fontId="10" fillId="0" borderId="52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vertical="center"/>
    </xf>
    <xf numFmtId="165" fontId="10" fillId="0" borderId="55" xfId="2" applyNumberFormat="1" applyFont="1" applyFill="1" applyBorder="1" applyAlignment="1">
      <alignment vertical="center"/>
    </xf>
    <xf numFmtId="0" fontId="5" fillId="0" borderId="0" xfId="2" applyFont="1" applyFill="1"/>
    <xf numFmtId="167" fontId="23" fillId="0" borderId="72" xfId="1" applyNumberFormat="1" applyFont="1" applyFill="1" applyBorder="1" applyAlignment="1">
      <alignment horizontal="right"/>
    </xf>
    <xf numFmtId="3" fontId="22" fillId="0" borderId="18" xfId="2" applyNumberFormat="1" applyFont="1" applyFill="1" applyBorder="1" applyAlignment="1">
      <alignment vertical="center" wrapText="1"/>
    </xf>
    <xf numFmtId="3" fontId="13" fillId="0" borderId="49" xfId="2" applyNumberFormat="1" applyFont="1" applyFill="1" applyBorder="1" applyAlignment="1">
      <alignment vertical="center" wrapText="1"/>
    </xf>
    <xf numFmtId="165" fontId="16" fillId="0" borderId="8" xfId="2" applyNumberFormat="1" applyFont="1" applyFill="1" applyBorder="1" applyAlignment="1">
      <alignment vertical="center" wrapText="1"/>
    </xf>
    <xf numFmtId="165" fontId="10" fillId="0" borderId="18" xfId="2" applyNumberFormat="1" applyFont="1" applyFill="1" applyBorder="1" applyAlignment="1">
      <alignment vertical="center"/>
    </xf>
    <xf numFmtId="165" fontId="10" fillId="0" borderId="8" xfId="2" applyNumberFormat="1" applyFont="1" applyFill="1" applyBorder="1" applyAlignment="1">
      <alignment vertical="center"/>
    </xf>
    <xf numFmtId="165" fontId="10" fillId="0" borderId="70" xfId="2" applyNumberFormat="1" applyFont="1" applyFill="1" applyBorder="1" applyAlignment="1">
      <alignment vertical="center"/>
    </xf>
    <xf numFmtId="165" fontId="10" fillId="0" borderId="66" xfId="2" applyNumberFormat="1" applyFont="1" applyFill="1" applyBorder="1" applyAlignment="1">
      <alignment vertical="center"/>
    </xf>
    <xf numFmtId="165" fontId="10" fillId="0" borderId="71" xfId="2" applyNumberFormat="1" applyFont="1" applyFill="1" applyBorder="1" applyAlignment="1">
      <alignment vertical="center"/>
    </xf>
    <xf numFmtId="0" fontId="5" fillId="0" borderId="0" xfId="2" applyFont="1" applyFill="1" applyBorder="1"/>
    <xf numFmtId="168" fontId="23" fillId="0" borderId="72" xfId="1" applyNumberFormat="1" applyFont="1" applyFill="1" applyBorder="1" applyAlignment="1">
      <alignment horizontal="right"/>
    </xf>
    <xf numFmtId="3" fontId="10" fillId="0" borderId="21" xfId="2" applyNumberFormat="1" applyFont="1" applyBorder="1" applyAlignment="1">
      <alignment vertical="center" wrapText="1"/>
    </xf>
    <xf numFmtId="3" fontId="10" fillId="0" borderId="23" xfId="2" applyNumberFormat="1" applyFont="1" applyBorder="1" applyAlignment="1">
      <alignment vertical="center" wrapText="1"/>
    </xf>
    <xf numFmtId="3" fontId="10" fillId="0" borderId="18" xfId="2" applyNumberFormat="1" applyFont="1" applyBorder="1" applyAlignment="1">
      <alignment vertical="center" wrapText="1"/>
    </xf>
    <xf numFmtId="0" fontId="10" fillId="0" borderId="7" xfId="2" applyFont="1" applyBorder="1" applyAlignment="1">
      <alignment vertical="center"/>
    </xf>
    <xf numFmtId="3" fontId="11" fillId="0" borderId="7" xfId="2" applyNumberFormat="1" applyFont="1" applyBorder="1" applyAlignment="1">
      <alignment vertical="center" wrapText="1"/>
    </xf>
    <xf numFmtId="0" fontId="5" fillId="0" borderId="50" xfId="2" applyFont="1" applyBorder="1" applyAlignment="1">
      <alignment horizontal="center" vertical="center"/>
    </xf>
    <xf numFmtId="3" fontId="13" fillId="0" borderId="51" xfId="2" applyNumberFormat="1" applyFont="1" applyBorder="1" applyAlignment="1">
      <alignment vertical="center" wrapText="1"/>
    </xf>
    <xf numFmtId="3" fontId="13" fillId="0" borderId="53" xfId="2" applyNumberFormat="1" applyFont="1" applyBorder="1" applyAlignment="1">
      <alignment vertical="center" wrapText="1"/>
    </xf>
    <xf numFmtId="165" fontId="6" fillId="0" borderId="70" xfId="2" applyNumberFormat="1" applyFont="1" applyBorder="1" applyAlignment="1">
      <alignment vertical="center" wrapText="1"/>
    </xf>
    <xf numFmtId="0" fontId="13" fillId="0" borderId="51" xfId="2" applyFont="1" applyBorder="1" applyAlignment="1">
      <alignment horizontal="right" vertical="center"/>
    </xf>
    <xf numFmtId="3" fontId="13" fillId="0" borderId="51" xfId="2" applyNumberFormat="1" applyFont="1" applyBorder="1" applyAlignment="1">
      <alignment vertical="center"/>
    </xf>
    <xf numFmtId="3" fontId="13" fillId="0" borderId="52" xfId="2" applyNumberFormat="1" applyFont="1" applyBorder="1" applyAlignment="1">
      <alignment vertical="center"/>
    </xf>
    <xf numFmtId="3" fontId="10" fillId="0" borderId="52" xfId="2" applyNumberFormat="1" applyFont="1" applyBorder="1" applyAlignment="1">
      <alignment vertical="center"/>
    </xf>
    <xf numFmtId="3" fontId="13" fillId="0" borderId="70" xfId="2" applyNumberFormat="1" applyFont="1" applyBorder="1" applyAlignment="1">
      <alignment vertical="center"/>
    </xf>
    <xf numFmtId="49" fontId="8" fillId="0" borderId="6" xfId="2" applyNumberFormat="1" applyFont="1" applyFill="1" applyBorder="1" applyAlignment="1">
      <alignment horizontal="center"/>
    </xf>
    <xf numFmtId="165" fontId="12" fillId="0" borderId="8" xfId="2" applyNumberFormat="1" applyFont="1" applyFill="1" applyBorder="1" applyAlignment="1">
      <alignment vertical="center" wrapText="1"/>
    </xf>
    <xf numFmtId="165" fontId="16" fillId="0" borderId="0" xfId="2" applyNumberFormat="1" applyFont="1" applyFill="1" applyBorder="1" applyAlignment="1">
      <alignment vertical="center" wrapText="1"/>
    </xf>
    <xf numFmtId="0" fontId="12" fillId="0" borderId="9" xfId="2" applyFont="1" applyBorder="1" applyAlignment="1">
      <alignment horizontal="center" vertical="center" wrapText="1"/>
    </xf>
    <xf numFmtId="0" fontId="13" fillId="0" borderId="105" xfId="2" applyFont="1" applyBorder="1" applyAlignment="1">
      <alignment vertical="center"/>
    </xf>
    <xf numFmtId="165" fontId="4" fillId="0" borderId="38" xfId="2" applyNumberFormat="1" applyFont="1" applyBorder="1" applyAlignment="1">
      <alignment vertical="center" wrapText="1"/>
    </xf>
    <xf numFmtId="165" fontId="4" fillId="0" borderId="76" xfId="2" applyNumberFormat="1" applyFont="1" applyBorder="1" applyAlignment="1">
      <alignment vertical="center" wrapText="1"/>
    </xf>
    <xf numFmtId="165" fontId="4" fillId="0" borderId="44" xfId="2" applyNumberFormat="1" applyFont="1" applyBorder="1" applyAlignment="1">
      <alignment vertical="center" wrapText="1"/>
    </xf>
    <xf numFmtId="165" fontId="8" fillId="0" borderId="90" xfId="2" applyNumberFormat="1" applyFont="1" applyBorder="1" applyAlignment="1">
      <alignment vertical="center" wrapText="1"/>
    </xf>
    <xf numFmtId="0" fontId="4" fillId="0" borderId="46" xfId="2" applyFont="1" applyBorder="1" applyAlignment="1">
      <alignment vertical="top"/>
    </xf>
    <xf numFmtId="0" fontId="4" fillId="0" borderId="76" xfId="2" applyFont="1" applyBorder="1"/>
    <xf numFmtId="0" fontId="5" fillId="0" borderId="76" xfId="2" applyFont="1" applyBorder="1"/>
    <xf numFmtId="0" fontId="5" fillId="0" borderId="44" xfId="2" applyFont="1" applyBorder="1"/>
    <xf numFmtId="0" fontId="5" fillId="0" borderId="107" xfId="2" applyFont="1" applyBorder="1"/>
    <xf numFmtId="3" fontId="10" fillId="0" borderId="18" xfId="2" applyNumberFormat="1" applyFont="1" applyFill="1" applyBorder="1" applyAlignment="1">
      <alignment vertical="center" wrapText="1"/>
    </xf>
    <xf numFmtId="3" fontId="10" fillId="0" borderId="23" xfId="2" applyNumberFormat="1" applyFont="1" applyFill="1" applyBorder="1" applyAlignment="1">
      <alignment vertical="center" wrapText="1"/>
    </xf>
    <xf numFmtId="3" fontId="10" fillId="0" borderId="17" xfId="2" applyNumberFormat="1" applyFont="1" applyBorder="1" applyAlignment="1">
      <alignment vertical="center" wrapText="1"/>
    </xf>
    <xf numFmtId="0" fontId="4" fillId="0" borderId="108" xfId="2" applyFont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5" fillId="0" borderId="109" xfId="2" applyFont="1" applyBorder="1" applyAlignment="1">
      <alignment horizontal="center" vertical="center"/>
    </xf>
    <xf numFmtId="1" fontId="26" fillId="0" borderId="15" xfId="2" applyNumberFormat="1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5" fillId="0" borderId="110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/>
    </xf>
    <xf numFmtId="0" fontId="13" fillId="0" borderId="10" xfId="2" applyFont="1" applyBorder="1" applyAlignment="1">
      <alignment horizontal="right" vertical="center"/>
    </xf>
    <xf numFmtId="3" fontId="13" fillId="0" borderId="10" xfId="2" applyNumberFormat="1" applyFont="1" applyBorder="1" applyAlignment="1">
      <alignment vertical="center" wrapText="1"/>
    </xf>
    <xf numFmtId="3" fontId="13" fillId="0" borderId="10" xfId="2" applyNumberFormat="1" applyFont="1" applyFill="1" applyBorder="1" applyAlignment="1">
      <alignment vertical="center" wrapText="1"/>
    </xf>
    <xf numFmtId="3" fontId="13" fillId="0" borderId="19" xfId="2" applyNumberFormat="1" applyFont="1" applyBorder="1" applyAlignment="1">
      <alignment vertical="center" wrapText="1"/>
    </xf>
    <xf numFmtId="3" fontId="13" fillId="0" borderId="8" xfId="2" applyNumberFormat="1" applyFont="1" applyFill="1" applyBorder="1" applyAlignment="1">
      <alignment vertical="center" wrapText="1"/>
    </xf>
    <xf numFmtId="0" fontId="7" fillId="0" borderId="17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165" fontId="16" fillId="0" borderId="22" xfId="2" applyNumberFormat="1" applyFont="1" applyBorder="1" applyAlignment="1">
      <alignment vertical="center" wrapText="1"/>
    </xf>
    <xf numFmtId="165" fontId="16" fillId="3" borderId="22" xfId="2" applyNumberFormat="1" applyFont="1" applyFill="1" applyBorder="1" applyAlignment="1">
      <alignment vertical="center" wrapText="1"/>
    </xf>
    <xf numFmtId="49" fontId="8" fillId="0" borderId="10" xfId="2" applyNumberFormat="1" applyFont="1" applyFill="1" applyBorder="1" applyAlignment="1">
      <alignment horizontal="center" vertical="center" wrapText="1"/>
    </xf>
    <xf numFmtId="169" fontId="5" fillId="0" borderId="0" xfId="2" applyNumberFormat="1" applyFont="1"/>
    <xf numFmtId="3" fontId="29" fillId="0" borderId="17" xfId="2" applyNumberFormat="1" applyFont="1" applyFill="1" applyBorder="1" applyAlignment="1">
      <alignment vertical="center"/>
    </xf>
    <xf numFmtId="3" fontId="29" fillId="0" borderId="23" xfId="2" applyNumberFormat="1" applyFont="1" applyFill="1" applyBorder="1" applyAlignment="1">
      <alignment vertical="center"/>
    </xf>
    <xf numFmtId="3" fontId="29" fillId="0" borderId="18" xfId="2" applyNumberFormat="1" applyFont="1" applyFill="1" applyBorder="1" applyAlignment="1">
      <alignment vertical="center"/>
    </xf>
    <xf numFmtId="165" fontId="26" fillId="0" borderId="10" xfId="2" applyNumberFormat="1" applyFont="1" applyBorder="1" applyAlignment="1">
      <alignment vertical="center" wrapText="1"/>
    </xf>
    <xf numFmtId="0" fontId="26" fillId="0" borderId="0" xfId="2" applyFont="1"/>
    <xf numFmtId="165" fontId="26" fillId="0" borderId="19" xfId="2" applyNumberFormat="1" applyFont="1" applyBorder="1" applyAlignment="1">
      <alignment vertical="center" wrapText="1"/>
    </xf>
    <xf numFmtId="3" fontId="30" fillId="0" borderId="19" xfId="2" applyNumberFormat="1" applyFont="1" applyBorder="1" applyAlignment="1">
      <alignment vertical="center" wrapText="1"/>
    </xf>
    <xf numFmtId="165" fontId="26" fillId="0" borderId="8" xfId="2" applyNumberFormat="1" applyFont="1" applyBorder="1" applyAlignment="1">
      <alignment vertical="center" wrapText="1"/>
    </xf>
    <xf numFmtId="3" fontId="26" fillId="0" borderId="10" xfId="2" applyNumberFormat="1" applyFont="1" applyBorder="1" applyAlignment="1">
      <alignment vertical="center" wrapText="1"/>
    </xf>
    <xf numFmtId="3" fontId="26" fillId="0" borderId="19" xfId="2" applyNumberFormat="1" applyFont="1" applyBorder="1" applyAlignment="1">
      <alignment vertical="center" wrapText="1"/>
    </xf>
    <xf numFmtId="3" fontId="26" fillId="0" borderId="8" xfId="2" applyNumberFormat="1" applyFont="1" applyBorder="1" applyAlignment="1">
      <alignment vertical="center" wrapText="1"/>
    </xf>
    <xf numFmtId="169" fontId="26" fillId="0" borderId="10" xfId="2" applyNumberFormat="1" applyFont="1" applyBorder="1" applyAlignment="1">
      <alignment vertical="center" wrapText="1"/>
    </xf>
    <xf numFmtId="3" fontId="30" fillId="0" borderId="10" xfId="2" applyNumberFormat="1" applyFont="1" applyBorder="1" applyAlignment="1">
      <alignment vertical="center" wrapText="1"/>
    </xf>
    <xf numFmtId="3" fontId="30" fillId="0" borderId="22" xfId="2" applyNumberFormat="1" applyFont="1" applyBorder="1" applyAlignment="1">
      <alignment vertical="center" wrapText="1"/>
    </xf>
    <xf numFmtId="165" fontId="30" fillId="0" borderId="90" xfId="2" applyNumberFormat="1" applyFont="1" applyBorder="1" applyAlignment="1">
      <alignment vertical="center" wrapText="1"/>
    </xf>
    <xf numFmtId="3" fontId="30" fillId="0" borderId="76" xfId="2" applyNumberFormat="1" applyFont="1" applyBorder="1" applyAlignment="1">
      <alignment vertical="center" wrapText="1"/>
    </xf>
    <xf numFmtId="3" fontId="30" fillId="0" borderId="44" xfId="2" applyNumberFormat="1" applyFont="1" applyBorder="1" applyAlignment="1">
      <alignment vertical="center" wrapText="1"/>
    </xf>
    <xf numFmtId="3" fontId="30" fillId="0" borderId="111" xfId="2" applyNumberFormat="1" applyFont="1" applyBorder="1"/>
    <xf numFmtId="3" fontId="27" fillId="0" borderId="17" xfId="2" applyNumberFormat="1" applyFont="1" applyBorder="1" applyAlignment="1">
      <alignment vertical="center" wrapText="1"/>
    </xf>
    <xf numFmtId="164" fontId="27" fillId="0" borderId="17" xfId="2" applyNumberFormat="1" applyFont="1" applyBorder="1" applyAlignment="1">
      <alignment vertical="center" wrapText="1"/>
    </xf>
    <xf numFmtId="164" fontId="27" fillId="0" borderId="21" xfId="2" applyNumberFormat="1" applyFont="1" applyBorder="1" applyAlignment="1">
      <alignment vertical="center" wrapText="1"/>
    </xf>
    <xf numFmtId="164" fontId="27" fillId="0" borderId="97" xfId="2" applyNumberFormat="1" applyFont="1" applyBorder="1" applyAlignment="1">
      <alignment vertical="center" wrapText="1"/>
    </xf>
    <xf numFmtId="3" fontId="27" fillId="0" borderId="21" xfId="2" applyNumberFormat="1" applyFont="1" applyBorder="1" applyAlignment="1">
      <alignment vertical="center" wrapText="1"/>
    </xf>
    <xf numFmtId="165" fontId="26" fillId="0" borderId="0" xfId="2" applyNumberFormat="1" applyFont="1" applyBorder="1" applyAlignment="1">
      <alignment vertical="center" wrapText="1"/>
    </xf>
    <xf numFmtId="1" fontId="26" fillId="0" borderId="10" xfId="2" applyNumberFormat="1" applyFont="1" applyBorder="1" applyAlignment="1">
      <alignment horizontal="center" vertical="center" wrapText="1"/>
    </xf>
    <xf numFmtId="165" fontId="30" fillId="0" borderId="19" xfId="2" applyNumberFormat="1" applyFont="1" applyBorder="1" applyAlignment="1">
      <alignment vertical="center" wrapText="1"/>
    </xf>
    <xf numFmtId="164" fontId="8" fillId="0" borderId="17" xfId="2" applyNumberFormat="1" applyFont="1" applyBorder="1" applyAlignment="1">
      <alignment vertical="center" wrapText="1"/>
    </xf>
    <xf numFmtId="0" fontId="4" fillId="0" borderId="50" xfId="2" applyFont="1" applyBorder="1" applyAlignment="1">
      <alignment horizontal="center" vertical="top"/>
    </xf>
    <xf numFmtId="165" fontId="29" fillId="0" borderId="51" xfId="2" applyNumberFormat="1" applyFont="1" applyBorder="1" applyAlignment="1">
      <alignment vertical="center"/>
    </xf>
    <xf numFmtId="165" fontId="29" fillId="0" borderId="52" xfId="2" applyNumberFormat="1" applyFont="1" applyBorder="1" applyAlignment="1">
      <alignment vertical="center"/>
    </xf>
    <xf numFmtId="165" fontId="29" fillId="0" borderId="70" xfId="2" applyNumberFormat="1" applyFont="1" applyBorder="1" applyAlignment="1">
      <alignment vertical="center"/>
    </xf>
    <xf numFmtId="0" fontId="4" fillId="0" borderId="13" xfId="2" applyFont="1" applyBorder="1" applyAlignment="1">
      <alignment horizontal="center" vertical="top"/>
    </xf>
    <xf numFmtId="0" fontId="12" fillId="0" borderId="15" xfId="2" applyFont="1" applyBorder="1" applyAlignment="1">
      <alignment vertical="center" wrapText="1"/>
    </xf>
    <xf numFmtId="165" fontId="26" fillId="0" borderId="15" xfId="2" applyNumberFormat="1" applyFont="1" applyBorder="1" applyAlignment="1">
      <alignment vertical="center" wrapText="1"/>
    </xf>
    <xf numFmtId="165" fontId="26" fillId="0" borderId="48" xfId="2" applyNumberFormat="1" applyFont="1" applyBorder="1" applyAlignment="1">
      <alignment vertical="center" wrapText="1"/>
    </xf>
    <xf numFmtId="165" fontId="30" fillId="0" borderId="48" xfId="2" applyNumberFormat="1" applyFont="1" applyBorder="1" applyAlignment="1">
      <alignment vertical="center" wrapText="1"/>
    </xf>
    <xf numFmtId="165" fontId="26" fillId="0" borderId="66" xfId="2" applyNumberFormat="1" applyFont="1" applyBorder="1" applyAlignment="1">
      <alignment vertical="center" wrapText="1"/>
    </xf>
    <xf numFmtId="0" fontId="4" fillId="0" borderId="54" xfId="2" applyFont="1" applyBorder="1" applyAlignment="1">
      <alignment horizontal="center" vertical="top"/>
    </xf>
    <xf numFmtId="165" fontId="29" fillId="0" borderId="24" xfId="2" applyNumberFormat="1" applyFont="1" applyBorder="1" applyAlignment="1">
      <alignment vertical="center"/>
    </xf>
    <xf numFmtId="165" fontId="29" fillId="0" borderId="55" xfId="2" applyNumberFormat="1" applyFont="1" applyBorder="1" applyAlignment="1">
      <alignment vertical="center"/>
    </xf>
    <xf numFmtId="165" fontId="29" fillId="0" borderId="71" xfId="2" applyNumberFormat="1" applyFont="1" applyBorder="1" applyAlignment="1">
      <alignment vertical="center"/>
    </xf>
    <xf numFmtId="3" fontId="10" fillId="0" borderId="51" xfId="2" applyNumberFormat="1" applyFont="1" applyBorder="1" applyAlignment="1">
      <alignment vertical="center"/>
    </xf>
    <xf numFmtId="3" fontId="10" fillId="0" borderId="53" xfId="2" applyNumberFormat="1" applyFont="1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8" fillId="0" borderId="15" xfId="2" applyFont="1" applyBorder="1" applyAlignment="1">
      <alignment vertical="center" wrapText="1"/>
    </xf>
    <xf numFmtId="165" fontId="8" fillId="0" borderId="15" xfId="2" applyNumberFormat="1" applyFont="1" applyBorder="1" applyAlignment="1">
      <alignment vertical="center" wrapText="1"/>
    </xf>
    <xf numFmtId="165" fontId="8" fillId="0" borderId="48" xfId="2" applyNumberFormat="1" applyFont="1" applyBorder="1" applyAlignment="1">
      <alignment vertical="center" wrapText="1"/>
    </xf>
    <xf numFmtId="165" fontId="16" fillId="0" borderId="43" xfId="2" applyNumberFormat="1" applyFont="1" applyBorder="1" applyAlignment="1">
      <alignment vertical="center" wrapText="1"/>
    </xf>
    <xf numFmtId="3" fontId="10" fillId="0" borderId="24" xfId="2" applyNumberFormat="1" applyFont="1" applyBorder="1" applyAlignment="1">
      <alignment vertical="center"/>
    </xf>
    <xf numFmtId="3" fontId="10" fillId="0" borderId="55" xfId="2" applyNumberFormat="1" applyFont="1" applyBorder="1" applyAlignment="1">
      <alignment vertical="center"/>
    </xf>
    <xf numFmtId="3" fontId="10" fillId="0" borderId="56" xfId="2" applyNumberFormat="1" applyFont="1" applyBorder="1" applyAlignment="1">
      <alignment vertical="center"/>
    </xf>
    <xf numFmtId="166" fontId="1" fillId="0" borderId="10" xfId="1" applyNumberFormat="1" applyBorder="1" applyAlignment="1">
      <alignment vertical="center" wrapText="1"/>
    </xf>
    <xf numFmtId="0" fontId="8" fillId="5" borderId="5" xfId="2" applyFont="1" applyFill="1" applyBorder="1" applyAlignment="1">
      <alignment horizontal="center" vertical="center"/>
    </xf>
    <xf numFmtId="1" fontId="8" fillId="5" borderId="10" xfId="2" applyNumberFormat="1" applyFont="1" applyFill="1" applyBorder="1" applyAlignment="1">
      <alignment horizontal="center" vertical="center" wrapText="1"/>
    </xf>
    <xf numFmtId="0" fontId="8" fillId="5" borderId="10" xfId="2" applyFont="1" applyFill="1" applyBorder="1" applyAlignment="1">
      <alignment vertical="center" wrapText="1"/>
    </xf>
    <xf numFmtId="49" fontId="8" fillId="5" borderId="10" xfId="2" applyNumberFormat="1" applyFont="1" applyFill="1" applyBorder="1" applyAlignment="1">
      <alignment horizontal="center" vertical="center" wrapText="1"/>
    </xf>
    <xf numFmtId="1" fontId="8" fillId="6" borderId="10" xfId="2" applyNumberFormat="1" applyFont="1" applyFill="1" applyBorder="1" applyAlignment="1">
      <alignment horizontal="center" vertical="center" wrapText="1"/>
    </xf>
    <xf numFmtId="49" fontId="8" fillId="6" borderId="10" xfId="2" applyNumberFormat="1" applyFont="1" applyFill="1" applyBorder="1" applyAlignment="1">
      <alignment horizontal="center" vertical="center" wrapText="1"/>
    </xf>
    <xf numFmtId="165" fontId="8" fillId="0" borderId="20" xfId="2" applyNumberFormat="1" applyFont="1" applyBorder="1" applyAlignment="1">
      <alignment vertical="center"/>
    </xf>
    <xf numFmtId="165" fontId="8" fillId="0" borderId="73" xfId="2" applyNumberFormat="1" applyFont="1" applyBorder="1" applyAlignment="1">
      <alignment vertical="center"/>
    </xf>
    <xf numFmtId="165" fontId="17" fillId="0" borderId="29" xfId="2" applyNumberFormat="1" applyFont="1" applyBorder="1" applyAlignment="1">
      <alignment vertical="center" wrapText="1"/>
    </xf>
    <xf numFmtId="165" fontId="17" fillId="0" borderId="30" xfId="2" applyNumberFormat="1" applyFont="1" applyBorder="1" applyAlignment="1">
      <alignment vertical="center" wrapText="1"/>
    </xf>
    <xf numFmtId="165" fontId="17" fillId="0" borderId="75" xfId="2" applyNumberFormat="1" applyFont="1" applyBorder="1" applyAlignment="1">
      <alignment vertical="center" wrapText="1"/>
    </xf>
    <xf numFmtId="165" fontId="10" fillId="0" borderId="21" xfId="2" applyNumberFormat="1" applyFont="1" applyBorder="1" applyAlignment="1">
      <alignment vertical="center"/>
    </xf>
    <xf numFmtId="170" fontId="34" fillId="0" borderId="17" xfId="2" applyNumberFormat="1" applyFont="1" applyBorder="1" applyAlignment="1">
      <alignment vertical="center" wrapText="1"/>
    </xf>
    <xf numFmtId="166" fontId="35" fillId="0" borderId="17" xfId="1" applyNumberFormat="1" applyFont="1" applyBorder="1" applyAlignment="1">
      <alignment vertical="center" wrapText="1"/>
    </xf>
    <xf numFmtId="165" fontId="19" fillId="0" borderId="17" xfId="2" applyNumberFormat="1" applyFont="1" applyBorder="1" applyAlignment="1">
      <alignment vertical="center" wrapText="1"/>
    </xf>
    <xf numFmtId="165" fontId="17" fillId="0" borderId="26" xfId="2" applyNumberFormat="1" applyFont="1" applyBorder="1" applyAlignment="1">
      <alignment vertical="center" wrapText="1"/>
    </xf>
    <xf numFmtId="165" fontId="17" fillId="0" borderId="27" xfId="2" applyNumberFormat="1" applyFont="1" applyBorder="1" applyAlignment="1">
      <alignment vertical="center" wrapText="1"/>
    </xf>
    <xf numFmtId="165" fontId="26" fillId="0" borderId="25" xfId="2" applyNumberFormat="1" applyFont="1" applyBorder="1" applyAlignment="1">
      <alignment vertical="center"/>
    </xf>
    <xf numFmtId="165" fontId="26" fillId="0" borderId="40" xfId="2" applyNumberFormat="1" applyFont="1" applyBorder="1" applyAlignment="1">
      <alignment vertical="center"/>
    </xf>
    <xf numFmtId="165" fontId="26" fillId="0" borderId="20" xfId="2" applyNumberFormat="1" applyFont="1" applyBorder="1" applyAlignment="1">
      <alignment vertical="center"/>
    </xf>
    <xf numFmtId="165" fontId="26" fillId="0" borderId="0" xfId="2" applyNumberFormat="1" applyFont="1"/>
    <xf numFmtId="165" fontId="26" fillId="0" borderId="20" xfId="2" applyNumberFormat="1" applyFont="1" applyBorder="1" applyAlignment="1">
      <alignment vertical="center" wrapText="1"/>
    </xf>
    <xf numFmtId="165" fontId="26" fillId="0" borderId="20" xfId="2" applyNumberFormat="1" applyFont="1" applyFill="1" applyBorder="1" applyAlignment="1">
      <alignment vertical="center" wrapText="1"/>
    </xf>
    <xf numFmtId="3" fontId="26" fillId="0" borderId="20" xfId="2" applyNumberFormat="1" applyFont="1" applyBorder="1" applyAlignment="1">
      <alignment vertical="center" wrapText="1"/>
    </xf>
    <xf numFmtId="3" fontId="26" fillId="0" borderId="73" xfId="2" applyNumberFormat="1" applyFont="1" applyBorder="1" applyAlignment="1">
      <alignment vertical="center" wrapText="1"/>
    </xf>
    <xf numFmtId="3" fontId="18" fillId="0" borderId="27" xfId="2" applyNumberFormat="1" applyFont="1" applyBorder="1" applyAlignment="1">
      <alignment vertical="center" wrapText="1"/>
    </xf>
    <xf numFmtId="3" fontId="19" fillId="0" borderId="27" xfId="2" applyNumberFormat="1" applyFont="1" applyBorder="1" applyAlignment="1">
      <alignment vertical="center" wrapText="1"/>
    </xf>
    <xf numFmtId="3" fontId="18" fillId="0" borderId="74" xfId="2" applyNumberFormat="1" applyFont="1" applyBorder="1" applyAlignment="1">
      <alignment vertical="center" wrapText="1"/>
    </xf>
    <xf numFmtId="165" fontId="26" fillId="0" borderId="29" xfId="2" applyNumberFormat="1" applyFont="1" applyBorder="1" applyAlignment="1">
      <alignment vertical="center"/>
    </xf>
    <xf numFmtId="165" fontId="26" fillId="0" borderId="30" xfId="2" applyNumberFormat="1" applyFont="1" applyBorder="1" applyAlignment="1">
      <alignment vertical="center"/>
    </xf>
    <xf numFmtId="165" fontId="5" fillId="0" borderId="0" xfId="2" applyNumberFormat="1" applyFont="1" applyFill="1"/>
    <xf numFmtId="0" fontId="8" fillId="0" borderId="10" xfId="2" applyFont="1" applyFill="1" applyBorder="1" applyAlignment="1">
      <alignment vertical="center" wrapText="1"/>
    </xf>
    <xf numFmtId="165" fontId="26" fillId="0" borderId="10" xfId="2" applyNumberFormat="1" applyFont="1" applyFill="1" applyBorder="1" applyAlignment="1">
      <alignment vertical="center" wrapText="1"/>
    </xf>
    <xf numFmtId="165" fontId="26" fillId="0" borderId="33" xfId="2" applyNumberFormat="1" applyFont="1" applyBorder="1" applyAlignment="1">
      <alignment vertical="center" wrapText="1"/>
    </xf>
    <xf numFmtId="0" fontId="36" fillId="0" borderId="0" xfId="2" applyFont="1"/>
    <xf numFmtId="49" fontId="8" fillId="5" borderId="15" xfId="2" applyNumberFormat="1" applyFont="1" applyFill="1" applyBorder="1" applyAlignment="1">
      <alignment horizontal="left" vertical="center" wrapText="1"/>
    </xf>
    <xf numFmtId="0" fontId="8" fillId="5" borderId="15" xfId="2" applyFont="1" applyFill="1" applyBorder="1" applyAlignment="1">
      <alignment horizontal="left" vertical="center" wrapText="1"/>
    </xf>
    <xf numFmtId="0" fontId="8" fillId="5" borderId="9" xfId="2" applyFont="1" applyFill="1" applyBorder="1" applyAlignment="1">
      <alignment horizontal="center" vertical="center" wrapText="1"/>
    </xf>
    <xf numFmtId="0" fontId="8" fillId="5" borderId="15" xfId="2" applyFont="1" applyFill="1" applyBorder="1" applyAlignment="1">
      <alignment horizontal="center" vertical="center" wrapText="1"/>
    </xf>
    <xf numFmtId="1" fontId="8" fillId="5" borderId="15" xfId="2" applyNumberFormat="1" applyFont="1" applyFill="1" applyBorder="1" applyAlignment="1">
      <alignment horizontal="center" vertical="center" wrapText="1"/>
    </xf>
    <xf numFmtId="0" fontId="4" fillId="5" borderId="11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 wrapText="1"/>
    </xf>
    <xf numFmtId="1" fontId="8" fillId="6" borderId="15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8" fillId="6" borderId="15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1" fontId="4" fillId="6" borderId="15" xfId="2" applyNumberFormat="1" applyFont="1" applyFill="1" applyBorder="1" applyAlignment="1">
      <alignment horizontal="left" vertical="center" wrapText="1"/>
    </xf>
    <xf numFmtId="49" fontId="5" fillId="0" borderId="17" xfId="2" applyNumberFormat="1" applyFont="1" applyBorder="1" applyAlignment="1">
      <alignment horizontal="center" vertical="center"/>
    </xf>
    <xf numFmtId="0" fontId="5" fillId="0" borderId="108" xfId="2" applyFont="1" applyBorder="1" applyAlignment="1">
      <alignment horizontal="center" vertical="center"/>
    </xf>
    <xf numFmtId="49" fontId="26" fillId="6" borderId="11" xfId="2" applyNumberFormat="1" applyFont="1" applyFill="1" applyBorder="1" applyAlignment="1">
      <alignment horizontal="center" vertical="center" wrapText="1"/>
    </xf>
    <xf numFmtId="1" fontId="26" fillId="6" borderId="15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1" fontId="4" fillId="6" borderId="15" xfId="2" applyNumberFormat="1" applyFont="1" applyFill="1" applyBorder="1" applyAlignment="1">
      <alignment horizontal="center" vertical="center" wrapText="1"/>
    </xf>
    <xf numFmtId="3" fontId="10" fillId="0" borderId="18" xfId="2" applyNumberFormat="1" applyFont="1" applyFill="1" applyBorder="1" applyAlignment="1">
      <alignment vertical="center"/>
    </xf>
    <xf numFmtId="49" fontId="8" fillId="0" borderId="10" xfId="2" applyNumberFormat="1" applyFont="1" applyBorder="1" applyAlignment="1">
      <alignment horizontal="center"/>
    </xf>
    <xf numFmtId="49" fontId="12" fillId="0" borderId="10" xfId="2" applyNumberFormat="1" applyFont="1" applyBorder="1" applyAlignment="1">
      <alignment horizontal="center" vertical="center" wrapText="1"/>
    </xf>
    <xf numFmtId="49" fontId="31" fillId="0" borderId="10" xfId="2" applyNumberFormat="1" applyFont="1" applyBorder="1" applyAlignment="1">
      <alignment horizontal="center" vertical="center" wrapText="1"/>
    </xf>
    <xf numFmtId="16" fontId="4" fillId="0" borderId="118" xfId="2" applyNumberFormat="1" applyFont="1" applyBorder="1" applyAlignment="1">
      <alignment vertical="center"/>
    </xf>
    <xf numFmtId="16" fontId="14" fillId="0" borderId="118" xfId="2" applyNumberFormat="1" applyFont="1" applyBorder="1" applyAlignment="1">
      <alignment vertical="center"/>
    </xf>
    <xf numFmtId="3" fontId="11" fillId="0" borderId="28" xfId="2" applyNumberFormat="1" applyFont="1" applyBorder="1" applyAlignment="1">
      <alignment vertical="center" wrapText="1"/>
    </xf>
    <xf numFmtId="165" fontId="11" fillId="0" borderId="89" xfId="2" applyNumberFormat="1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13" fillId="0" borderId="15" xfId="2" applyFont="1" applyBorder="1" applyAlignment="1">
      <alignment vertical="center"/>
    </xf>
    <xf numFmtId="165" fontId="6" fillId="0" borderId="66" xfId="2" applyNumberFormat="1" applyFont="1" applyBorder="1" applyAlignment="1">
      <alignment vertical="center" wrapText="1"/>
    </xf>
    <xf numFmtId="0" fontId="4" fillId="0" borderId="7" xfId="2" quotePrefix="1" applyFont="1" applyBorder="1" applyAlignment="1">
      <alignment horizontal="center" vertical="center"/>
    </xf>
    <xf numFmtId="3" fontId="10" fillId="0" borderId="7" xfId="2" applyNumberFormat="1" applyFont="1" applyBorder="1" applyAlignment="1">
      <alignment vertical="center" wrapText="1"/>
    </xf>
    <xf numFmtId="165" fontId="10" fillId="0" borderId="7" xfId="2" applyNumberFormat="1" applyFont="1" applyBorder="1" applyAlignment="1">
      <alignment vertical="center" wrapText="1"/>
    </xf>
    <xf numFmtId="3" fontId="10" fillId="0" borderId="28" xfId="2" applyNumberFormat="1" applyFont="1" applyBorder="1" applyAlignment="1">
      <alignment vertical="center" wrapText="1"/>
    </xf>
    <xf numFmtId="3" fontId="10" fillId="0" borderId="83" xfId="2" applyNumberFormat="1" applyFont="1" applyBorder="1" applyAlignment="1">
      <alignment vertical="center" wrapText="1"/>
    </xf>
    <xf numFmtId="3" fontId="13" fillId="0" borderId="15" xfId="2" applyNumberFormat="1" applyFont="1" applyBorder="1" applyAlignment="1">
      <alignment vertical="center"/>
    </xf>
    <xf numFmtId="3" fontId="13" fillId="0" borderId="48" xfId="2" applyNumberFormat="1" applyFont="1" applyBorder="1" applyAlignment="1">
      <alignment vertical="center"/>
    </xf>
    <xf numFmtId="3" fontId="10" fillId="0" borderId="48" xfId="2" applyNumberFormat="1" applyFont="1" applyBorder="1" applyAlignment="1">
      <alignment vertical="center"/>
    </xf>
    <xf numFmtId="3" fontId="13" fillId="0" borderId="66" xfId="2" applyNumberFormat="1" applyFont="1" applyBorder="1" applyAlignment="1">
      <alignment vertical="center"/>
    </xf>
    <xf numFmtId="49" fontId="8" fillId="0" borderId="10" xfId="2" applyNumberFormat="1" applyFont="1" applyFill="1" applyBorder="1" applyAlignment="1">
      <alignment horizontal="center"/>
    </xf>
    <xf numFmtId="49" fontId="12" fillId="0" borderId="76" xfId="2" applyNumberFormat="1" applyFont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49" fontId="8" fillId="4" borderId="10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8" fillId="0" borderId="76" xfId="2" applyFont="1" applyBorder="1" applyAlignment="1">
      <alignment horizontal="center" vertical="center" wrapText="1"/>
    </xf>
    <xf numFmtId="3" fontId="10" fillId="0" borderId="28" xfId="2" applyNumberFormat="1" applyFont="1" applyFill="1" applyBorder="1" applyAlignment="1">
      <alignment vertical="center" wrapText="1"/>
    </xf>
    <xf numFmtId="165" fontId="10" fillId="0" borderId="28" xfId="2" applyNumberFormat="1" applyFont="1" applyBorder="1" applyAlignment="1">
      <alignment vertical="center" wrapText="1"/>
    </xf>
    <xf numFmtId="3" fontId="10" fillId="0" borderId="118" xfId="2" applyNumberFormat="1" applyFont="1" applyFill="1" applyBorder="1" applyAlignment="1">
      <alignment vertical="center" wrapText="1"/>
    </xf>
    <xf numFmtId="165" fontId="10" fillId="0" borderId="77" xfId="2" applyNumberFormat="1" applyFont="1" applyBorder="1" applyAlignment="1">
      <alignment vertical="center" wrapText="1"/>
    </xf>
    <xf numFmtId="165" fontId="10" fillId="0" borderId="83" xfId="2" applyNumberFormat="1" applyFont="1" applyFill="1" applyBorder="1" applyAlignment="1">
      <alignment vertical="center" wrapText="1"/>
    </xf>
    <xf numFmtId="3" fontId="13" fillId="0" borderId="15" xfId="2" applyNumberFormat="1" applyFont="1" applyFill="1" applyBorder="1" applyAlignment="1">
      <alignment vertical="center"/>
    </xf>
    <xf numFmtId="165" fontId="13" fillId="0" borderId="15" xfId="2" applyNumberFormat="1" applyFont="1" applyBorder="1" applyAlignment="1">
      <alignment vertical="center"/>
    </xf>
    <xf numFmtId="165" fontId="13" fillId="0" borderId="48" xfId="2" applyNumberFormat="1" applyFont="1" applyBorder="1" applyAlignment="1">
      <alignment vertical="center"/>
    </xf>
    <xf numFmtId="165" fontId="13" fillId="0" borderId="43" xfId="2" applyNumberFormat="1" applyFont="1" applyBorder="1" applyAlignment="1">
      <alignment vertical="center"/>
    </xf>
    <xf numFmtId="165" fontId="16" fillId="0" borderId="66" xfId="2" applyNumberFormat="1" applyFont="1" applyFill="1" applyBorder="1" applyAlignment="1">
      <alignment vertical="center" wrapText="1"/>
    </xf>
    <xf numFmtId="0" fontId="4" fillId="0" borderId="10" xfId="2" applyFont="1" applyBorder="1"/>
    <xf numFmtId="0" fontId="12" fillId="6" borderId="10" xfId="2" applyFont="1" applyFill="1" applyBorder="1" applyAlignment="1">
      <alignment horizontal="center" vertical="center" wrapText="1"/>
    </xf>
    <xf numFmtId="16" fontId="4" fillId="6" borderId="118" xfId="2" applyNumberFormat="1" applyFont="1" applyFill="1" applyBorder="1" applyAlignment="1">
      <alignment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12" fillId="0" borderId="10" xfId="2" applyNumberFormat="1" applyFont="1" applyFill="1" applyBorder="1" applyAlignment="1">
      <alignment horizontal="center" vertical="center" wrapText="1"/>
    </xf>
    <xf numFmtId="0" fontId="0" fillId="0" borderId="35" xfId="2" applyFont="1" applyBorder="1" applyAlignment="1">
      <alignment vertical="top"/>
    </xf>
    <xf numFmtId="49" fontId="12" fillId="6" borderId="10" xfId="2" applyNumberFormat="1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center" vertical="center" wrapText="1"/>
    </xf>
    <xf numFmtId="1" fontId="4" fillId="0" borderId="10" xfId="2" applyNumberFormat="1" applyFont="1" applyFill="1" applyBorder="1" applyAlignment="1">
      <alignment horizontal="center" vertical="center" wrapText="1"/>
    </xf>
    <xf numFmtId="165" fontId="29" fillId="0" borderId="17" xfId="2" applyNumberFormat="1" applyFont="1" applyBorder="1" applyAlignment="1">
      <alignment vertical="center" wrapText="1"/>
    </xf>
    <xf numFmtId="49" fontId="8" fillId="6" borderId="6" xfId="2" applyNumberFormat="1" applyFont="1" applyFill="1" applyBorder="1" applyAlignment="1">
      <alignment horizontal="center"/>
    </xf>
    <xf numFmtId="3" fontId="10" fillId="0" borderId="97" xfId="2" applyNumberFormat="1" applyFont="1" applyBorder="1" applyAlignment="1">
      <alignment vertical="center" wrapText="1"/>
    </xf>
    <xf numFmtId="0" fontId="4" fillId="0" borderId="112" xfId="2" applyFont="1" applyBorder="1" applyAlignment="1">
      <alignment horizontal="center"/>
    </xf>
    <xf numFmtId="0" fontId="4" fillId="0" borderId="113" xfId="2" applyFont="1" applyBorder="1" applyAlignment="1">
      <alignment horizontal="center"/>
    </xf>
    <xf numFmtId="0" fontId="4" fillId="0" borderId="114" xfId="2" applyFont="1" applyBorder="1" applyAlignment="1">
      <alignment horizontal="center"/>
    </xf>
    <xf numFmtId="0" fontId="4" fillId="2" borderId="112" xfId="0" applyFont="1" applyFill="1" applyBorder="1" applyAlignment="1" applyProtection="1">
      <alignment horizontal="center"/>
      <protection hidden="1"/>
    </xf>
    <xf numFmtId="0" fontId="4" fillId="2" borderId="114" xfId="0" applyFont="1" applyFill="1" applyBorder="1" applyAlignment="1" applyProtection="1">
      <alignment horizontal="center"/>
      <protection hidden="1"/>
    </xf>
    <xf numFmtId="0" fontId="4" fillId="0" borderId="115" xfId="2" applyFont="1" applyBorder="1" applyAlignment="1">
      <alignment horizontal="center"/>
    </xf>
    <xf numFmtId="0" fontId="4" fillId="0" borderId="92" xfId="2" applyFont="1" applyBorder="1" applyAlignment="1">
      <alignment horizontal="center"/>
    </xf>
    <xf numFmtId="0" fontId="4" fillId="0" borderId="93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 vertical="top"/>
    </xf>
    <xf numFmtId="0" fontId="28" fillId="0" borderId="0" xfId="2" applyFont="1" applyBorder="1" applyAlignment="1">
      <alignment horizontal="center" vertical="top" wrapText="1"/>
    </xf>
    <xf numFmtId="0" fontId="6" fillId="0" borderId="102" xfId="2" applyFont="1" applyBorder="1" applyAlignment="1">
      <alignment horizontal="center"/>
    </xf>
    <xf numFmtId="0" fontId="4" fillId="2" borderId="112" xfId="0" applyFont="1" applyFill="1" applyBorder="1" applyAlignment="1">
      <alignment horizontal="center"/>
    </xf>
    <xf numFmtId="0" fontId="4" fillId="2" borderId="1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5" xfId="0" applyFont="1" applyFill="1" applyBorder="1" applyAlignment="1">
      <alignment horizontal="center"/>
    </xf>
    <xf numFmtId="0" fontId="4" fillId="2" borderId="92" xfId="0" applyFont="1" applyFill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0" fontId="28" fillId="0" borderId="0" xfId="2" applyFont="1" applyBorder="1" applyAlignment="1">
      <alignment horizontal="center" wrapText="1"/>
    </xf>
    <xf numFmtId="0" fontId="6" fillId="0" borderId="116" xfId="2" applyFont="1" applyBorder="1" applyAlignment="1">
      <alignment horizontal="center"/>
    </xf>
    <xf numFmtId="0" fontId="6" fillId="0" borderId="117" xfId="2" applyFont="1" applyBorder="1" applyAlignment="1">
      <alignment horizontal="center"/>
    </xf>
    <xf numFmtId="0" fontId="6" fillId="0" borderId="119" xfId="2" applyFont="1" applyBorder="1" applyAlignment="1">
      <alignment horizontal="center"/>
    </xf>
    <xf numFmtId="0" fontId="6" fillId="0" borderId="62" xfId="2" applyFont="1" applyBorder="1" applyAlignment="1">
      <alignment horizontal="center"/>
    </xf>
    <xf numFmtId="0" fontId="8" fillId="0" borderId="62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4" fillId="0" borderId="120" xfId="2" applyFont="1" applyBorder="1" applyAlignment="1">
      <alignment horizontal="center" vertical="center"/>
    </xf>
    <xf numFmtId="3" fontId="6" fillId="0" borderId="120" xfId="2" applyNumberFormat="1" applyFont="1" applyBorder="1" applyAlignment="1">
      <alignment horizontal="right" vertical="center" wrapText="1"/>
    </xf>
    <xf numFmtId="165" fontId="6" fillId="3" borderId="62" xfId="2" applyNumberFormat="1" applyFont="1" applyFill="1" applyBorder="1" applyAlignment="1">
      <alignment vertical="center" wrapText="1"/>
    </xf>
    <xf numFmtId="165" fontId="11" fillId="0" borderId="64" xfId="2" applyNumberFormat="1" applyFont="1" applyBorder="1" applyAlignment="1">
      <alignment vertical="center" wrapText="1"/>
    </xf>
    <xf numFmtId="165" fontId="11" fillId="0" borderId="62" xfId="2" applyNumberFormat="1" applyFont="1" applyBorder="1" applyAlignment="1">
      <alignment vertical="center" wrapText="1"/>
    </xf>
    <xf numFmtId="165" fontId="6" fillId="0" borderId="64" xfId="2" applyNumberFormat="1" applyFont="1" applyBorder="1" applyAlignment="1">
      <alignment vertical="center" wrapText="1"/>
    </xf>
    <xf numFmtId="165" fontId="10" fillId="0" borderId="109" xfId="2" applyNumberFormat="1" applyFont="1" applyBorder="1" applyAlignment="1">
      <alignment vertical="center"/>
    </xf>
    <xf numFmtId="165" fontId="10" fillId="0" borderId="61" xfId="2" applyNumberFormat="1" applyFont="1" applyBorder="1" applyAlignment="1">
      <alignment vertical="center"/>
    </xf>
    <xf numFmtId="165" fontId="10" fillId="0" borderId="121" xfId="2" applyNumberFormat="1" applyFont="1" applyBorder="1" applyAlignment="1">
      <alignment vertical="center"/>
    </xf>
    <xf numFmtId="3" fontId="11" fillId="0" borderId="77" xfId="2" applyNumberFormat="1" applyFont="1" applyBorder="1" applyAlignment="1">
      <alignment vertical="center" wrapText="1"/>
    </xf>
    <xf numFmtId="165" fontId="11" fillId="0" borderId="61" xfId="2" applyNumberFormat="1" applyFont="1" applyBorder="1" applyAlignment="1">
      <alignment vertical="center" wrapText="1"/>
    </xf>
    <xf numFmtId="0" fontId="4" fillId="0" borderId="122" xfId="2" applyFont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8" fillId="0" borderId="22" xfId="2" applyFont="1" applyFill="1" applyBorder="1" applyAlignment="1">
      <alignment horizontal="center"/>
    </xf>
    <xf numFmtId="3" fontId="9" fillId="0" borderId="43" xfId="2" applyNumberFormat="1" applyFont="1" applyFill="1" applyBorder="1" applyAlignment="1">
      <alignment horizontal="right" vertical="center" wrapText="1"/>
    </xf>
    <xf numFmtId="3" fontId="9" fillId="0" borderId="22" xfId="2" applyNumberFormat="1" applyFont="1" applyBorder="1" applyAlignment="1">
      <alignment horizontal="right" vertical="center" wrapText="1"/>
    </xf>
    <xf numFmtId="3" fontId="4" fillId="0" borderId="22" xfId="2" applyNumberFormat="1" applyFont="1" applyBorder="1" applyAlignment="1">
      <alignment vertical="center" wrapText="1"/>
    </xf>
    <xf numFmtId="3" fontId="4" fillId="0" borderId="101" xfId="2" applyNumberFormat="1" applyFont="1" applyBorder="1" applyAlignment="1">
      <alignment vertical="center" wrapText="1"/>
    </xf>
    <xf numFmtId="165" fontId="8" fillId="3" borderId="22" xfId="2" applyNumberFormat="1" applyFont="1" applyFill="1" applyBorder="1" applyAlignment="1">
      <alignment vertical="center" wrapText="1"/>
    </xf>
    <xf numFmtId="165" fontId="6" fillId="3" borderId="22" xfId="2" applyNumberFormat="1" applyFont="1" applyFill="1" applyBorder="1" applyAlignment="1">
      <alignment vertical="center" wrapText="1"/>
    </xf>
    <xf numFmtId="3" fontId="9" fillId="0" borderId="38" xfId="2" applyNumberFormat="1" applyFont="1" applyBorder="1" applyAlignment="1">
      <alignment horizontal="right" vertical="center" wrapText="1"/>
    </xf>
    <xf numFmtId="165" fontId="11" fillId="0" borderId="22" xfId="2" applyNumberFormat="1" applyFont="1" applyBorder="1" applyAlignment="1">
      <alignment vertical="center" wrapText="1"/>
    </xf>
    <xf numFmtId="165" fontId="6" fillId="0" borderId="21" xfId="2" applyNumberFormat="1" applyFont="1" applyBorder="1" applyAlignment="1">
      <alignment vertical="center" wrapText="1"/>
    </xf>
    <xf numFmtId="165" fontId="16" fillId="6" borderId="22" xfId="2" applyNumberFormat="1" applyFont="1" applyFill="1" applyBorder="1" applyAlignment="1">
      <alignment vertical="center" wrapText="1"/>
    </xf>
    <xf numFmtId="165" fontId="16" fillId="6" borderId="8" xfId="2" applyNumberFormat="1" applyFont="1" applyFill="1" applyBorder="1" applyAlignment="1">
      <alignment vertical="center" wrapText="1"/>
    </xf>
  </cellXfs>
  <cellStyles count="3">
    <cellStyle name="Ezres" xfId="1" builtinId="3"/>
    <cellStyle name="Normál" xfId="0" builtinId="0"/>
    <cellStyle name="Normál_SajatHK2005_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7"/>
  <sheetViews>
    <sheetView tabSelected="1" topLeftCell="A7" zoomScale="75" zoomScaleNormal="75" workbookViewId="0">
      <pane xSplit="3" ySplit="148" topLeftCell="F155" activePane="bottomRight" state="frozen"/>
      <selection activeCell="A7" sqref="A7"/>
      <selection pane="topRight" activeCell="D7" sqref="D7"/>
      <selection pane="bottomLeft" activeCell="A155" sqref="A155"/>
      <selection pane="bottomRight" activeCell="A184" sqref="A184"/>
    </sheetView>
  </sheetViews>
  <sheetFormatPr defaultRowHeight="16.5" x14ac:dyDescent="0.25"/>
  <cols>
    <col min="1" max="1" width="5.5703125" style="1" customWidth="1"/>
    <col min="2" max="2" width="10.5703125" style="1" hidden="1" customWidth="1"/>
    <col min="3" max="3" width="48.7109375" style="2" customWidth="1"/>
    <col min="4" max="4" width="15" style="2" customWidth="1"/>
    <col min="5" max="5" width="13.28515625" style="2" customWidth="1"/>
    <col min="6" max="6" width="14.7109375" style="2" customWidth="1"/>
    <col min="7" max="7" width="13.28515625" style="2" customWidth="1"/>
    <col min="8" max="8" width="15.42578125" style="2" customWidth="1"/>
    <col min="9" max="11" width="13.7109375" style="2" customWidth="1"/>
    <col min="12" max="12" width="16.7109375" style="2" customWidth="1"/>
    <col min="13" max="13" width="14.42578125" style="2" customWidth="1"/>
    <col min="14" max="14" width="13.7109375" style="2" customWidth="1"/>
    <col min="15" max="15" width="15.7109375" style="2" customWidth="1"/>
    <col min="16" max="16" width="0.85546875" style="2" customWidth="1"/>
    <col min="17" max="17" width="15.85546875" style="2" customWidth="1"/>
    <col min="18" max="20" width="13.7109375" style="2" customWidth="1"/>
    <col min="21" max="21" width="15.7109375" style="2" customWidth="1"/>
    <col min="22" max="22" width="1.85546875" style="2" customWidth="1"/>
    <col min="23" max="23" width="17.7109375" style="2" customWidth="1"/>
    <col min="24" max="29" width="9.140625" style="2"/>
    <col min="30" max="31" width="10.7109375" style="2" customWidth="1"/>
    <col min="32" max="32" width="10.28515625" style="2" customWidth="1"/>
    <col min="33" max="33" width="10" style="2" customWidth="1"/>
    <col min="34" max="34" width="10.28515625" style="2" customWidth="1"/>
    <col min="35" max="35" width="10.7109375" style="2" customWidth="1"/>
    <col min="36" max="36" width="10.5703125" style="2" customWidth="1"/>
    <col min="37" max="40" width="9.140625" style="2"/>
    <col min="41" max="41" width="11" style="2" customWidth="1"/>
    <col min="42" max="16384" width="9.140625" style="2"/>
  </cols>
  <sheetData>
    <row r="1" spans="1:35" ht="20.25" customHeight="1" x14ac:dyDescent="0.25">
      <c r="W1" s="180" t="s">
        <v>68</v>
      </c>
    </row>
    <row r="2" spans="1:35" ht="30" customHeight="1" x14ac:dyDescent="0.3">
      <c r="A2" s="725" t="s">
        <v>0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</row>
    <row r="3" spans="1:35" ht="9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35" ht="50.1" customHeight="1" x14ac:dyDescent="0.2">
      <c r="A4" s="726" t="s">
        <v>558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</row>
    <row r="5" spans="1:35" ht="12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5" ht="17.2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 t="s">
        <v>1</v>
      </c>
    </row>
    <row r="7" spans="1:35" ht="18" customHeight="1" x14ac:dyDescent="0.25">
      <c r="A7" s="7"/>
      <c r="B7" s="8"/>
      <c r="C7" s="9"/>
      <c r="D7" s="717" t="s">
        <v>93</v>
      </c>
      <c r="E7" s="718"/>
      <c r="F7" s="719"/>
      <c r="G7" s="375"/>
      <c r="H7" s="376"/>
      <c r="I7" s="377" t="s">
        <v>4</v>
      </c>
      <c r="J7" s="720" t="s">
        <v>101</v>
      </c>
      <c r="K7" s="721"/>
      <c r="L7" s="375"/>
      <c r="M7" s="378" t="s">
        <v>102</v>
      </c>
      <c r="N7" s="379"/>
      <c r="O7" s="380" t="s">
        <v>109</v>
      </c>
      <c r="P7" s="381"/>
      <c r="Q7" s="722" t="s">
        <v>111</v>
      </c>
      <c r="R7" s="723"/>
      <c r="S7" s="723"/>
      <c r="T7" s="724"/>
      <c r="U7" s="381" t="s">
        <v>120</v>
      </c>
      <c r="V7" s="380"/>
      <c r="W7" s="10" t="s">
        <v>2</v>
      </c>
    </row>
    <row r="8" spans="1:35" x14ac:dyDescent="0.25">
      <c r="A8" s="11"/>
      <c r="B8" s="12"/>
      <c r="C8" s="13" t="s">
        <v>3</v>
      </c>
      <c r="D8" s="16" t="s">
        <v>94</v>
      </c>
      <c r="E8" s="13" t="s">
        <v>95</v>
      </c>
      <c r="F8" s="4" t="s">
        <v>96</v>
      </c>
      <c r="G8" s="17" t="s">
        <v>103</v>
      </c>
      <c r="H8" s="17" t="s">
        <v>5</v>
      </c>
      <c r="I8" s="17" t="s">
        <v>15</v>
      </c>
      <c r="J8" s="13" t="s">
        <v>6</v>
      </c>
      <c r="K8" s="13" t="s">
        <v>104</v>
      </c>
      <c r="L8" s="371" t="s">
        <v>78</v>
      </c>
      <c r="M8" s="13" t="s">
        <v>105</v>
      </c>
      <c r="N8" s="17" t="s">
        <v>4</v>
      </c>
      <c r="O8" s="372" t="s">
        <v>110</v>
      </c>
      <c r="P8" s="373"/>
      <c r="Q8" s="17" t="s">
        <v>112</v>
      </c>
      <c r="R8" s="17" t="s">
        <v>113</v>
      </c>
      <c r="S8" s="17" t="s">
        <v>201</v>
      </c>
      <c r="T8" s="17" t="s">
        <v>4</v>
      </c>
      <c r="U8" s="373" t="s">
        <v>121</v>
      </c>
      <c r="V8" s="372"/>
      <c r="W8" s="15" t="s">
        <v>7</v>
      </c>
    </row>
    <row r="9" spans="1:35" x14ac:dyDescent="0.25">
      <c r="A9" s="18" t="s">
        <v>8</v>
      </c>
      <c r="B9" s="13"/>
      <c r="C9" s="13" t="s">
        <v>9</v>
      </c>
      <c r="D9" s="17" t="s">
        <v>15</v>
      </c>
      <c r="E9" s="13" t="s">
        <v>97</v>
      </c>
      <c r="F9" s="4" t="s">
        <v>58</v>
      </c>
      <c r="G9" s="17" t="s">
        <v>10</v>
      </c>
      <c r="H9" s="13" t="s">
        <v>10</v>
      </c>
      <c r="I9" s="13" t="s">
        <v>11</v>
      </c>
      <c r="J9" s="13" t="s">
        <v>11</v>
      </c>
      <c r="K9" s="13" t="s">
        <v>58</v>
      </c>
      <c r="L9" s="282" t="s">
        <v>79</v>
      </c>
      <c r="M9" s="17" t="s">
        <v>106</v>
      </c>
      <c r="N9" s="17" t="s">
        <v>80</v>
      </c>
      <c r="O9" s="372" t="s">
        <v>10</v>
      </c>
      <c r="P9" s="373"/>
      <c r="Q9" s="17" t="s">
        <v>114</v>
      </c>
      <c r="R9" s="17" t="s">
        <v>115</v>
      </c>
      <c r="S9" s="17" t="s">
        <v>202</v>
      </c>
      <c r="T9" s="17" t="s">
        <v>160</v>
      </c>
      <c r="U9" s="373" t="s">
        <v>10</v>
      </c>
      <c r="V9" s="372"/>
      <c r="W9" s="15" t="s">
        <v>12</v>
      </c>
    </row>
    <row r="10" spans="1:35" x14ac:dyDescent="0.25">
      <c r="A10" s="11"/>
      <c r="B10" s="12"/>
      <c r="C10" s="13" t="s">
        <v>13</v>
      </c>
      <c r="D10" s="17" t="s">
        <v>98</v>
      </c>
      <c r="E10" s="13" t="s">
        <v>99</v>
      </c>
      <c r="F10" s="4" t="s">
        <v>100</v>
      </c>
      <c r="G10" s="17"/>
      <c r="H10" s="13"/>
      <c r="I10" s="13" t="s">
        <v>77</v>
      </c>
      <c r="J10" s="13" t="s">
        <v>107</v>
      </c>
      <c r="K10" s="13" t="s">
        <v>100</v>
      </c>
      <c r="L10" s="13" t="s">
        <v>10</v>
      </c>
      <c r="M10" s="17" t="s">
        <v>35</v>
      </c>
      <c r="N10" s="17" t="s">
        <v>108</v>
      </c>
      <c r="O10" s="372" t="s">
        <v>12</v>
      </c>
      <c r="P10" s="373"/>
      <c r="Q10" s="17" t="s">
        <v>116</v>
      </c>
      <c r="R10" s="17" t="s">
        <v>117</v>
      </c>
      <c r="S10" s="17" t="s">
        <v>203</v>
      </c>
      <c r="T10" s="17" t="s">
        <v>161</v>
      </c>
      <c r="U10" s="373" t="s">
        <v>12</v>
      </c>
      <c r="V10" s="372"/>
      <c r="W10" s="19" t="s">
        <v>123</v>
      </c>
    </row>
    <row r="11" spans="1:35" x14ac:dyDescent="0.25">
      <c r="A11" s="11"/>
      <c r="B11" s="12"/>
      <c r="C11" s="13"/>
      <c r="D11" s="17"/>
      <c r="E11" s="13" t="s">
        <v>16</v>
      </c>
      <c r="F11" s="4" t="s">
        <v>76</v>
      </c>
      <c r="G11" s="17"/>
      <c r="H11" s="13"/>
      <c r="I11" s="13" t="s">
        <v>17</v>
      </c>
      <c r="J11" s="13" t="s">
        <v>44</v>
      </c>
      <c r="K11" s="13" t="s">
        <v>76</v>
      </c>
      <c r="L11" s="13"/>
      <c r="M11" s="20" t="s">
        <v>14</v>
      </c>
      <c r="N11" s="20" t="s">
        <v>17</v>
      </c>
      <c r="O11" s="4" t="s">
        <v>119</v>
      </c>
      <c r="P11" s="374"/>
      <c r="Q11" s="17" t="s">
        <v>16</v>
      </c>
      <c r="R11" s="20" t="s">
        <v>118</v>
      </c>
      <c r="S11" s="20" t="s">
        <v>204</v>
      </c>
      <c r="T11" s="20" t="s">
        <v>10</v>
      </c>
      <c r="U11" s="20" t="s">
        <v>122</v>
      </c>
      <c r="V11" s="4"/>
      <c r="W11" s="15"/>
    </row>
    <row r="12" spans="1:35" hidden="1" x14ac:dyDescent="0.25">
      <c r="A12" s="107"/>
      <c r="B12" s="108"/>
      <c r="C12" s="109"/>
      <c r="D12" s="16" t="s">
        <v>182</v>
      </c>
      <c r="E12" s="109" t="s">
        <v>183</v>
      </c>
      <c r="F12" s="110" t="s">
        <v>184</v>
      </c>
      <c r="G12" s="16" t="s">
        <v>185</v>
      </c>
      <c r="H12" s="109" t="s">
        <v>186</v>
      </c>
      <c r="I12" s="109" t="s">
        <v>187</v>
      </c>
      <c r="J12" s="109" t="s">
        <v>188</v>
      </c>
      <c r="K12" s="118" t="s">
        <v>189</v>
      </c>
      <c r="L12" s="109" t="s">
        <v>190</v>
      </c>
      <c r="M12" s="111" t="s">
        <v>191</v>
      </c>
      <c r="N12" s="112" t="s">
        <v>192</v>
      </c>
      <c r="O12" s="110"/>
      <c r="P12" s="20"/>
      <c r="Q12" s="16" t="s">
        <v>193</v>
      </c>
      <c r="R12" s="112" t="s">
        <v>194</v>
      </c>
      <c r="S12" s="112" t="s">
        <v>195</v>
      </c>
      <c r="T12" s="109" t="s">
        <v>196</v>
      </c>
      <c r="U12" s="16"/>
      <c r="V12" s="113"/>
      <c r="W12" s="383"/>
    </row>
    <row r="13" spans="1:35" ht="20.25" customHeight="1" x14ac:dyDescent="0.2">
      <c r="A13" s="186">
        <v>1</v>
      </c>
      <c r="B13" s="210"/>
      <c r="C13" s="210">
        <v>2</v>
      </c>
      <c r="D13" s="210">
        <v>3</v>
      </c>
      <c r="E13" s="210">
        <v>4</v>
      </c>
      <c r="F13" s="210">
        <v>5</v>
      </c>
      <c r="G13" s="210">
        <v>6</v>
      </c>
      <c r="H13" s="210">
        <v>7</v>
      </c>
      <c r="I13" s="210">
        <v>8</v>
      </c>
      <c r="J13" s="210">
        <v>9</v>
      </c>
      <c r="K13" s="210">
        <v>10</v>
      </c>
      <c r="L13" s="210">
        <v>11</v>
      </c>
      <c r="M13" s="210">
        <v>12</v>
      </c>
      <c r="N13" s="210">
        <v>13</v>
      </c>
      <c r="O13" s="210">
        <v>14</v>
      </c>
      <c r="P13" s="210"/>
      <c r="Q13" s="210">
        <v>15</v>
      </c>
      <c r="R13" s="210">
        <v>16</v>
      </c>
      <c r="S13" s="210">
        <v>17</v>
      </c>
      <c r="T13" s="210">
        <v>18</v>
      </c>
      <c r="U13" s="210">
        <v>19</v>
      </c>
      <c r="V13" s="211"/>
      <c r="W13" s="212">
        <v>20</v>
      </c>
    </row>
    <row r="14" spans="1:35" ht="22.5" hidden="1" customHeight="1" x14ac:dyDescent="0.25">
      <c r="A14" s="22"/>
      <c r="B14" s="23"/>
      <c r="C14" s="24" t="s">
        <v>51</v>
      </c>
      <c r="D14" s="25">
        <v>2224638.2550000004</v>
      </c>
      <c r="E14" s="25">
        <v>0</v>
      </c>
      <c r="F14" s="25">
        <v>52185</v>
      </c>
      <c r="G14" s="25">
        <v>8854057</v>
      </c>
      <c r="H14" s="25">
        <v>2343272.7450000001</v>
      </c>
      <c r="I14" s="151">
        <v>0</v>
      </c>
      <c r="J14" s="25">
        <v>50000</v>
      </c>
      <c r="K14" s="25">
        <v>1050154</v>
      </c>
      <c r="L14" s="151">
        <v>1511000</v>
      </c>
      <c r="M14" s="25">
        <v>16300</v>
      </c>
      <c r="N14" s="25">
        <v>9</v>
      </c>
      <c r="O14" s="382">
        <f>SUM(D14:N14)</f>
        <v>16101616</v>
      </c>
      <c r="P14" s="25"/>
      <c r="Q14" s="25">
        <v>2110000</v>
      </c>
      <c r="R14" s="25">
        <v>861226</v>
      </c>
      <c r="S14" s="25">
        <v>0</v>
      </c>
      <c r="T14" s="25">
        <v>0</v>
      </c>
      <c r="U14" s="382">
        <f>SUM(Q14:T14)</f>
        <v>2971226</v>
      </c>
      <c r="V14" s="150"/>
      <c r="W14" s="136">
        <f>O14+U14</f>
        <v>19072842</v>
      </c>
    </row>
    <row r="15" spans="1:35" ht="20.100000000000001" hidden="1" customHeight="1" x14ac:dyDescent="0.25">
      <c r="A15" s="153"/>
      <c r="B15" s="27" t="s">
        <v>49</v>
      </c>
      <c r="C15" s="28" t="s">
        <v>82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35"/>
      <c r="V15" s="80"/>
      <c r="W15" s="384">
        <f>O15+U15</f>
        <v>0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</row>
    <row r="16" spans="1:35" ht="20.100000000000001" hidden="1" customHeight="1" x14ac:dyDescent="0.25">
      <c r="A16" s="153"/>
      <c r="B16" s="27"/>
      <c r="C16" s="24" t="s">
        <v>18</v>
      </c>
      <c r="D16" s="148">
        <f>SUM(D14:D15)</f>
        <v>2224638.2550000004</v>
      </c>
      <c r="E16" s="148">
        <f t="shared" ref="E16:U16" si="0">SUM(E14:E15)</f>
        <v>0</v>
      </c>
      <c r="F16" s="148">
        <f t="shared" si="0"/>
        <v>52185</v>
      </c>
      <c r="G16" s="148">
        <f t="shared" si="0"/>
        <v>8854057</v>
      </c>
      <c r="H16" s="148">
        <f t="shared" si="0"/>
        <v>2343272.7450000001</v>
      </c>
      <c r="I16" s="148">
        <f t="shared" si="0"/>
        <v>0</v>
      </c>
      <c r="J16" s="148">
        <f t="shared" si="0"/>
        <v>50000</v>
      </c>
      <c r="K16" s="148">
        <f t="shared" si="0"/>
        <v>1050154</v>
      </c>
      <c r="L16" s="148">
        <f t="shared" si="0"/>
        <v>1511000</v>
      </c>
      <c r="M16" s="148">
        <f t="shared" si="0"/>
        <v>16300</v>
      </c>
      <c r="N16" s="148">
        <f t="shared" si="0"/>
        <v>9</v>
      </c>
      <c r="O16" s="148">
        <f t="shared" si="0"/>
        <v>16101616</v>
      </c>
      <c r="P16" s="148"/>
      <c r="Q16" s="148">
        <f t="shared" si="0"/>
        <v>2110000</v>
      </c>
      <c r="R16" s="148">
        <f t="shared" si="0"/>
        <v>861226</v>
      </c>
      <c r="S16" s="148">
        <f t="shared" si="0"/>
        <v>0</v>
      </c>
      <c r="T16" s="148">
        <f t="shared" si="0"/>
        <v>0</v>
      </c>
      <c r="U16" s="148">
        <f t="shared" si="0"/>
        <v>2971226</v>
      </c>
      <c r="V16" s="396"/>
      <c r="W16" s="385">
        <f>SUM(W14:W15)</f>
        <v>19072842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</row>
    <row r="17" spans="1:35" ht="35.1" hidden="1" customHeight="1" x14ac:dyDescent="0.25">
      <c r="A17" s="79">
        <v>1</v>
      </c>
      <c r="B17" s="559" t="s">
        <v>209</v>
      </c>
      <c r="C17" s="28" t="s">
        <v>211</v>
      </c>
      <c r="D17" s="564"/>
      <c r="E17" s="564"/>
      <c r="F17" s="564">
        <f>922.75</f>
        <v>922.75</v>
      </c>
      <c r="G17" s="564"/>
      <c r="H17" s="564"/>
      <c r="I17" s="564"/>
      <c r="J17" s="565"/>
      <c r="K17" s="564"/>
      <c r="L17" s="564"/>
      <c r="M17" s="564"/>
      <c r="N17" s="564"/>
      <c r="O17" s="564">
        <f t="shared" ref="O17:O31" si="1">SUM(D17:N17)</f>
        <v>922.75</v>
      </c>
      <c r="P17" s="569"/>
      <c r="Q17" s="572"/>
      <c r="R17" s="572"/>
      <c r="S17" s="572"/>
      <c r="T17" s="572"/>
      <c r="U17" s="573">
        <f t="shared" ref="U17:U31" si="2">SUM(Q17:T17)</f>
        <v>0</v>
      </c>
      <c r="V17" s="574"/>
      <c r="W17" s="575">
        <f t="shared" ref="W17:W31" si="3">O17+U17</f>
        <v>922.75</v>
      </c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</row>
    <row r="18" spans="1:35" ht="35.1" hidden="1" customHeight="1" x14ac:dyDescent="0.25">
      <c r="A18" s="79">
        <v>2</v>
      </c>
      <c r="B18" s="133" t="s">
        <v>230</v>
      </c>
      <c r="C18" s="28" t="s">
        <v>233</v>
      </c>
      <c r="D18" s="564"/>
      <c r="E18" s="564"/>
      <c r="F18" s="564">
        <f>675</f>
        <v>675</v>
      </c>
      <c r="G18" s="564"/>
      <c r="H18" s="564"/>
      <c r="I18" s="564"/>
      <c r="J18" s="565"/>
      <c r="K18" s="564"/>
      <c r="L18" s="564"/>
      <c r="M18" s="564"/>
      <c r="N18" s="564"/>
      <c r="O18" s="564">
        <f t="shared" si="1"/>
        <v>675</v>
      </c>
      <c r="P18" s="569"/>
      <c r="Q18" s="572"/>
      <c r="R18" s="572"/>
      <c r="S18" s="572"/>
      <c r="T18" s="572"/>
      <c r="U18" s="573">
        <f t="shared" si="2"/>
        <v>0</v>
      </c>
      <c r="V18" s="574"/>
      <c r="W18" s="575">
        <f t="shared" si="3"/>
        <v>675</v>
      </c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9"/>
    </row>
    <row r="19" spans="1:35" ht="35.1" hidden="1" customHeight="1" x14ac:dyDescent="0.25">
      <c r="A19" s="79">
        <v>3</v>
      </c>
      <c r="B19" s="133" t="s">
        <v>232</v>
      </c>
      <c r="C19" s="28" t="s">
        <v>234</v>
      </c>
      <c r="D19" s="564"/>
      <c r="E19" s="564"/>
      <c r="F19" s="584"/>
      <c r="G19" s="564"/>
      <c r="H19" s="564">
        <f>1600+432</f>
        <v>2032</v>
      </c>
      <c r="I19" s="564"/>
      <c r="J19" s="565"/>
      <c r="K19" s="564"/>
      <c r="L19" s="564"/>
      <c r="M19" s="564"/>
      <c r="N19" s="564"/>
      <c r="O19" s="564">
        <f t="shared" si="1"/>
        <v>2032</v>
      </c>
      <c r="P19" s="569"/>
      <c r="Q19" s="572"/>
      <c r="R19" s="572"/>
      <c r="S19" s="572"/>
      <c r="T19" s="572"/>
      <c r="U19" s="573">
        <f t="shared" si="2"/>
        <v>0</v>
      </c>
      <c r="V19" s="574"/>
      <c r="W19" s="575">
        <f t="shared" si="3"/>
        <v>2032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</row>
    <row r="20" spans="1:35" ht="35.1" hidden="1" customHeight="1" x14ac:dyDescent="0.25">
      <c r="A20" s="79">
        <v>4</v>
      </c>
      <c r="B20" s="559" t="s">
        <v>235</v>
      </c>
      <c r="C20" s="28" t="s">
        <v>236</v>
      </c>
      <c r="D20" s="564"/>
      <c r="E20" s="564"/>
      <c r="F20" s="584"/>
      <c r="G20" s="564"/>
      <c r="H20" s="564"/>
      <c r="I20" s="564"/>
      <c r="J20" s="565"/>
      <c r="K20" s="564"/>
      <c r="L20" s="564"/>
      <c r="M20" s="564"/>
      <c r="N20" s="564">
        <f>950</f>
        <v>950</v>
      </c>
      <c r="O20" s="564">
        <f t="shared" si="1"/>
        <v>950</v>
      </c>
      <c r="P20" s="569"/>
      <c r="Q20" s="572"/>
      <c r="R20" s="572"/>
      <c r="S20" s="572"/>
      <c r="T20" s="572"/>
      <c r="U20" s="573">
        <f t="shared" si="2"/>
        <v>0</v>
      </c>
      <c r="V20" s="574"/>
      <c r="W20" s="575">
        <f t="shared" si="3"/>
        <v>950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</row>
    <row r="21" spans="1:35" ht="35.1" hidden="1" customHeight="1" x14ac:dyDescent="0.25">
      <c r="A21" s="79">
        <v>5</v>
      </c>
      <c r="B21" s="559" t="s">
        <v>253</v>
      </c>
      <c r="C21" s="28" t="s">
        <v>254</v>
      </c>
      <c r="D21" s="564">
        <f>2855.044+7337.331</f>
        <v>10192.375</v>
      </c>
      <c r="E21" s="564"/>
      <c r="F21" s="584"/>
      <c r="G21" s="564"/>
      <c r="H21" s="564">
        <f>-10192.375</f>
        <v>-10192.375</v>
      </c>
      <c r="I21" s="564"/>
      <c r="J21" s="565"/>
      <c r="K21" s="564"/>
      <c r="L21" s="564"/>
      <c r="M21" s="564"/>
      <c r="N21" s="564"/>
      <c r="O21" s="564">
        <f t="shared" si="1"/>
        <v>0</v>
      </c>
      <c r="P21" s="569"/>
      <c r="Q21" s="572"/>
      <c r="R21" s="572"/>
      <c r="S21" s="572"/>
      <c r="T21" s="572"/>
      <c r="U21" s="573">
        <f t="shared" si="2"/>
        <v>0</v>
      </c>
      <c r="V21" s="574"/>
      <c r="W21" s="575">
        <f t="shared" si="3"/>
        <v>0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</row>
    <row r="22" spans="1:35" ht="35.1" hidden="1" customHeight="1" x14ac:dyDescent="0.25">
      <c r="A22" s="79">
        <v>6</v>
      </c>
      <c r="B22" s="559" t="s">
        <v>251</v>
      </c>
      <c r="C22" s="28" t="s">
        <v>257</v>
      </c>
      <c r="D22" s="564">
        <v>2989.6190000000001</v>
      </c>
      <c r="E22" s="564"/>
      <c r="F22" s="584"/>
      <c r="G22" s="564"/>
      <c r="H22" s="564"/>
      <c r="I22" s="564"/>
      <c r="J22" s="565"/>
      <c r="K22" s="564"/>
      <c r="L22" s="564"/>
      <c r="M22" s="564"/>
      <c r="N22" s="564"/>
      <c r="O22" s="564">
        <f t="shared" si="1"/>
        <v>2989.6190000000001</v>
      </c>
      <c r="P22" s="569"/>
      <c r="Q22" s="572"/>
      <c r="R22" s="572"/>
      <c r="S22" s="572"/>
      <c r="T22" s="572"/>
      <c r="U22" s="573">
        <f t="shared" si="2"/>
        <v>0</v>
      </c>
      <c r="V22" s="574"/>
      <c r="W22" s="575">
        <f t="shared" si="3"/>
        <v>2989.6190000000001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</row>
    <row r="23" spans="1:35" ht="35.1" hidden="1" customHeight="1" x14ac:dyDescent="0.25">
      <c r="A23" s="79">
        <v>7</v>
      </c>
      <c r="B23" s="559" t="s">
        <v>251</v>
      </c>
      <c r="C23" s="28" t="s">
        <v>258</v>
      </c>
      <c r="D23" s="564">
        <v>3433.4059999999999</v>
      </c>
      <c r="E23" s="564"/>
      <c r="F23" s="584"/>
      <c r="G23" s="564"/>
      <c r="H23" s="564"/>
      <c r="I23" s="564"/>
      <c r="J23" s="565"/>
      <c r="K23" s="564"/>
      <c r="L23" s="564"/>
      <c r="M23" s="564"/>
      <c r="N23" s="564"/>
      <c r="O23" s="564">
        <f t="shared" si="1"/>
        <v>3433.4059999999999</v>
      </c>
      <c r="P23" s="569"/>
      <c r="Q23" s="572"/>
      <c r="R23" s="572"/>
      <c r="S23" s="572"/>
      <c r="T23" s="572"/>
      <c r="U23" s="573">
        <f t="shared" si="2"/>
        <v>0</v>
      </c>
      <c r="V23" s="574"/>
      <c r="W23" s="575">
        <f t="shared" si="3"/>
        <v>3433.4059999999999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</row>
    <row r="24" spans="1:35" ht="35.1" hidden="1" customHeight="1" x14ac:dyDescent="0.25">
      <c r="A24" s="79">
        <v>8</v>
      </c>
      <c r="B24" s="133" t="s">
        <v>251</v>
      </c>
      <c r="C24" s="28" t="s">
        <v>252</v>
      </c>
      <c r="D24" s="564">
        <f>578.62</f>
        <v>578.62</v>
      </c>
      <c r="E24" s="564"/>
      <c r="F24" s="584"/>
      <c r="G24" s="564"/>
      <c r="H24" s="564"/>
      <c r="I24" s="564"/>
      <c r="J24" s="565"/>
      <c r="K24" s="564"/>
      <c r="L24" s="564"/>
      <c r="M24" s="564"/>
      <c r="N24" s="564"/>
      <c r="O24" s="564">
        <f t="shared" si="1"/>
        <v>578.62</v>
      </c>
      <c r="P24" s="569"/>
      <c r="Q24" s="572"/>
      <c r="R24" s="572"/>
      <c r="S24" s="572"/>
      <c r="T24" s="572"/>
      <c r="U24" s="573">
        <f t="shared" si="2"/>
        <v>0</v>
      </c>
      <c r="V24" s="574"/>
      <c r="W24" s="575">
        <f t="shared" si="3"/>
        <v>578.62</v>
      </c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</row>
    <row r="25" spans="1:35" ht="35.1" hidden="1" customHeight="1" x14ac:dyDescent="0.25">
      <c r="A25" s="79">
        <v>9</v>
      </c>
      <c r="B25" s="559" t="s">
        <v>259</v>
      </c>
      <c r="C25" s="28" t="s">
        <v>263</v>
      </c>
      <c r="D25" s="564">
        <f>15336.021</f>
        <v>15336.021000000001</v>
      </c>
      <c r="E25" s="564"/>
      <c r="F25" s="584"/>
      <c r="G25" s="564"/>
      <c r="H25" s="564"/>
      <c r="I25" s="564"/>
      <c r="J25" s="565"/>
      <c r="K25" s="564"/>
      <c r="L25" s="564"/>
      <c r="M25" s="564"/>
      <c r="N25" s="564"/>
      <c r="O25" s="564">
        <f t="shared" si="1"/>
        <v>15336.021000000001</v>
      </c>
      <c r="P25" s="569"/>
      <c r="Q25" s="572"/>
      <c r="R25" s="572"/>
      <c r="S25" s="572"/>
      <c r="T25" s="572"/>
      <c r="U25" s="573">
        <f t="shared" si="2"/>
        <v>0</v>
      </c>
      <c r="V25" s="574"/>
      <c r="W25" s="575">
        <f t="shared" si="3"/>
        <v>15336.021000000001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</row>
    <row r="26" spans="1:35" ht="35.1" hidden="1" customHeight="1" x14ac:dyDescent="0.25">
      <c r="A26" s="79">
        <v>10</v>
      </c>
      <c r="B26" s="133" t="s">
        <v>273</v>
      </c>
      <c r="C26" s="28" t="s">
        <v>274</v>
      </c>
      <c r="D26" s="564"/>
      <c r="E26" s="564"/>
      <c r="F26" s="584"/>
      <c r="G26" s="564"/>
      <c r="H26" s="564"/>
      <c r="I26" s="564"/>
      <c r="J26" s="565"/>
      <c r="K26" s="564"/>
      <c r="M26" s="564"/>
      <c r="N26" s="564"/>
      <c r="O26" s="564">
        <f t="shared" si="1"/>
        <v>0</v>
      </c>
      <c r="P26" s="569"/>
      <c r="Q26" s="564">
        <v>3850000</v>
      </c>
      <c r="R26" s="572"/>
      <c r="S26" s="572"/>
      <c r="T26" s="572"/>
      <c r="U26" s="573">
        <f t="shared" si="2"/>
        <v>3850000</v>
      </c>
      <c r="V26" s="574"/>
      <c r="W26" s="575">
        <f t="shared" si="3"/>
        <v>3850000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</row>
    <row r="27" spans="1:35" ht="35.1" hidden="1" customHeight="1" x14ac:dyDescent="0.25">
      <c r="A27" s="79"/>
      <c r="B27" s="133" t="s">
        <v>275</v>
      </c>
      <c r="C27" s="28" t="s">
        <v>278</v>
      </c>
      <c r="D27" s="564"/>
      <c r="E27" s="564"/>
      <c r="F27" s="565"/>
      <c r="G27" s="564"/>
      <c r="H27" s="564"/>
      <c r="I27" s="564"/>
      <c r="J27" s="565"/>
      <c r="K27" s="564"/>
      <c r="L27" s="564"/>
      <c r="M27" s="564"/>
      <c r="N27" s="564"/>
      <c r="O27" s="564">
        <f t="shared" si="1"/>
        <v>0</v>
      </c>
      <c r="P27" s="569"/>
      <c r="Q27" s="572"/>
      <c r="R27" s="572"/>
      <c r="S27" s="572"/>
      <c r="T27" s="572"/>
      <c r="U27" s="573">
        <f t="shared" si="2"/>
        <v>0</v>
      </c>
      <c r="V27" s="574"/>
      <c r="W27" s="575">
        <f t="shared" si="3"/>
        <v>0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</row>
    <row r="28" spans="1:35" ht="35.1" hidden="1" customHeight="1" x14ac:dyDescent="0.25">
      <c r="A28" s="613"/>
      <c r="B28" s="616" t="s">
        <v>276</v>
      </c>
      <c r="C28" s="615" t="s">
        <v>277</v>
      </c>
      <c r="D28" s="564"/>
      <c r="E28" s="564"/>
      <c r="F28" s="565"/>
      <c r="G28" s="564"/>
      <c r="H28" s="564"/>
      <c r="I28" s="564"/>
      <c r="J28" s="565"/>
      <c r="K28" s="564"/>
      <c r="L28" s="564"/>
      <c r="M28" s="564"/>
      <c r="N28" s="564"/>
      <c r="O28" s="564">
        <f>SUM(D28:N28)</f>
        <v>0</v>
      </c>
      <c r="P28" s="569"/>
      <c r="Q28" s="572"/>
      <c r="R28" s="572"/>
      <c r="S28" s="572"/>
      <c r="T28" s="572"/>
      <c r="U28" s="573">
        <f>SUM(Q28:T28)</f>
        <v>0</v>
      </c>
      <c r="V28" s="574"/>
      <c r="W28" s="575">
        <f>O28+U28</f>
        <v>0</v>
      </c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/>
    </row>
    <row r="29" spans="1:35" ht="35.1" hidden="1" customHeight="1" x14ac:dyDescent="0.25">
      <c r="A29" s="79">
        <v>11</v>
      </c>
      <c r="B29" s="133" t="s">
        <v>285</v>
      </c>
      <c r="C29" s="28" t="s">
        <v>234</v>
      </c>
      <c r="D29" s="564"/>
      <c r="E29" s="564"/>
      <c r="F29" s="565"/>
      <c r="G29" s="564"/>
      <c r="H29" s="564">
        <f>1200+324</f>
        <v>1524</v>
      </c>
      <c r="I29" s="564"/>
      <c r="J29" s="565"/>
      <c r="K29" s="564"/>
      <c r="L29" s="564"/>
      <c r="M29" s="564"/>
      <c r="N29" s="564"/>
      <c r="O29" s="564">
        <f t="shared" si="1"/>
        <v>1524</v>
      </c>
      <c r="P29" s="569"/>
      <c r="Q29" s="572"/>
      <c r="R29" s="572"/>
      <c r="S29" s="572"/>
      <c r="T29" s="572"/>
      <c r="U29" s="573">
        <f t="shared" si="2"/>
        <v>0</v>
      </c>
      <c r="V29" s="574"/>
      <c r="W29" s="575">
        <f t="shared" si="3"/>
        <v>1524</v>
      </c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</row>
    <row r="30" spans="1:35" ht="35.1" hidden="1" customHeight="1" x14ac:dyDescent="0.25">
      <c r="A30" s="79">
        <v>12</v>
      </c>
      <c r="B30" s="133" t="s">
        <v>288</v>
      </c>
      <c r="C30" s="28" t="s">
        <v>234</v>
      </c>
      <c r="D30" s="564"/>
      <c r="E30" s="564"/>
      <c r="F30" s="565"/>
      <c r="G30" s="564"/>
      <c r="H30" s="564">
        <f>1778</f>
        <v>1778</v>
      </c>
      <c r="I30" s="564"/>
      <c r="J30" s="565"/>
      <c r="K30" s="564"/>
      <c r="L30" s="564"/>
      <c r="M30" s="564"/>
      <c r="N30" s="564"/>
      <c r="O30" s="564">
        <f t="shared" si="1"/>
        <v>1778</v>
      </c>
      <c r="P30" s="569"/>
      <c r="Q30" s="572"/>
      <c r="R30" s="572"/>
      <c r="S30" s="572"/>
      <c r="T30" s="572"/>
      <c r="U30" s="573">
        <f t="shared" si="2"/>
        <v>0</v>
      </c>
      <c r="V30" s="574"/>
      <c r="W30" s="575">
        <f t="shared" si="3"/>
        <v>1778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</row>
    <row r="31" spans="1:35" ht="30" hidden="1" customHeight="1" x14ac:dyDescent="0.25">
      <c r="A31" s="79">
        <v>13</v>
      </c>
      <c r="B31" s="559" t="s">
        <v>291</v>
      </c>
      <c r="C31" s="28" t="s">
        <v>290</v>
      </c>
      <c r="D31" s="564"/>
      <c r="E31" s="564"/>
      <c r="F31" s="564"/>
      <c r="G31" s="564"/>
      <c r="H31" s="564"/>
      <c r="I31" s="564">
        <f>1800</f>
        <v>1800</v>
      </c>
      <c r="J31" s="564"/>
      <c r="K31" s="564"/>
      <c r="L31" s="564"/>
      <c r="M31" s="564"/>
      <c r="N31" s="564"/>
      <c r="O31" s="564">
        <f t="shared" si="1"/>
        <v>1800</v>
      </c>
      <c r="P31" s="569"/>
      <c r="Q31" s="572"/>
      <c r="R31" s="572"/>
      <c r="S31" s="572"/>
      <c r="T31" s="572"/>
      <c r="U31" s="573">
        <f t="shared" si="2"/>
        <v>0</v>
      </c>
      <c r="V31" s="574"/>
      <c r="W31" s="575">
        <f t="shared" si="3"/>
        <v>1800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</row>
    <row r="32" spans="1:35" ht="30" hidden="1" customHeight="1" x14ac:dyDescent="0.25">
      <c r="A32" s="79"/>
      <c r="B32" s="133" t="s">
        <v>302</v>
      </c>
      <c r="C32" s="28" t="s">
        <v>301</v>
      </c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>
        <f t="shared" ref="O32:O43" si="4">SUM(D32:N32)</f>
        <v>0</v>
      </c>
      <c r="P32" s="569"/>
      <c r="Q32" s="564"/>
      <c r="R32" s="572"/>
      <c r="S32" s="572"/>
      <c r="T32" s="572"/>
      <c r="U32" s="573">
        <f t="shared" ref="U32:U43" si="5">SUM(Q32:T32)</f>
        <v>0</v>
      </c>
      <c r="V32" s="574"/>
      <c r="W32" s="575">
        <f t="shared" ref="W32:W43" si="6">O32+U32</f>
        <v>0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</row>
    <row r="33" spans="1:35" ht="30" hidden="1" customHeight="1" x14ac:dyDescent="0.25">
      <c r="A33" s="79"/>
      <c r="B33" s="133" t="s">
        <v>303</v>
      </c>
      <c r="C33" s="28" t="s">
        <v>305</v>
      </c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>
        <f t="shared" si="4"/>
        <v>0</v>
      </c>
      <c r="P33" s="569"/>
      <c r="Q33" s="572"/>
      <c r="R33" s="564"/>
      <c r="S33" s="572"/>
      <c r="T33" s="572"/>
      <c r="U33" s="573">
        <f t="shared" si="5"/>
        <v>0</v>
      </c>
      <c r="V33" s="574"/>
      <c r="W33" s="575">
        <f t="shared" si="6"/>
        <v>0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</row>
    <row r="34" spans="1:35" ht="30" hidden="1" customHeight="1" x14ac:dyDescent="0.25">
      <c r="A34" s="79"/>
      <c r="B34" s="618" t="s">
        <v>304</v>
      </c>
      <c r="C34" s="28" t="s">
        <v>306</v>
      </c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>
        <f t="shared" si="4"/>
        <v>0</v>
      </c>
      <c r="P34" s="569"/>
      <c r="Q34" s="572"/>
      <c r="R34" s="572"/>
      <c r="S34" s="572"/>
      <c r="T34" s="572"/>
      <c r="U34" s="573">
        <f t="shared" si="5"/>
        <v>0</v>
      </c>
      <c r="V34" s="574"/>
      <c r="W34" s="575">
        <f t="shared" si="6"/>
        <v>0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</row>
    <row r="35" spans="1:35" ht="30" hidden="1" customHeight="1" x14ac:dyDescent="0.25">
      <c r="A35" s="79"/>
      <c r="B35" s="133"/>
      <c r="C35" s="28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>
        <f t="shared" si="4"/>
        <v>0</v>
      </c>
      <c r="P35" s="569"/>
      <c r="Q35" s="572"/>
      <c r="R35" s="572"/>
      <c r="S35" s="572"/>
      <c r="T35" s="572"/>
      <c r="U35" s="573">
        <f t="shared" si="5"/>
        <v>0</v>
      </c>
      <c r="V35" s="574"/>
      <c r="W35" s="575">
        <f t="shared" si="6"/>
        <v>0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</row>
    <row r="36" spans="1:35" ht="30" hidden="1" customHeight="1" x14ac:dyDescent="0.25">
      <c r="A36" s="79"/>
      <c r="B36" s="133"/>
      <c r="C36" s="28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>
        <f t="shared" si="4"/>
        <v>0</v>
      </c>
      <c r="P36" s="569"/>
      <c r="Q36" s="572"/>
      <c r="R36" s="572"/>
      <c r="S36" s="572"/>
      <c r="T36" s="572"/>
      <c r="U36" s="573">
        <f t="shared" si="5"/>
        <v>0</v>
      </c>
      <c r="V36" s="574"/>
      <c r="W36" s="575">
        <f t="shared" si="6"/>
        <v>0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</row>
    <row r="37" spans="1:35" ht="30" hidden="1" customHeight="1" x14ac:dyDescent="0.25">
      <c r="A37" s="79"/>
      <c r="B37" s="133"/>
      <c r="C37" s="28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>
        <f>SUM(D37:N37)</f>
        <v>0</v>
      </c>
      <c r="P37" s="569"/>
      <c r="Q37" s="572"/>
      <c r="R37" s="572"/>
      <c r="S37" s="572"/>
      <c r="T37" s="572"/>
      <c r="U37" s="573">
        <f>SUM(Q37:T37)</f>
        <v>0</v>
      </c>
      <c r="V37" s="574"/>
      <c r="W37" s="575">
        <f>O37+U37</f>
        <v>0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</row>
    <row r="38" spans="1:35" ht="30" hidden="1" customHeight="1" x14ac:dyDescent="0.25">
      <c r="A38" s="79"/>
      <c r="B38" s="133"/>
      <c r="C38" s="28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>
        <f t="shared" si="4"/>
        <v>0</v>
      </c>
      <c r="P38" s="569"/>
      <c r="Q38" s="572"/>
      <c r="R38" s="572"/>
      <c r="S38" s="572"/>
      <c r="T38" s="572"/>
      <c r="U38" s="573">
        <f t="shared" si="5"/>
        <v>0</v>
      </c>
      <c r="V38" s="574"/>
      <c r="W38" s="575">
        <f t="shared" si="6"/>
        <v>0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</row>
    <row r="39" spans="1:35" ht="30" hidden="1" customHeight="1" x14ac:dyDescent="0.25">
      <c r="A39" s="79"/>
      <c r="B39" s="133"/>
      <c r="C39" s="28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>
        <f t="shared" si="4"/>
        <v>0</v>
      </c>
      <c r="P39" s="569"/>
      <c r="Q39" s="572"/>
      <c r="R39" s="572"/>
      <c r="S39" s="572"/>
      <c r="T39" s="572"/>
      <c r="U39" s="573">
        <f t="shared" si="5"/>
        <v>0</v>
      </c>
      <c r="V39" s="574"/>
      <c r="W39" s="575">
        <f t="shared" si="6"/>
        <v>0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/>
    </row>
    <row r="40" spans="1:35" ht="30" hidden="1" customHeight="1" x14ac:dyDescent="0.25">
      <c r="A40" s="79"/>
      <c r="B40" s="133"/>
      <c r="C40" s="28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>
        <f t="shared" si="4"/>
        <v>0</v>
      </c>
      <c r="P40" s="569"/>
      <c r="Q40" s="572"/>
      <c r="R40" s="572"/>
      <c r="S40" s="572"/>
      <c r="T40" s="572"/>
      <c r="U40" s="573">
        <f t="shared" si="5"/>
        <v>0</v>
      </c>
      <c r="V40" s="574"/>
      <c r="W40" s="575">
        <f t="shared" si="6"/>
        <v>0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/>
    </row>
    <row r="41" spans="1:35" ht="30" hidden="1" customHeight="1" x14ac:dyDescent="0.25">
      <c r="A41" s="79"/>
      <c r="B41" s="133"/>
      <c r="C41" s="28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>
        <f t="shared" si="4"/>
        <v>0</v>
      </c>
      <c r="P41" s="569"/>
      <c r="Q41" s="572"/>
      <c r="R41" s="572"/>
      <c r="S41" s="572"/>
      <c r="T41" s="572"/>
      <c r="U41" s="573">
        <f t="shared" si="5"/>
        <v>0</v>
      </c>
      <c r="V41" s="574"/>
      <c r="W41" s="575">
        <f t="shared" si="6"/>
        <v>0</v>
      </c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9"/>
    </row>
    <row r="42" spans="1:35" ht="30" hidden="1" customHeight="1" x14ac:dyDescent="0.25">
      <c r="A42" s="79"/>
      <c r="B42" s="133"/>
      <c r="C42" s="28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>
        <f t="shared" si="4"/>
        <v>0</v>
      </c>
      <c r="P42" s="569"/>
      <c r="Q42" s="572"/>
      <c r="R42" s="572"/>
      <c r="S42" s="572"/>
      <c r="T42" s="572"/>
      <c r="U42" s="573">
        <f t="shared" si="5"/>
        <v>0</v>
      </c>
      <c r="V42" s="574"/>
      <c r="W42" s="575">
        <f t="shared" si="6"/>
        <v>0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9"/>
    </row>
    <row r="43" spans="1:35" ht="30" hidden="1" customHeight="1" x14ac:dyDescent="0.25">
      <c r="A43" s="79"/>
      <c r="B43" s="133"/>
      <c r="C43" s="28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>
        <f t="shared" si="4"/>
        <v>0</v>
      </c>
      <c r="P43" s="569"/>
      <c r="Q43" s="572"/>
      <c r="R43" s="572"/>
      <c r="S43" s="572"/>
      <c r="T43" s="572"/>
      <c r="U43" s="573">
        <f t="shared" si="5"/>
        <v>0</v>
      </c>
      <c r="V43" s="574"/>
      <c r="W43" s="575">
        <f t="shared" si="6"/>
        <v>0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9"/>
    </row>
    <row r="44" spans="1:35" ht="30" hidden="1" customHeight="1" x14ac:dyDescent="0.25">
      <c r="A44" s="79"/>
      <c r="B44" s="133"/>
      <c r="C44" s="38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>
        <f>SUM(D44:N44)</f>
        <v>0</v>
      </c>
      <c r="P44" s="569"/>
      <c r="Q44" s="572"/>
      <c r="R44" s="572"/>
      <c r="S44" s="572"/>
      <c r="T44" s="572"/>
      <c r="U44" s="573">
        <f>SUM(Q44:T44)</f>
        <v>0</v>
      </c>
      <c r="V44" s="574"/>
      <c r="W44" s="575">
        <f>O44+U44</f>
        <v>0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9"/>
    </row>
    <row r="45" spans="1:35" ht="35.1" hidden="1" customHeight="1" thickBot="1" x14ac:dyDescent="0.3">
      <c r="A45" s="67"/>
      <c r="B45" s="114"/>
      <c r="C45" s="28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4"/>
      <c r="P45" s="569"/>
      <c r="Q45" s="569"/>
      <c r="R45" s="569"/>
      <c r="S45" s="569"/>
      <c r="T45" s="569"/>
      <c r="U45" s="576"/>
      <c r="V45" s="577"/>
      <c r="W45" s="57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9"/>
    </row>
    <row r="46" spans="1:35" ht="35.1" hidden="1" customHeight="1" thickTop="1" thickBot="1" x14ac:dyDescent="0.3">
      <c r="A46" s="35"/>
      <c r="B46" s="36"/>
      <c r="C46" s="43" t="s">
        <v>19</v>
      </c>
      <c r="D46" s="416">
        <f t="shared" ref="D46:O46" si="7">SUM(D17:D45)</f>
        <v>32530.041000000001</v>
      </c>
      <c r="E46" s="416">
        <f t="shared" si="7"/>
        <v>0</v>
      </c>
      <c r="F46" s="416">
        <f t="shared" si="7"/>
        <v>1597.75</v>
      </c>
      <c r="G46" s="416">
        <f t="shared" si="7"/>
        <v>0</v>
      </c>
      <c r="H46" s="416">
        <f t="shared" si="7"/>
        <v>-4858.375</v>
      </c>
      <c r="I46" s="416">
        <f t="shared" si="7"/>
        <v>1800</v>
      </c>
      <c r="J46" s="416">
        <f t="shared" si="7"/>
        <v>0</v>
      </c>
      <c r="K46" s="416">
        <f t="shared" si="7"/>
        <v>0</v>
      </c>
      <c r="L46" s="416">
        <f t="shared" si="7"/>
        <v>0</v>
      </c>
      <c r="M46" s="416">
        <f t="shared" si="7"/>
        <v>0</v>
      </c>
      <c r="N46" s="416">
        <f t="shared" si="7"/>
        <v>950</v>
      </c>
      <c r="O46" s="416">
        <f t="shared" si="7"/>
        <v>32019.416000000005</v>
      </c>
      <c r="P46" s="416"/>
      <c r="Q46" s="416">
        <f>SUM(Q17:Q45)</f>
        <v>3850000</v>
      </c>
      <c r="R46" s="416">
        <f>SUM(R17:R45)</f>
        <v>0</v>
      </c>
      <c r="S46" s="416">
        <f>SUM(S17:S45)</f>
        <v>0</v>
      </c>
      <c r="T46" s="416">
        <f>SUM(T17:T45)</f>
        <v>0</v>
      </c>
      <c r="U46" s="416">
        <f>SUM(U17:U45)</f>
        <v>3850000</v>
      </c>
      <c r="V46" s="417"/>
      <c r="W46" s="418">
        <f>SUM(W17:W45)</f>
        <v>3882019.4160000002</v>
      </c>
    </row>
    <row r="47" spans="1:35" ht="35.1" hidden="1" customHeight="1" thickTop="1" thickBot="1" x14ac:dyDescent="0.3">
      <c r="A47" s="35"/>
      <c r="B47" s="36"/>
      <c r="C47" s="43" t="s">
        <v>124</v>
      </c>
      <c r="D47" s="579">
        <f t="shared" ref="D47:O47" si="8">D16+D46</f>
        <v>2257168.2960000006</v>
      </c>
      <c r="E47" s="579">
        <f t="shared" si="8"/>
        <v>0</v>
      </c>
      <c r="F47" s="579">
        <f t="shared" si="8"/>
        <v>53782.75</v>
      </c>
      <c r="G47" s="579">
        <f t="shared" si="8"/>
        <v>8854057</v>
      </c>
      <c r="H47" s="579">
        <f t="shared" si="8"/>
        <v>2338414.37</v>
      </c>
      <c r="I47" s="579">
        <f t="shared" si="8"/>
        <v>1800</v>
      </c>
      <c r="J47" s="579">
        <f t="shared" si="8"/>
        <v>50000</v>
      </c>
      <c r="K47" s="579">
        <f t="shared" si="8"/>
        <v>1050154</v>
      </c>
      <c r="L47" s="579">
        <f t="shared" si="8"/>
        <v>1511000</v>
      </c>
      <c r="M47" s="579">
        <f t="shared" si="8"/>
        <v>16300</v>
      </c>
      <c r="N47" s="579">
        <f t="shared" si="8"/>
        <v>959</v>
      </c>
      <c r="O47" s="580">
        <f t="shared" si="8"/>
        <v>16133635.415999999</v>
      </c>
      <c r="P47" s="580"/>
      <c r="Q47" s="580">
        <f>Q16+Q46</f>
        <v>5960000</v>
      </c>
      <c r="R47" s="580">
        <f>R16+R46</f>
        <v>861226</v>
      </c>
      <c r="S47" s="580">
        <f>S16+S46</f>
        <v>0</v>
      </c>
      <c r="T47" s="580">
        <f>T16+T46</f>
        <v>0</v>
      </c>
      <c r="U47" s="580">
        <f>U16+U46</f>
        <v>6821226</v>
      </c>
      <c r="V47" s="581"/>
      <c r="W47" s="582">
        <f t="shared" ref="W47:W92" si="9">O47+U47</f>
        <v>22954861.416000001</v>
      </c>
    </row>
    <row r="48" spans="1:35" ht="35.1" hidden="1" customHeight="1" thickTop="1" thickBot="1" x14ac:dyDescent="0.3">
      <c r="A48" s="35"/>
      <c r="B48" s="36"/>
      <c r="C48" s="38" t="s">
        <v>199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80"/>
      <c r="O48" s="580"/>
      <c r="P48" s="580"/>
      <c r="Q48" s="580"/>
      <c r="R48" s="580">
        <v>3162371.2149999999</v>
      </c>
      <c r="S48" s="580"/>
      <c r="T48" s="580"/>
      <c r="U48" s="579">
        <f>SUM(Q48:T48)</f>
        <v>3162371.2149999999</v>
      </c>
      <c r="V48" s="583"/>
      <c r="W48" s="582">
        <f t="shared" si="9"/>
        <v>3162371.2149999999</v>
      </c>
    </row>
    <row r="49" spans="1:23" ht="35.1" hidden="1" customHeight="1" thickTop="1" thickBot="1" x14ac:dyDescent="0.3">
      <c r="A49" s="35"/>
      <c r="B49" s="555" t="s">
        <v>144</v>
      </c>
      <c r="C49" s="43" t="s">
        <v>200</v>
      </c>
      <c r="D49" s="579">
        <f t="shared" ref="D49:U49" si="10">D47+D48</f>
        <v>2257168.2960000006</v>
      </c>
      <c r="E49" s="579">
        <f t="shared" si="10"/>
        <v>0</v>
      </c>
      <c r="F49" s="579">
        <f t="shared" si="10"/>
        <v>53782.75</v>
      </c>
      <c r="G49" s="579">
        <f t="shared" si="10"/>
        <v>8854057</v>
      </c>
      <c r="H49" s="579">
        <f t="shared" si="10"/>
        <v>2338414.37</v>
      </c>
      <c r="I49" s="579">
        <f t="shared" si="10"/>
        <v>1800</v>
      </c>
      <c r="J49" s="579">
        <f t="shared" si="10"/>
        <v>50000</v>
      </c>
      <c r="K49" s="579">
        <f t="shared" si="10"/>
        <v>1050154</v>
      </c>
      <c r="L49" s="579">
        <f t="shared" si="10"/>
        <v>1511000</v>
      </c>
      <c r="M49" s="579">
        <f t="shared" si="10"/>
        <v>16300</v>
      </c>
      <c r="N49" s="579">
        <f t="shared" si="10"/>
        <v>959</v>
      </c>
      <c r="O49" s="580">
        <f t="shared" si="10"/>
        <v>16133635.415999999</v>
      </c>
      <c r="P49" s="580"/>
      <c r="Q49" s="580">
        <f t="shared" si="10"/>
        <v>5960000</v>
      </c>
      <c r="R49" s="580">
        <f t="shared" si="10"/>
        <v>4023597.2149999999</v>
      </c>
      <c r="S49" s="580">
        <f t="shared" si="10"/>
        <v>0</v>
      </c>
      <c r="T49" s="580">
        <f t="shared" si="10"/>
        <v>0</v>
      </c>
      <c r="U49" s="579">
        <f t="shared" si="10"/>
        <v>9983597.2149999999</v>
      </c>
      <c r="V49" s="583"/>
      <c r="W49" s="582">
        <f t="shared" si="9"/>
        <v>26117232.630999997</v>
      </c>
    </row>
    <row r="50" spans="1:23" ht="24.95" hidden="1" customHeight="1" x14ac:dyDescent="0.25">
      <c r="A50" s="22"/>
      <c r="B50" s="23"/>
      <c r="C50" s="214" t="s">
        <v>18</v>
      </c>
      <c r="D50" s="25">
        <f t="shared" ref="D50:U50" si="11">D49</f>
        <v>2257168.2960000006</v>
      </c>
      <c r="E50" s="25">
        <f t="shared" si="11"/>
        <v>0</v>
      </c>
      <c r="F50" s="25">
        <f t="shared" si="11"/>
        <v>53782.75</v>
      </c>
      <c r="G50" s="25">
        <f t="shared" si="11"/>
        <v>8854057</v>
      </c>
      <c r="H50" s="25">
        <f t="shared" si="11"/>
        <v>2338414.37</v>
      </c>
      <c r="I50" s="25">
        <f t="shared" si="11"/>
        <v>1800</v>
      </c>
      <c r="J50" s="25">
        <f t="shared" si="11"/>
        <v>50000</v>
      </c>
      <c r="K50" s="25">
        <f t="shared" si="11"/>
        <v>1050154</v>
      </c>
      <c r="L50" s="25">
        <f t="shared" si="11"/>
        <v>1511000</v>
      </c>
      <c r="M50" s="25">
        <f t="shared" si="11"/>
        <v>16300</v>
      </c>
      <c r="N50" s="25">
        <f t="shared" si="11"/>
        <v>959</v>
      </c>
      <c r="O50" s="25">
        <f t="shared" si="11"/>
        <v>16133635.415999999</v>
      </c>
      <c r="P50" s="25"/>
      <c r="Q50" s="25">
        <f t="shared" si="11"/>
        <v>5960000</v>
      </c>
      <c r="R50" s="25">
        <f>R49</f>
        <v>4023597.2149999999</v>
      </c>
      <c r="S50" s="25">
        <f>S49</f>
        <v>0</v>
      </c>
      <c r="T50" s="25">
        <f t="shared" si="11"/>
        <v>0</v>
      </c>
      <c r="U50" s="25">
        <f t="shared" si="11"/>
        <v>9983597.2149999999</v>
      </c>
      <c r="V50" s="137"/>
      <c r="W50" s="386">
        <f t="shared" si="9"/>
        <v>26117232.630999997</v>
      </c>
    </row>
    <row r="51" spans="1:23" ht="24.95" hidden="1" customHeight="1" x14ac:dyDescent="0.2">
      <c r="A51" s="220">
        <v>1</v>
      </c>
      <c r="B51" s="451" t="s">
        <v>331</v>
      </c>
      <c r="C51" s="40" t="s">
        <v>333</v>
      </c>
      <c r="D51" s="167"/>
      <c r="E51" s="167"/>
      <c r="F51" s="167">
        <f>61</f>
        <v>61</v>
      </c>
      <c r="H51" s="167"/>
      <c r="I51" s="167">
        <f>1</f>
        <v>1</v>
      </c>
      <c r="J51" s="167"/>
      <c r="K51" s="167"/>
      <c r="L51" s="167"/>
      <c r="M51" s="167"/>
      <c r="N51" s="167"/>
      <c r="O51" s="167">
        <f t="shared" ref="O51:O91" si="12">SUM(D51:N51)</f>
        <v>62</v>
      </c>
      <c r="P51" s="167"/>
      <c r="Q51" s="167"/>
      <c r="R51" s="167"/>
      <c r="S51" s="167"/>
      <c r="T51" s="167"/>
      <c r="U51" s="167">
        <f t="shared" ref="U51:U91" si="13">SUM(Q51:T51)</f>
        <v>0</v>
      </c>
      <c r="V51" s="398"/>
      <c r="W51" s="387">
        <f t="shared" si="9"/>
        <v>62</v>
      </c>
    </row>
    <row r="52" spans="1:23" ht="24.95" hidden="1" customHeight="1" x14ac:dyDescent="0.2">
      <c r="A52" s="220">
        <v>2</v>
      </c>
      <c r="B52" s="451" t="s">
        <v>332</v>
      </c>
      <c r="C52" s="40" t="s">
        <v>234</v>
      </c>
      <c r="D52" s="167"/>
      <c r="E52" s="167"/>
      <c r="F52" s="167"/>
      <c r="H52" s="167">
        <f>800+216</f>
        <v>1016</v>
      </c>
      <c r="I52" s="167"/>
      <c r="J52" s="167"/>
      <c r="K52" s="167"/>
      <c r="L52" s="167"/>
      <c r="M52" s="167"/>
      <c r="N52" s="167"/>
      <c r="O52" s="167">
        <f t="shared" si="12"/>
        <v>1016</v>
      </c>
      <c r="P52" s="167"/>
      <c r="Q52" s="167"/>
      <c r="R52" s="167"/>
      <c r="S52" s="167"/>
      <c r="T52" s="167"/>
      <c r="U52" s="167">
        <f t="shared" si="13"/>
        <v>0</v>
      </c>
      <c r="V52" s="398"/>
      <c r="W52" s="387">
        <f t="shared" si="9"/>
        <v>1016</v>
      </c>
    </row>
    <row r="53" spans="1:23" ht="24.95" hidden="1" customHeight="1" x14ac:dyDescent="0.2">
      <c r="A53" s="220">
        <v>3</v>
      </c>
      <c r="B53" s="451" t="s">
        <v>359</v>
      </c>
      <c r="C53" s="40" t="s">
        <v>360</v>
      </c>
      <c r="D53" s="167">
        <f>3253.747</f>
        <v>3253.7469999999998</v>
      </c>
      <c r="E53" s="167"/>
      <c r="F53" s="167"/>
      <c r="H53" s="167"/>
      <c r="I53" s="167"/>
      <c r="J53" s="167"/>
      <c r="K53" s="167"/>
      <c r="L53" s="167"/>
      <c r="M53" s="167"/>
      <c r="N53" s="167"/>
      <c r="O53" s="167">
        <f t="shared" si="12"/>
        <v>3253.7469999999998</v>
      </c>
      <c r="P53" s="167"/>
      <c r="Q53" s="167"/>
      <c r="R53" s="167"/>
      <c r="S53" s="167"/>
      <c r="T53" s="167"/>
      <c r="U53" s="167">
        <f t="shared" si="13"/>
        <v>0</v>
      </c>
      <c r="V53" s="398"/>
      <c r="W53" s="387">
        <f t="shared" si="9"/>
        <v>3253.7469999999998</v>
      </c>
    </row>
    <row r="54" spans="1:23" ht="24.95" hidden="1" customHeight="1" x14ac:dyDescent="0.2">
      <c r="A54" s="220">
        <v>4</v>
      </c>
      <c r="B54" s="451" t="s">
        <v>359</v>
      </c>
      <c r="C54" s="40" t="s">
        <v>361</v>
      </c>
      <c r="D54" s="167">
        <v>3978.2860000000001</v>
      </c>
      <c r="E54" s="167"/>
      <c r="F54" s="167"/>
      <c r="H54" s="167"/>
      <c r="I54" s="167"/>
      <c r="J54" s="167"/>
      <c r="K54" s="167"/>
      <c r="L54" s="167"/>
      <c r="M54" s="167"/>
      <c r="N54" s="167"/>
      <c r="O54" s="167">
        <f t="shared" si="12"/>
        <v>3978.2860000000001</v>
      </c>
      <c r="P54" s="167"/>
      <c r="Q54" s="167"/>
      <c r="R54" s="167"/>
      <c r="S54" s="167"/>
      <c r="T54" s="167"/>
      <c r="U54" s="167">
        <f t="shared" si="13"/>
        <v>0</v>
      </c>
      <c r="V54" s="398"/>
      <c r="W54" s="387">
        <f t="shared" si="9"/>
        <v>3978.2860000000001</v>
      </c>
    </row>
    <row r="55" spans="1:23" ht="24.95" hidden="1" customHeight="1" x14ac:dyDescent="0.2">
      <c r="A55" s="220">
        <v>5</v>
      </c>
      <c r="B55" s="451" t="s">
        <v>359</v>
      </c>
      <c r="C55" s="40" t="s">
        <v>371</v>
      </c>
      <c r="D55" s="167">
        <v>620.08500000000004</v>
      </c>
      <c r="E55" s="167"/>
      <c r="F55" s="167"/>
      <c r="H55" s="167"/>
      <c r="I55" s="167"/>
      <c r="J55" s="167"/>
      <c r="K55" s="167"/>
      <c r="L55" s="167"/>
      <c r="M55" s="167"/>
      <c r="N55" s="167"/>
      <c r="O55" s="167">
        <f t="shared" si="12"/>
        <v>620.08500000000004</v>
      </c>
      <c r="P55" s="167"/>
      <c r="Q55" s="167"/>
      <c r="R55" s="167"/>
      <c r="S55" s="167"/>
      <c r="T55" s="167"/>
      <c r="U55" s="167">
        <f t="shared" si="13"/>
        <v>0</v>
      </c>
      <c r="V55" s="398"/>
      <c r="W55" s="387">
        <f t="shared" si="9"/>
        <v>620.08500000000004</v>
      </c>
    </row>
    <row r="56" spans="1:23" ht="24.95" hidden="1" customHeight="1" x14ac:dyDescent="0.2">
      <c r="A56" s="220">
        <v>6</v>
      </c>
      <c r="B56" s="451" t="s">
        <v>346</v>
      </c>
      <c r="C56" s="40" t="s">
        <v>234</v>
      </c>
      <c r="D56" s="167"/>
      <c r="E56" s="167"/>
      <c r="F56" s="167"/>
      <c r="G56" s="167"/>
      <c r="H56" s="167">
        <f>800+216</f>
        <v>1016</v>
      </c>
      <c r="I56" s="167"/>
      <c r="J56" s="167"/>
      <c r="K56" s="167"/>
      <c r="L56" s="167"/>
      <c r="M56" s="167"/>
      <c r="N56" s="167"/>
      <c r="O56" s="167">
        <f t="shared" si="12"/>
        <v>1016</v>
      </c>
      <c r="P56" s="167"/>
      <c r="Q56" s="167"/>
      <c r="R56" s="167"/>
      <c r="S56" s="167"/>
      <c r="T56" s="167"/>
      <c r="U56" s="167">
        <f t="shared" si="13"/>
        <v>0</v>
      </c>
      <c r="V56" s="398"/>
      <c r="W56" s="387">
        <f t="shared" si="9"/>
        <v>1016</v>
      </c>
    </row>
    <row r="57" spans="1:23" ht="24.95" hidden="1" customHeight="1" x14ac:dyDescent="0.2">
      <c r="A57" s="220">
        <v>7</v>
      </c>
      <c r="B57" s="451" t="s">
        <v>362</v>
      </c>
      <c r="C57" s="40" t="s">
        <v>363</v>
      </c>
      <c r="D57" s="167">
        <v>23531.8</v>
      </c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>
        <f t="shared" si="12"/>
        <v>23531.8</v>
      </c>
      <c r="P57" s="167"/>
      <c r="Q57" s="167"/>
      <c r="R57" s="167"/>
      <c r="S57" s="167"/>
      <c r="T57" s="167"/>
      <c r="U57" s="167">
        <f t="shared" si="13"/>
        <v>0</v>
      </c>
      <c r="V57" s="398"/>
      <c r="W57" s="387">
        <f t="shared" si="9"/>
        <v>23531.8</v>
      </c>
    </row>
    <row r="58" spans="1:23" ht="24.95" hidden="1" customHeight="1" x14ac:dyDescent="0.2">
      <c r="A58" s="220">
        <v>8</v>
      </c>
      <c r="B58" s="451" t="s">
        <v>376</v>
      </c>
      <c r="C58" s="40" t="s">
        <v>375</v>
      </c>
      <c r="D58" s="167"/>
      <c r="E58" s="167">
        <f>6478.459</f>
        <v>6478.4589999999998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>
        <f t="shared" si="12"/>
        <v>6478.4589999999998</v>
      </c>
      <c r="P58" s="167"/>
      <c r="Q58" s="167"/>
      <c r="R58" s="167"/>
      <c r="S58" s="167"/>
      <c r="T58" s="167"/>
      <c r="U58" s="167">
        <f t="shared" si="13"/>
        <v>0</v>
      </c>
      <c r="V58" s="398"/>
      <c r="W58" s="387">
        <f t="shared" si="9"/>
        <v>6478.4589999999998</v>
      </c>
    </row>
    <row r="59" spans="1:23" ht="24.95" hidden="1" customHeight="1" x14ac:dyDescent="0.2">
      <c r="A59" s="220">
        <v>9</v>
      </c>
      <c r="B59" s="451" t="s">
        <v>378</v>
      </c>
      <c r="C59" s="40" t="s">
        <v>377</v>
      </c>
      <c r="D59" s="167"/>
      <c r="E59" s="167"/>
      <c r="F59" s="167"/>
      <c r="G59" s="167"/>
      <c r="H59" s="167">
        <f>3916</f>
        <v>3916</v>
      </c>
      <c r="I59" s="167"/>
      <c r="J59" s="167"/>
      <c r="K59" s="167"/>
      <c r="L59" s="167"/>
      <c r="M59" s="167"/>
      <c r="N59" s="167"/>
      <c r="O59" s="167">
        <f t="shared" si="12"/>
        <v>3916</v>
      </c>
      <c r="P59" s="167"/>
      <c r="Q59" s="167"/>
      <c r="R59" s="167"/>
      <c r="S59" s="167"/>
      <c r="T59" s="167"/>
      <c r="U59" s="167">
        <f t="shared" si="13"/>
        <v>0</v>
      </c>
      <c r="V59" s="398"/>
      <c r="W59" s="387">
        <f t="shared" si="9"/>
        <v>3916</v>
      </c>
    </row>
    <row r="60" spans="1:23" ht="24.95" hidden="1" customHeight="1" x14ac:dyDescent="0.2">
      <c r="A60" s="220">
        <v>10</v>
      </c>
      <c r="B60" s="649" t="s">
        <v>384</v>
      </c>
      <c r="C60" s="40" t="s">
        <v>383</v>
      </c>
      <c r="D60" s="167"/>
      <c r="E60" s="167"/>
      <c r="F60" s="167"/>
      <c r="G60" s="167"/>
      <c r="H60" s="167">
        <f>1600+432</f>
        <v>2032</v>
      </c>
      <c r="I60" s="167"/>
      <c r="J60" s="167"/>
      <c r="K60" s="167"/>
      <c r="L60" s="167"/>
      <c r="M60" s="167"/>
      <c r="N60" s="167"/>
      <c r="O60" s="167">
        <f t="shared" si="12"/>
        <v>2032</v>
      </c>
      <c r="P60" s="167"/>
      <c r="Q60" s="167"/>
      <c r="R60" s="167"/>
      <c r="S60" s="167"/>
      <c r="T60" s="167"/>
      <c r="U60" s="167">
        <f t="shared" si="13"/>
        <v>0</v>
      </c>
      <c r="V60" s="398"/>
      <c r="W60" s="387">
        <f t="shared" si="9"/>
        <v>2032</v>
      </c>
    </row>
    <row r="61" spans="1:23" ht="33" hidden="1" customHeight="1" x14ac:dyDescent="0.2">
      <c r="A61" s="220">
        <v>11</v>
      </c>
      <c r="B61" s="457" t="s">
        <v>390</v>
      </c>
      <c r="C61" s="40" t="s">
        <v>391</v>
      </c>
      <c r="D61" s="167"/>
      <c r="E61" s="167"/>
      <c r="F61" s="167"/>
      <c r="G61" s="167"/>
      <c r="H61" s="167"/>
      <c r="I61" s="167"/>
      <c r="J61" s="167"/>
      <c r="K61" s="167">
        <f>-243526</f>
        <v>-243526</v>
      </c>
      <c r="L61" s="167"/>
      <c r="M61" s="167"/>
      <c r="N61" s="167"/>
      <c r="O61" s="167">
        <f t="shared" si="12"/>
        <v>-243526</v>
      </c>
      <c r="P61" s="167"/>
      <c r="Q61" s="167"/>
      <c r="R61" s="167"/>
      <c r="S61" s="167"/>
      <c r="T61" s="167"/>
      <c r="U61" s="167">
        <f t="shared" si="13"/>
        <v>0</v>
      </c>
      <c r="V61" s="398"/>
      <c r="W61" s="387">
        <f t="shared" si="9"/>
        <v>-243526</v>
      </c>
    </row>
    <row r="62" spans="1:23" ht="24.95" hidden="1" customHeight="1" x14ac:dyDescent="0.2">
      <c r="A62" s="220">
        <v>12</v>
      </c>
      <c r="B62" s="452" t="s">
        <v>421</v>
      </c>
      <c r="C62" s="28" t="s">
        <v>422</v>
      </c>
      <c r="D62" s="167"/>
      <c r="E62" s="167"/>
      <c r="F62" s="167"/>
      <c r="G62" s="167"/>
      <c r="H62" s="167">
        <f>89</f>
        <v>89</v>
      </c>
      <c r="I62" s="167"/>
      <c r="J62" s="167"/>
      <c r="K62" s="167"/>
      <c r="L62" s="167"/>
      <c r="M62" s="167"/>
      <c r="N62" s="167"/>
      <c r="O62" s="167">
        <f t="shared" si="12"/>
        <v>89</v>
      </c>
      <c r="P62" s="167"/>
      <c r="Q62" s="167"/>
      <c r="R62" s="167"/>
      <c r="S62" s="167"/>
      <c r="T62" s="167"/>
      <c r="U62" s="167">
        <f t="shared" si="13"/>
        <v>0</v>
      </c>
      <c r="V62" s="398"/>
      <c r="W62" s="387">
        <f t="shared" si="9"/>
        <v>89</v>
      </c>
    </row>
    <row r="63" spans="1:23" ht="24.95" hidden="1" customHeight="1" x14ac:dyDescent="0.2">
      <c r="A63" s="220">
        <v>13</v>
      </c>
      <c r="B63" s="656" t="s">
        <v>429</v>
      </c>
      <c r="C63" s="28" t="s">
        <v>234</v>
      </c>
      <c r="D63" s="167"/>
      <c r="E63" s="167"/>
      <c r="F63" s="167"/>
      <c r="G63" s="167"/>
      <c r="H63" s="167">
        <f>2400+648</f>
        <v>3048</v>
      </c>
      <c r="I63" s="167"/>
      <c r="J63" s="167"/>
      <c r="K63" s="167"/>
      <c r="L63" s="167"/>
      <c r="M63" s="167"/>
      <c r="N63" s="167"/>
      <c r="O63" s="167">
        <f t="shared" si="12"/>
        <v>3048</v>
      </c>
      <c r="P63" s="167"/>
      <c r="Q63" s="167"/>
      <c r="R63" s="167"/>
      <c r="S63" s="167"/>
      <c r="T63" s="167"/>
      <c r="U63" s="167">
        <f t="shared" si="13"/>
        <v>0</v>
      </c>
      <c r="V63" s="398"/>
      <c r="W63" s="387">
        <f t="shared" si="9"/>
        <v>3048</v>
      </c>
    </row>
    <row r="64" spans="1:23" ht="24.95" hidden="1" customHeight="1" x14ac:dyDescent="0.2">
      <c r="A64" s="220">
        <v>14</v>
      </c>
      <c r="B64" s="656" t="s">
        <v>444</v>
      </c>
      <c r="C64" s="40" t="s">
        <v>371</v>
      </c>
      <c r="D64" s="167">
        <f>586.268</f>
        <v>586.26800000000003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>
        <f t="shared" si="12"/>
        <v>586.26800000000003</v>
      </c>
      <c r="P64" s="167"/>
      <c r="Q64" s="167"/>
      <c r="R64" s="167"/>
      <c r="S64" s="167"/>
      <c r="T64" s="167"/>
      <c r="U64" s="167">
        <f t="shared" si="13"/>
        <v>0</v>
      </c>
      <c r="V64" s="398"/>
      <c r="W64" s="387">
        <f t="shared" si="9"/>
        <v>586.26800000000003</v>
      </c>
    </row>
    <row r="65" spans="1:23" ht="24.95" hidden="1" customHeight="1" x14ac:dyDescent="0.2">
      <c r="A65" s="220">
        <v>15</v>
      </c>
      <c r="B65" s="656" t="s">
        <v>444</v>
      </c>
      <c r="C65" s="40" t="s">
        <v>361</v>
      </c>
      <c r="D65" s="167">
        <f>3848.145</f>
        <v>3848.145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>
        <f t="shared" si="12"/>
        <v>3848.145</v>
      </c>
      <c r="P65" s="167"/>
      <c r="Q65" s="167"/>
      <c r="R65" s="167"/>
      <c r="S65" s="167"/>
      <c r="T65" s="167"/>
      <c r="U65" s="167">
        <f t="shared" si="13"/>
        <v>0</v>
      </c>
      <c r="V65" s="398"/>
      <c r="W65" s="387">
        <f t="shared" si="9"/>
        <v>3848.145</v>
      </c>
    </row>
    <row r="66" spans="1:23" ht="24.95" hidden="1" customHeight="1" x14ac:dyDescent="0.2">
      <c r="A66" s="220">
        <v>16</v>
      </c>
      <c r="B66" s="656" t="s">
        <v>444</v>
      </c>
      <c r="C66" s="40" t="s">
        <v>360</v>
      </c>
      <c r="D66" s="167">
        <v>2900.7559999999999</v>
      </c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>
        <f t="shared" si="12"/>
        <v>2900.7559999999999</v>
      </c>
      <c r="P66" s="167"/>
      <c r="Q66" s="167"/>
      <c r="R66" s="167"/>
      <c r="S66" s="167"/>
      <c r="T66" s="167"/>
      <c r="U66" s="167">
        <f t="shared" si="13"/>
        <v>0</v>
      </c>
      <c r="V66" s="398"/>
      <c r="W66" s="387">
        <f t="shared" si="9"/>
        <v>2900.7559999999999</v>
      </c>
    </row>
    <row r="67" spans="1:23" ht="24.95" hidden="1" customHeight="1" x14ac:dyDescent="0.2">
      <c r="A67" s="220">
        <v>17</v>
      </c>
      <c r="B67" s="656" t="s">
        <v>453</v>
      </c>
      <c r="C67" s="40" t="s">
        <v>363</v>
      </c>
      <c r="D67" s="167">
        <v>23107.741000000002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>
        <f t="shared" si="12"/>
        <v>23107.741000000002</v>
      </c>
      <c r="P67" s="167"/>
      <c r="Q67" s="167"/>
      <c r="R67" s="167"/>
      <c r="S67" s="167"/>
      <c r="T67" s="167"/>
      <c r="U67" s="167">
        <f t="shared" si="13"/>
        <v>0</v>
      </c>
      <c r="V67" s="398"/>
      <c r="W67" s="387">
        <f t="shared" si="9"/>
        <v>23107.741000000002</v>
      </c>
    </row>
    <row r="68" spans="1:23" ht="24.95" hidden="1" customHeight="1" x14ac:dyDescent="0.2">
      <c r="A68" s="220">
        <v>18</v>
      </c>
      <c r="B68" s="656" t="s">
        <v>441</v>
      </c>
      <c r="C68" s="28" t="s">
        <v>440</v>
      </c>
      <c r="D68" s="167">
        <v>36094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>
        <f t="shared" si="12"/>
        <v>36094</v>
      </c>
      <c r="P68" s="167"/>
      <c r="Q68" s="167"/>
      <c r="R68" s="167"/>
      <c r="S68" s="167"/>
      <c r="T68" s="167"/>
      <c r="U68" s="167">
        <f t="shared" si="13"/>
        <v>0</v>
      </c>
      <c r="V68" s="398"/>
      <c r="W68" s="387">
        <f t="shared" si="9"/>
        <v>36094</v>
      </c>
    </row>
    <row r="69" spans="1:23" ht="36.75" hidden="1" customHeight="1" x14ac:dyDescent="0.2">
      <c r="A69" s="220">
        <v>19</v>
      </c>
      <c r="B69" s="658" t="s">
        <v>443</v>
      </c>
      <c r="C69" s="28" t="s">
        <v>442</v>
      </c>
      <c r="D69" s="167"/>
      <c r="E69" s="167"/>
      <c r="F69" s="167">
        <f>297</f>
        <v>297</v>
      </c>
      <c r="G69" s="167"/>
      <c r="H69" s="167"/>
      <c r="I69" s="167"/>
      <c r="J69" s="167"/>
      <c r="K69" s="167"/>
      <c r="L69" s="167"/>
      <c r="M69" s="167"/>
      <c r="N69" s="167"/>
      <c r="O69" s="167">
        <f t="shared" si="12"/>
        <v>297</v>
      </c>
      <c r="P69" s="167"/>
      <c r="Q69" s="167"/>
      <c r="R69" s="167"/>
      <c r="S69" s="167"/>
      <c r="T69" s="167"/>
      <c r="U69" s="167">
        <f t="shared" si="13"/>
        <v>0</v>
      </c>
      <c r="V69" s="398"/>
      <c r="W69" s="387">
        <f t="shared" si="9"/>
        <v>297</v>
      </c>
    </row>
    <row r="70" spans="1:23" ht="24.95" hidden="1" customHeight="1" x14ac:dyDescent="0.2">
      <c r="A70" s="220">
        <v>20</v>
      </c>
      <c r="B70" s="657" t="s">
        <v>456</v>
      </c>
      <c r="C70" s="28" t="s">
        <v>383</v>
      </c>
      <c r="D70" s="167"/>
      <c r="E70" s="167"/>
      <c r="F70" s="167"/>
      <c r="G70" s="167"/>
      <c r="H70" s="167">
        <f>1500+405</f>
        <v>1905</v>
      </c>
      <c r="I70" s="167"/>
      <c r="J70" s="167"/>
      <c r="K70" s="167"/>
      <c r="L70" s="167"/>
      <c r="M70" s="167"/>
      <c r="N70" s="167"/>
      <c r="O70" s="167">
        <f t="shared" si="12"/>
        <v>1905</v>
      </c>
      <c r="P70" s="167"/>
      <c r="Q70" s="167"/>
      <c r="R70" s="167"/>
      <c r="S70" s="167"/>
      <c r="T70" s="167"/>
      <c r="U70" s="167">
        <f t="shared" si="13"/>
        <v>0</v>
      </c>
      <c r="V70" s="398"/>
      <c r="W70" s="387">
        <f t="shared" si="9"/>
        <v>1905</v>
      </c>
    </row>
    <row r="71" spans="1:23" ht="24.95" hidden="1" customHeight="1" x14ac:dyDescent="0.2">
      <c r="A71" s="39"/>
      <c r="B71" s="31"/>
      <c r="C71" s="28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>
        <f t="shared" si="12"/>
        <v>0</v>
      </c>
      <c r="P71" s="167"/>
      <c r="Q71" s="167"/>
      <c r="R71" s="167"/>
      <c r="S71" s="167"/>
      <c r="T71" s="167"/>
      <c r="U71" s="167">
        <f t="shared" si="13"/>
        <v>0</v>
      </c>
      <c r="V71" s="398"/>
      <c r="W71" s="387">
        <f t="shared" si="9"/>
        <v>0</v>
      </c>
    </row>
    <row r="72" spans="1:23" ht="24.95" hidden="1" customHeight="1" x14ac:dyDescent="0.2">
      <c r="A72" s="39"/>
      <c r="B72" s="32"/>
      <c r="C72" s="2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>
        <f t="shared" si="12"/>
        <v>0</v>
      </c>
      <c r="P72" s="167"/>
      <c r="Q72" s="167"/>
      <c r="R72" s="167"/>
      <c r="S72" s="167"/>
      <c r="T72" s="167"/>
      <c r="U72" s="167">
        <f t="shared" si="13"/>
        <v>0</v>
      </c>
      <c r="V72" s="398"/>
      <c r="W72" s="387">
        <f t="shared" si="9"/>
        <v>0</v>
      </c>
    </row>
    <row r="73" spans="1:23" ht="24.95" hidden="1" customHeight="1" x14ac:dyDescent="0.2">
      <c r="A73" s="39"/>
      <c r="B73" s="32"/>
      <c r="C73" s="40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>
        <f t="shared" si="12"/>
        <v>0</v>
      </c>
      <c r="P73" s="167"/>
      <c r="Q73" s="167"/>
      <c r="R73" s="167"/>
      <c r="S73" s="167"/>
      <c r="T73" s="167"/>
      <c r="U73" s="167">
        <f t="shared" si="13"/>
        <v>0</v>
      </c>
      <c r="V73" s="398"/>
      <c r="W73" s="387">
        <f t="shared" si="9"/>
        <v>0</v>
      </c>
    </row>
    <row r="74" spans="1:23" ht="24.95" hidden="1" customHeight="1" x14ac:dyDescent="0.2">
      <c r="A74" s="39"/>
      <c r="B74" s="31"/>
      <c r="C74" s="40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>
        <f t="shared" si="12"/>
        <v>0</v>
      </c>
      <c r="P74" s="167"/>
      <c r="Q74" s="167"/>
      <c r="R74" s="167"/>
      <c r="S74" s="167"/>
      <c r="T74" s="167"/>
      <c r="U74" s="167">
        <f t="shared" si="13"/>
        <v>0</v>
      </c>
      <c r="V74" s="398"/>
      <c r="W74" s="387">
        <f t="shared" si="9"/>
        <v>0</v>
      </c>
    </row>
    <row r="75" spans="1:23" ht="24.95" hidden="1" customHeight="1" x14ac:dyDescent="0.2">
      <c r="A75" s="39"/>
      <c r="B75" s="31"/>
      <c r="C75" s="40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>
        <f t="shared" si="12"/>
        <v>0</v>
      </c>
      <c r="P75" s="167"/>
      <c r="Q75" s="167"/>
      <c r="R75" s="167"/>
      <c r="S75" s="167"/>
      <c r="T75" s="167"/>
      <c r="U75" s="167">
        <f t="shared" si="13"/>
        <v>0</v>
      </c>
      <c r="V75" s="398"/>
      <c r="W75" s="387">
        <f t="shared" si="9"/>
        <v>0</v>
      </c>
    </row>
    <row r="76" spans="1:23" ht="24.95" hidden="1" customHeight="1" x14ac:dyDescent="0.2">
      <c r="A76" s="39"/>
      <c r="B76" s="31"/>
      <c r="C76" s="121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>
        <f t="shared" si="12"/>
        <v>0</v>
      </c>
      <c r="P76" s="167"/>
      <c r="Q76" s="167"/>
      <c r="R76" s="167"/>
      <c r="S76" s="167"/>
      <c r="T76" s="167"/>
      <c r="U76" s="167">
        <f t="shared" si="13"/>
        <v>0</v>
      </c>
      <c r="V76" s="398"/>
      <c r="W76" s="387">
        <f t="shared" si="9"/>
        <v>0</v>
      </c>
    </row>
    <row r="77" spans="1:23" ht="24.95" hidden="1" customHeight="1" x14ac:dyDescent="0.2">
      <c r="A77" s="39"/>
      <c r="B77" s="31"/>
      <c r="C77" s="121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>
        <f t="shared" si="12"/>
        <v>0</v>
      </c>
      <c r="P77" s="167"/>
      <c r="Q77" s="167"/>
      <c r="R77" s="167"/>
      <c r="S77" s="167"/>
      <c r="T77" s="167"/>
      <c r="U77" s="167">
        <f t="shared" si="13"/>
        <v>0</v>
      </c>
      <c r="V77" s="398"/>
      <c r="W77" s="387">
        <f t="shared" si="9"/>
        <v>0</v>
      </c>
    </row>
    <row r="78" spans="1:23" ht="24.95" hidden="1" customHeight="1" x14ac:dyDescent="0.2">
      <c r="A78" s="39"/>
      <c r="B78" s="31"/>
      <c r="C78" s="40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>
        <f t="shared" si="12"/>
        <v>0</v>
      </c>
      <c r="P78" s="167"/>
      <c r="Q78" s="167"/>
      <c r="R78" s="167"/>
      <c r="S78" s="167"/>
      <c r="T78" s="167"/>
      <c r="U78" s="167">
        <f t="shared" si="13"/>
        <v>0</v>
      </c>
      <c r="V78" s="398"/>
      <c r="W78" s="387">
        <f t="shared" si="9"/>
        <v>0</v>
      </c>
    </row>
    <row r="79" spans="1:23" ht="24.95" hidden="1" customHeight="1" x14ac:dyDescent="0.2">
      <c r="A79" s="39"/>
      <c r="B79" s="31"/>
      <c r="C79" s="40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>
        <f t="shared" si="12"/>
        <v>0</v>
      </c>
      <c r="P79" s="167"/>
      <c r="Q79" s="167"/>
      <c r="R79" s="167"/>
      <c r="S79" s="167"/>
      <c r="T79" s="167"/>
      <c r="U79" s="167">
        <f t="shared" si="13"/>
        <v>0</v>
      </c>
      <c r="V79" s="398"/>
      <c r="W79" s="387">
        <f t="shared" si="9"/>
        <v>0</v>
      </c>
    </row>
    <row r="80" spans="1:23" ht="24.95" hidden="1" customHeight="1" x14ac:dyDescent="0.2">
      <c r="A80" s="39"/>
      <c r="B80" s="31"/>
      <c r="C80" s="40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>
        <f t="shared" si="12"/>
        <v>0</v>
      </c>
      <c r="P80" s="167"/>
      <c r="Q80" s="167"/>
      <c r="R80" s="167"/>
      <c r="S80" s="167"/>
      <c r="T80" s="167"/>
      <c r="U80" s="167">
        <f t="shared" si="13"/>
        <v>0</v>
      </c>
      <c r="V80" s="398"/>
      <c r="W80" s="387">
        <f t="shared" si="9"/>
        <v>0</v>
      </c>
    </row>
    <row r="81" spans="1:23" ht="24.95" hidden="1" customHeight="1" x14ac:dyDescent="0.2">
      <c r="A81" s="39"/>
      <c r="B81" s="31"/>
      <c r="C81" s="40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>
        <f t="shared" si="12"/>
        <v>0</v>
      </c>
      <c r="P81" s="167"/>
      <c r="Q81" s="167"/>
      <c r="R81" s="167"/>
      <c r="S81" s="167"/>
      <c r="T81" s="167"/>
      <c r="U81" s="167">
        <f t="shared" si="13"/>
        <v>0</v>
      </c>
      <c r="V81" s="398"/>
      <c r="W81" s="387">
        <f t="shared" si="9"/>
        <v>0</v>
      </c>
    </row>
    <row r="82" spans="1:23" ht="24.95" hidden="1" customHeight="1" x14ac:dyDescent="0.2">
      <c r="A82" s="39"/>
      <c r="B82" s="31"/>
      <c r="C82" s="40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>
        <f t="shared" si="12"/>
        <v>0</v>
      </c>
      <c r="P82" s="167"/>
      <c r="Q82" s="167"/>
      <c r="R82" s="167"/>
      <c r="S82" s="167"/>
      <c r="T82" s="167"/>
      <c r="U82" s="167">
        <f t="shared" si="13"/>
        <v>0</v>
      </c>
      <c r="V82" s="398"/>
      <c r="W82" s="387">
        <f t="shared" si="9"/>
        <v>0</v>
      </c>
    </row>
    <row r="83" spans="1:23" ht="24.95" hidden="1" customHeight="1" x14ac:dyDescent="0.2">
      <c r="A83" s="39"/>
      <c r="B83" s="120"/>
      <c r="C83" s="40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>
        <f t="shared" si="12"/>
        <v>0</v>
      </c>
      <c r="P83" s="167"/>
      <c r="Q83" s="167"/>
      <c r="R83" s="167"/>
      <c r="S83" s="167"/>
      <c r="T83" s="167"/>
      <c r="U83" s="167">
        <f t="shared" si="13"/>
        <v>0</v>
      </c>
      <c r="V83" s="398"/>
      <c r="W83" s="387">
        <f t="shared" si="9"/>
        <v>0</v>
      </c>
    </row>
    <row r="84" spans="1:23" ht="24.95" hidden="1" customHeight="1" x14ac:dyDescent="0.2">
      <c r="A84" s="39"/>
      <c r="B84" s="120"/>
      <c r="C84" s="40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>
        <f t="shared" si="12"/>
        <v>0</v>
      </c>
      <c r="P84" s="167"/>
      <c r="Q84" s="167"/>
      <c r="R84" s="167"/>
      <c r="S84" s="167"/>
      <c r="T84" s="167"/>
      <c r="U84" s="167">
        <f t="shared" si="13"/>
        <v>0</v>
      </c>
      <c r="V84" s="398"/>
      <c r="W84" s="387">
        <f t="shared" si="9"/>
        <v>0</v>
      </c>
    </row>
    <row r="85" spans="1:23" ht="24.95" hidden="1" customHeight="1" x14ac:dyDescent="0.2">
      <c r="A85" s="39"/>
      <c r="B85" s="120"/>
      <c r="C85" s="40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>
        <f t="shared" si="12"/>
        <v>0</v>
      </c>
      <c r="P85" s="167"/>
      <c r="Q85" s="167"/>
      <c r="R85" s="167"/>
      <c r="S85" s="167"/>
      <c r="T85" s="167"/>
      <c r="U85" s="167">
        <f t="shared" si="13"/>
        <v>0</v>
      </c>
      <c r="V85" s="398"/>
      <c r="W85" s="387">
        <f t="shared" si="9"/>
        <v>0</v>
      </c>
    </row>
    <row r="86" spans="1:23" ht="24.95" hidden="1" customHeight="1" x14ac:dyDescent="0.2">
      <c r="A86" s="39"/>
      <c r="B86" s="120"/>
      <c r="C86" s="40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>
        <f t="shared" si="12"/>
        <v>0</v>
      </c>
      <c r="P86" s="167"/>
      <c r="Q86" s="167"/>
      <c r="R86" s="167"/>
      <c r="S86" s="167"/>
      <c r="T86" s="167"/>
      <c r="U86" s="167">
        <f t="shared" si="13"/>
        <v>0</v>
      </c>
      <c r="V86" s="398"/>
      <c r="W86" s="387">
        <f t="shared" si="9"/>
        <v>0</v>
      </c>
    </row>
    <row r="87" spans="1:23" ht="24.95" hidden="1" customHeight="1" x14ac:dyDescent="0.2">
      <c r="A87" s="39"/>
      <c r="B87" s="120"/>
      <c r="C87" s="40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>
        <f t="shared" si="12"/>
        <v>0</v>
      </c>
      <c r="P87" s="167"/>
      <c r="Q87" s="167"/>
      <c r="R87" s="167"/>
      <c r="S87" s="167"/>
      <c r="T87" s="167"/>
      <c r="U87" s="167">
        <f t="shared" si="13"/>
        <v>0</v>
      </c>
      <c r="V87" s="398"/>
      <c r="W87" s="387">
        <f t="shared" si="9"/>
        <v>0</v>
      </c>
    </row>
    <row r="88" spans="1:23" ht="24.95" hidden="1" customHeight="1" x14ac:dyDescent="0.2">
      <c r="A88" s="39"/>
      <c r="B88" s="120"/>
      <c r="C88" s="40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>
        <f t="shared" si="12"/>
        <v>0</v>
      </c>
      <c r="P88" s="167"/>
      <c r="Q88" s="167"/>
      <c r="R88" s="167"/>
      <c r="S88" s="167"/>
      <c r="T88" s="167"/>
      <c r="U88" s="167">
        <f t="shared" si="13"/>
        <v>0</v>
      </c>
      <c r="V88" s="398"/>
      <c r="W88" s="387">
        <f t="shared" si="9"/>
        <v>0</v>
      </c>
    </row>
    <row r="89" spans="1:23" ht="24.95" hidden="1" customHeight="1" x14ac:dyDescent="0.2">
      <c r="A89" s="39"/>
      <c r="B89" s="120"/>
      <c r="C89" s="40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>
        <f t="shared" si="12"/>
        <v>0</v>
      </c>
      <c r="P89" s="167"/>
      <c r="Q89" s="167"/>
      <c r="R89" s="167"/>
      <c r="S89" s="167"/>
      <c r="T89" s="167"/>
      <c r="U89" s="167">
        <f t="shared" si="13"/>
        <v>0</v>
      </c>
      <c r="V89" s="398"/>
      <c r="W89" s="387">
        <f t="shared" si="9"/>
        <v>0</v>
      </c>
    </row>
    <row r="90" spans="1:23" ht="24.95" hidden="1" customHeight="1" x14ac:dyDescent="0.2">
      <c r="A90" s="39"/>
      <c r="B90" s="120"/>
      <c r="C90" s="40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>
        <f t="shared" si="12"/>
        <v>0</v>
      </c>
      <c r="P90" s="167"/>
      <c r="Q90" s="167"/>
      <c r="R90" s="167"/>
      <c r="S90" s="167"/>
      <c r="T90" s="167"/>
      <c r="U90" s="167">
        <f t="shared" si="13"/>
        <v>0</v>
      </c>
      <c r="V90" s="398"/>
      <c r="W90" s="387">
        <f t="shared" si="9"/>
        <v>0</v>
      </c>
    </row>
    <row r="91" spans="1:23" ht="24.95" hidden="1" customHeight="1" x14ac:dyDescent="0.2">
      <c r="A91" s="39"/>
      <c r="B91" s="120"/>
      <c r="C91" s="40" t="s">
        <v>52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>
        <f t="shared" si="12"/>
        <v>0</v>
      </c>
      <c r="P91" s="167"/>
      <c r="Q91" s="167"/>
      <c r="R91" s="167"/>
      <c r="S91" s="167"/>
      <c r="T91" s="167"/>
      <c r="U91" s="167">
        <f t="shared" si="13"/>
        <v>0</v>
      </c>
      <c r="V91" s="398"/>
      <c r="W91" s="387">
        <f t="shared" si="9"/>
        <v>0</v>
      </c>
    </row>
    <row r="92" spans="1:23" ht="24.95" hidden="1" customHeight="1" thickBot="1" x14ac:dyDescent="0.25">
      <c r="A92" s="39"/>
      <c r="B92" s="100"/>
      <c r="C92" s="101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399"/>
      <c r="W92" s="388">
        <f t="shared" si="9"/>
        <v>0</v>
      </c>
    </row>
    <row r="93" spans="1:23" ht="24.95" hidden="1" customHeight="1" thickTop="1" thickBot="1" x14ac:dyDescent="0.25">
      <c r="A93" s="46"/>
      <c r="B93" s="105" t="s">
        <v>149</v>
      </c>
      <c r="C93" s="43" t="s">
        <v>19</v>
      </c>
      <c r="D93" s="171">
        <f t="shared" ref="D93:O93" si="14">SUM(D51:D92)</f>
        <v>97920.828000000009</v>
      </c>
      <c r="E93" s="200">
        <f t="shared" si="14"/>
        <v>6478.4589999999998</v>
      </c>
      <c r="F93" s="171">
        <f t="shared" si="14"/>
        <v>358</v>
      </c>
      <c r="G93" s="171">
        <f t="shared" si="14"/>
        <v>0</v>
      </c>
      <c r="H93" s="171">
        <f t="shared" si="14"/>
        <v>13022</v>
      </c>
      <c r="I93" s="171">
        <f t="shared" si="14"/>
        <v>1</v>
      </c>
      <c r="J93" s="171">
        <f t="shared" si="14"/>
        <v>0</v>
      </c>
      <c r="K93" s="200">
        <f t="shared" si="14"/>
        <v>-243526</v>
      </c>
      <c r="L93" s="171">
        <f t="shared" si="14"/>
        <v>0</v>
      </c>
      <c r="M93" s="171">
        <f t="shared" si="14"/>
        <v>0</v>
      </c>
      <c r="N93" s="171">
        <f t="shared" si="14"/>
        <v>0</v>
      </c>
      <c r="O93" s="171">
        <f t="shared" si="14"/>
        <v>-125745.71299999999</v>
      </c>
      <c r="P93" s="171"/>
      <c r="Q93" s="171">
        <f>SUM(Q51:Q92)</f>
        <v>0</v>
      </c>
      <c r="R93" s="171">
        <f>SUM(R51:R92)</f>
        <v>0</v>
      </c>
      <c r="S93" s="171">
        <f>SUM(S51:S92)</f>
        <v>0</v>
      </c>
      <c r="T93" s="171">
        <f>SUM(T51:T92)</f>
        <v>0</v>
      </c>
      <c r="U93" s="171">
        <f>SUM(U51:U92)</f>
        <v>0</v>
      </c>
      <c r="V93" s="179"/>
      <c r="W93" s="389">
        <f>SUM(W51:W92)</f>
        <v>-125745.71299999999</v>
      </c>
    </row>
    <row r="94" spans="1:23" ht="24.95" hidden="1" customHeight="1" thickTop="1" x14ac:dyDescent="0.2">
      <c r="A94" s="39"/>
      <c r="B94" s="31"/>
      <c r="C94" s="40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>
        <f t="shared" ref="O94:O104" si="15">SUM(D94:N94)</f>
        <v>0</v>
      </c>
      <c r="P94" s="167"/>
      <c r="Q94" s="167"/>
      <c r="R94" s="167"/>
      <c r="S94" s="167"/>
      <c r="T94" s="167"/>
      <c r="U94" s="167">
        <f t="shared" ref="U94:U104" si="16">SUM(Q94:T94)</f>
        <v>0</v>
      </c>
      <c r="V94" s="398"/>
      <c r="W94" s="387">
        <f t="shared" ref="W94:W103" si="17">O94+U94</f>
        <v>0</v>
      </c>
    </row>
    <row r="95" spans="1:23" ht="24.95" hidden="1" customHeight="1" x14ac:dyDescent="0.2">
      <c r="A95" s="39"/>
      <c r="B95" s="31"/>
      <c r="C95" s="40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>
        <f t="shared" si="15"/>
        <v>0</v>
      </c>
      <c r="P95" s="167"/>
      <c r="Q95" s="167"/>
      <c r="R95" s="167"/>
      <c r="S95" s="167"/>
      <c r="T95" s="167"/>
      <c r="U95" s="167">
        <f t="shared" si="16"/>
        <v>0</v>
      </c>
      <c r="V95" s="398"/>
      <c r="W95" s="387">
        <f t="shared" si="17"/>
        <v>0</v>
      </c>
    </row>
    <row r="96" spans="1:23" ht="24.95" hidden="1" customHeight="1" x14ac:dyDescent="0.2">
      <c r="A96" s="39"/>
      <c r="B96" s="32"/>
      <c r="C96" s="40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>
        <f t="shared" si="15"/>
        <v>0</v>
      </c>
      <c r="P96" s="167"/>
      <c r="Q96" s="167"/>
      <c r="R96" s="167"/>
      <c r="S96" s="167"/>
      <c r="T96" s="167"/>
      <c r="U96" s="167">
        <f t="shared" si="16"/>
        <v>0</v>
      </c>
      <c r="V96" s="398"/>
      <c r="W96" s="387">
        <f t="shared" si="17"/>
        <v>0</v>
      </c>
    </row>
    <row r="97" spans="1:23" ht="24.95" hidden="1" customHeight="1" x14ac:dyDescent="0.2">
      <c r="A97" s="39"/>
      <c r="B97" s="32"/>
      <c r="C97" s="40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>
        <f t="shared" si="15"/>
        <v>0</v>
      </c>
      <c r="P97" s="167"/>
      <c r="Q97" s="167"/>
      <c r="R97" s="167"/>
      <c r="S97" s="167"/>
      <c r="T97" s="167"/>
      <c r="U97" s="167">
        <f t="shared" si="16"/>
        <v>0</v>
      </c>
      <c r="V97" s="398"/>
      <c r="W97" s="387">
        <f t="shared" si="17"/>
        <v>0</v>
      </c>
    </row>
    <row r="98" spans="1:23" ht="24.95" hidden="1" customHeight="1" x14ac:dyDescent="0.2">
      <c r="A98" s="39"/>
      <c r="B98" s="32"/>
      <c r="C98" s="40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>
        <f t="shared" si="15"/>
        <v>0</v>
      </c>
      <c r="P98" s="167"/>
      <c r="Q98" s="167"/>
      <c r="R98" s="167"/>
      <c r="S98" s="167"/>
      <c r="T98" s="167"/>
      <c r="U98" s="167">
        <f t="shared" si="16"/>
        <v>0</v>
      </c>
      <c r="V98" s="398"/>
      <c r="W98" s="387">
        <f t="shared" si="17"/>
        <v>0</v>
      </c>
    </row>
    <row r="99" spans="1:23" ht="24.95" hidden="1" customHeight="1" x14ac:dyDescent="0.2">
      <c r="A99" s="39"/>
      <c r="B99" s="32"/>
      <c r="C99" s="40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>
        <f t="shared" si="15"/>
        <v>0</v>
      </c>
      <c r="P99" s="167"/>
      <c r="Q99" s="167"/>
      <c r="R99" s="167"/>
      <c r="S99" s="167"/>
      <c r="T99" s="167"/>
      <c r="U99" s="167">
        <f t="shared" si="16"/>
        <v>0</v>
      </c>
      <c r="V99" s="398"/>
      <c r="W99" s="387">
        <f t="shared" si="17"/>
        <v>0</v>
      </c>
    </row>
    <row r="100" spans="1:23" ht="24.95" hidden="1" customHeight="1" x14ac:dyDescent="0.2">
      <c r="A100" s="39"/>
      <c r="B100" s="32"/>
      <c r="C100" s="40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>
        <f t="shared" si="15"/>
        <v>0</v>
      </c>
      <c r="P100" s="167"/>
      <c r="Q100" s="167"/>
      <c r="R100" s="167"/>
      <c r="S100" s="167"/>
      <c r="T100" s="167"/>
      <c r="U100" s="167">
        <f t="shared" si="16"/>
        <v>0</v>
      </c>
      <c r="V100" s="398"/>
      <c r="W100" s="387">
        <f t="shared" si="17"/>
        <v>0</v>
      </c>
    </row>
    <row r="101" spans="1:23" ht="24.95" hidden="1" customHeight="1" x14ac:dyDescent="0.2">
      <c r="A101" s="39"/>
      <c r="B101" s="31"/>
      <c r="C101" s="40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>
        <f t="shared" si="15"/>
        <v>0</v>
      </c>
      <c r="P101" s="167"/>
      <c r="Q101" s="167"/>
      <c r="R101" s="167"/>
      <c r="S101" s="167"/>
      <c r="T101" s="167"/>
      <c r="U101" s="167">
        <f t="shared" si="16"/>
        <v>0</v>
      </c>
      <c r="V101" s="398"/>
      <c r="W101" s="387">
        <f t="shared" si="17"/>
        <v>0</v>
      </c>
    </row>
    <row r="102" spans="1:23" ht="24.95" hidden="1" customHeight="1" x14ac:dyDescent="0.2">
      <c r="A102" s="39"/>
      <c r="B102" s="31"/>
      <c r="C102" s="40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>
        <f t="shared" si="15"/>
        <v>0</v>
      </c>
      <c r="P102" s="167"/>
      <c r="Q102" s="167"/>
      <c r="R102" s="167"/>
      <c r="S102" s="167"/>
      <c r="T102" s="167"/>
      <c r="U102" s="167">
        <f t="shared" si="16"/>
        <v>0</v>
      </c>
      <c r="V102" s="398"/>
      <c r="W102" s="387">
        <f t="shared" si="17"/>
        <v>0</v>
      </c>
    </row>
    <row r="103" spans="1:23" ht="24.95" hidden="1" customHeight="1" x14ac:dyDescent="0.2">
      <c r="A103" s="39"/>
      <c r="B103" s="31"/>
      <c r="C103" s="40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>
        <f t="shared" si="15"/>
        <v>0</v>
      </c>
      <c r="P103" s="167"/>
      <c r="Q103" s="167"/>
      <c r="R103" s="167"/>
      <c r="S103" s="167"/>
      <c r="T103" s="167"/>
      <c r="U103" s="167">
        <f t="shared" si="16"/>
        <v>0</v>
      </c>
      <c r="V103" s="398"/>
      <c r="W103" s="387">
        <f t="shared" si="17"/>
        <v>0</v>
      </c>
    </row>
    <row r="104" spans="1:23" ht="24.95" hidden="1" customHeight="1" thickBot="1" x14ac:dyDescent="0.25">
      <c r="A104" s="39"/>
      <c r="B104" s="32"/>
      <c r="C104" s="34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>
        <f t="shared" si="15"/>
        <v>0</v>
      </c>
      <c r="P104" s="167"/>
      <c r="Q104" s="167"/>
      <c r="R104" s="167"/>
      <c r="S104" s="167"/>
      <c r="T104" s="167"/>
      <c r="U104" s="167">
        <f t="shared" si="16"/>
        <v>0</v>
      </c>
      <c r="V104" s="398"/>
      <c r="W104" s="387"/>
    </row>
    <row r="105" spans="1:23" ht="24.95" hidden="1" customHeight="1" thickTop="1" thickBot="1" x14ac:dyDescent="0.25">
      <c r="A105" s="41"/>
      <c r="B105" s="106" t="s">
        <v>47</v>
      </c>
      <c r="C105" s="43" t="s">
        <v>19</v>
      </c>
      <c r="D105" s="171">
        <f t="shared" ref="D105:Q105" si="18">SUM(D94:D97)</f>
        <v>0</v>
      </c>
      <c r="E105" s="171">
        <f t="shared" si="18"/>
        <v>0</v>
      </c>
      <c r="F105" s="171">
        <f t="shared" si="18"/>
        <v>0</v>
      </c>
      <c r="G105" s="171">
        <f t="shared" si="18"/>
        <v>0</v>
      </c>
      <c r="H105" s="171">
        <f t="shared" si="18"/>
        <v>0</v>
      </c>
      <c r="I105" s="171">
        <f t="shared" si="18"/>
        <v>0</v>
      </c>
      <c r="J105" s="171">
        <f t="shared" si="18"/>
        <v>0</v>
      </c>
      <c r="K105" s="171">
        <f t="shared" si="18"/>
        <v>0</v>
      </c>
      <c r="L105" s="171">
        <f t="shared" si="18"/>
        <v>0</v>
      </c>
      <c r="M105" s="171">
        <f t="shared" si="18"/>
        <v>0</v>
      </c>
      <c r="N105" s="171">
        <f>SUM(N94:N97)</f>
        <v>0</v>
      </c>
      <c r="O105" s="171">
        <f t="shared" si="18"/>
        <v>0</v>
      </c>
      <c r="P105" s="171"/>
      <c r="Q105" s="171">
        <f t="shared" si="18"/>
        <v>0</v>
      </c>
      <c r="R105" s="171">
        <f>SUM(R94:R97)</f>
        <v>0</v>
      </c>
      <c r="S105" s="171"/>
      <c r="T105" s="171">
        <f>SUM(T94:T97)</f>
        <v>0</v>
      </c>
      <c r="U105" s="171">
        <f>SUM(U94:U97)</f>
        <v>0</v>
      </c>
      <c r="V105" s="179"/>
      <c r="W105" s="389">
        <f>SUM(W94:W97)</f>
        <v>0</v>
      </c>
    </row>
    <row r="106" spans="1:23" ht="24.95" hidden="1" customHeight="1" thickTop="1" thickBot="1" x14ac:dyDescent="0.25">
      <c r="A106" s="41"/>
      <c r="B106" s="660" t="s">
        <v>457</v>
      </c>
      <c r="C106" s="43" t="s">
        <v>124</v>
      </c>
      <c r="D106" s="199">
        <f t="shared" ref="D106:O106" si="19">D50+D93+D105</f>
        <v>2355089.1240000008</v>
      </c>
      <c r="E106" s="199">
        <f t="shared" si="19"/>
        <v>6478.4589999999998</v>
      </c>
      <c r="F106" s="199">
        <f t="shared" si="19"/>
        <v>54140.75</v>
      </c>
      <c r="G106" s="199">
        <f t="shared" si="19"/>
        <v>8854057</v>
      </c>
      <c r="H106" s="199">
        <f t="shared" si="19"/>
        <v>2351436.37</v>
      </c>
      <c r="I106" s="199">
        <f t="shared" si="19"/>
        <v>1801</v>
      </c>
      <c r="J106" s="199">
        <f t="shared" si="19"/>
        <v>50000</v>
      </c>
      <c r="K106" s="199">
        <f t="shared" si="19"/>
        <v>806628</v>
      </c>
      <c r="L106" s="199">
        <f t="shared" si="19"/>
        <v>1511000</v>
      </c>
      <c r="M106" s="199">
        <f t="shared" si="19"/>
        <v>16300</v>
      </c>
      <c r="N106" s="199">
        <f t="shared" si="19"/>
        <v>959</v>
      </c>
      <c r="O106" s="199">
        <f t="shared" si="19"/>
        <v>16007889.703</v>
      </c>
      <c r="P106" s="199"/>
      <c r="Q106" s="199">
        <f>Q50+Q93+Q105</f>
        <v>5960000</v>
      </c>
      <c r="R106" s="199">
        <f>R50+R93+R105</f>
        <v>4023597.2149999999</v>
      </c>
      <c r="S106" s="199">
        <f>S50+S93+S105</f>
        <v>0</v>
      </c>
      <c r="T106" s="199">
        <f>T50+T93+T105</f>
        <v>0</v>
      </c>
      <c r="U106" s="199">
        <f>U50+U93+U105</f>
        <v>9983597.2149999999</v>
      </c>
      <c r="V106" s="266"/>
      <c r="W106" s="389">
        <f>W50+W93+W105</f>
        <v>25991486.917999998</v>
      </c>
    </row>
    <row r="107" spans="1:23" ht="24.95" hidden="1" customHeight="1" x14ac:dyDescent="0.2">
      <c r="A107" s="177"/>
      <c r="B107" s="178" t="s">
        <v>150</v>
      </c>
      <c r="C107" s="215" t="s">
        <v>18</v>
      </c>
      <c r="D107" s="216">
        <f>D106</f>
        <v>2355089.1240000008</v>
      </c>
      <c r="E107" s="216">
        <f t="shared" ref="E107:L107" si="20">E106</f>
        <v>6478.4589999999998</v>
      </c>
      <c r="F107" s="216">
        <f t="shared" si="20"/>
        <v>54140.75</v>
      </c>
      <c r="G107" s="216">
        <f t="shared" si="20"/>
        <v>8854057</v>
      </c>
      <c r="H107" s="216">
        <f t="shared" si="20"/>
        <v>2351436.37</v>
      </c>
      <c r="I107" s="216">
        <f t="shared" si="20"/>
        <v>1801</v>
      </c>
      <c r="J107" s="216">
        <f t="shared" si="20"/>
        <v>50000</v>
      </c>
      <c r="K107" s="216">
        <f t="shared" si="20"/>
        <v>806628</v>
      </c>
      <c r="L107" s="216">
        <f t="shared" si="20"/>
        <v>1511000</v>
      </c>
      <c r="M107" s="216">
        <f t="shared" ref="M107:U107" si="21">M106</f>
        <v>16300</v>
      </c>
      <c r="N107" s="216">
        <f t="shared" si="21"/>
        <v>959</v>
      </c>
      <c r="O107" s="216">
        <f t="shared" si="21"/>
        <v>16007889.703</v>
      </c>
      <c r="P107" s="216"/>
      <c r="Q107" s="216">
        <f t="shared" si="21"/>
        <v>5960000</v>
      </c>
      <c r="R107" s="216">
        <f t="shared" si="21"/>
        <v>4023597.2149999999</v>
      </c>
      <c r="S107" s="216"/>
      <c r="T107" s="216">
        <f t="shared" si="21"/>
        <v>0</v>
      </c>
      <c r="U107" s="216">
        <f t="shared" si="21"/>
        <v>9983597.2149999999</v>
      </c>
      <c r="V107" s="400"/>
      <c r="W107" s="390">
        <f t="shared" ref="W107:W128" si="22">O107+U107</f>
        <v>25991486.917999998</v>
      </c>
    </row>
    <row r="108" spans="1:23" ht="39" hidden="1" customHeight="1" x14ac:dyDescent="0.2">
      <c r="A108" s="39">
        <v>1</v>
      </c>
      <c r="B108" s="308" t="s">
        <v>464</v>
      </c>
      <c r="C108" s="28" t="s">
        <v>465</v>
      </c>
      <c r="D108" s="167"/>
      <c r="E108" s="167"/>
      <c r="F108" s="167"/>
      <c r="G108" s="167"/>
      <c r="H108" s="167"/>
      <c r="I108" s="167"/>
      <c r="J108" s="167">
        <v>200000</v>
      </c>
      <c r="K108" s="167"/>
      <c r="L108" s="167"/>
      <c r="M108" s="167"/>
      <c r="O108" s="167">
        <f t="shared" ref="O108:O128" si="23">SUM(D108:N108)</f>
        <v>200000</v>
      </c>
      <c r="P108" s="167"/>
      <c r="Q108" s="167"/>
      <c r="R108" s="167"/>
      <c r="S108" s="167"/>
      <c r="T108" s="167"/>
      <c r="U108" s="167">
        <f t="shared" ref="U108:U128" si="24">SUM(Q108:T108)</f>
        <v>0</v>
      </c>
      <c r="V108" s="398"/>
      <c r="W108" s="387">
        <f t="shared" si="22"/>
        <v>200000</v>
      </c>
    </row>
    <row r="109" spans="1:23" ht="24.95" hidden="1" customHeight="1" x14ac:dyDescent="0.2">
      <c r="A109" s="39">
        <v>2</v>
      </c>
      <c r="B109" s="664" t="s">
        <v>486</v>
      </c>
      <c r="C109" s="28" t="s">
        <v>485</v>
      </c>
      <c r="D109" s="167"/>
      <c r="E109" s="167"/>
      <c r="F109" s="167">
        <f>2418.8</f>
        <v>2418.8000000000002</v>
      </c>
      <c r="G109" s="167"/>
      <c r="H109" s="167"/>
      <c r="I109" s="167"/>
      <c r="J109" s="167"/>
      <c r="K109" s="167"/>
      <c r="L109" s="167"/>
      <c r="M109" s="167"/>
      <c r="O109" s="167">
        <f t="shared" si="23"/>
        <v>2418.8000000000002</v>
      </c>
      <c r="P109" s="167"/>
      <c r="Q109" s="167"/>
      <c r="R109" s="167"/>
      <c r="S109" s="167"/>
      <c r="T109" s="167"/>
      <c r="U109" s="167">
        <f t="shared" si="24"/>
        <v>0</v>
      </c>
      <c r="V109" s="398"/>
      <c r="W109" s="387">
        <f t="shared" si="22"/>
        <v>2418.8000000000002</v>
      </c>
    </row>
    <row r="110" spans="1:23" ht="24.95" hidden="1" customHeight="1" x14ac:dyDescent="0.2">
      <c r="A110" s="39">
        <v>3</v>
      </c>
      <c r="B110" s="223" t="s">
        <v>501</v>
      </c>
      <c r="C110" s="28" t="s">
        <v>500</v>
      </c>
      <c r="D110" s="167"/>
      <c r="E110" s="167"/>
      <c r="F110" s="167"/>
      <c r="G110" s="167"/>
      <c r="H110" s="167">
        <f>109+807+794</f>
        <v>1710</v>
      </c>
      <c r="I110" s="167"/>
      <c r="J110" s="167"/>
      <c r="K110" s="167"/>
      <c r="L110" s="167"/>
      <c r="M110" s="167"/>
      <c r="O110" s="167">
        <f t="shared" si="23"/>
        <v>1710</v>
      </c>
      <c r="P110" s="167"/>
      <c r="Q110" s="167"/>
      <c r="R110" s="167"/>
      <c r="S110" s="167"/>
      <c r="T110" s="167"/>
      <c r="U110" s="167">
        <f>SUM(Q110:T110)</f>
        <v>0</v>
      </c>
      <c r="V110" s="398"/>
      <c r="W110" s="387">
        <f t="shared" si="22"/>
        <v>1710</v>
      </c>
    </row>
    <row r="111" spans="1:23" ht="24.95" hidden="1" customHeight="1" x14ac:dyDescent="0.2">
      <c r="A111" s="39">
        <v>4</v>
      </c>
      <c r="B111" s="223" t="s">
        <v>509</v>
      </c>
      <c r="C111" s="28" t="s">
        <v>510</v>
      </c>
      <c r="D111" s="167"/>
      <c r="E111" s="167"/>
      <c r="F111" s="167"/>
      <c r="G111" s="167"/>
      <c r="H111" s="167">
        <f>11+13+432+11</f>
        <v>467</v>
      </c>
      <c r="I111" s="167"/>
      <c r="J111" s="167"/>
      <c r="K111" s="167"/>
      <c r="L111" s="167"/>
      <c r="M111" s="167"/>
      <c r="N111" s="167"/>
      <c r="O111" s="167">
        <f t="shared" si="23"/>
        <v>467</v>
      </c>
      <c r="P111" s="167"/>
      <c r="Q111" s="167"/>
      <c r="R111" s="167"/>
      <c r="S111" s="167"/>
      <c r="T111" s="167"/>
      <c r="U111" s="167">
        <f t="shared" si="24"/>
        <v>0</v>
      </c>
      <c r="V111" s="398"/>
      <c r="W111" s="387">
        <f t="shared" si="22"/>
        <v>467</v>
      </c>
    </row>
    <row r="112" spans="1:23" ht="33.75" hidden="1" customHeight="1" x14ac:dyDescent="0.2">
      <c r="A112" s="39">
        <v>5</v>
      </c>
      <c r="B112" s="223" t="s">
        <v>517</v>
      </c>
      <c r="C112" s="28" t="s">
        <v>518</v>
      </c>
      <c r="D112" s="167"/>
      <c r="E112" s="167"/>
      <c r="F112" s="167"/>
      <c r="G112" s="167"/>
      <c r="H112" s="167"/>
      <c r="I112" s="167"/>
      <c r="J112" s="167">
        <f>21500</f>
        <v>21500</v>
      </c>
      <c r="L112" s="167"/>
      <c r="M112" s="167"/>
      <c r="N112" s="167"/>
      <c r="O112" s="167">
        <f t="shared" si="23"/>
        <v>21500</v>
      </c>
      <c r="P112" s="167"/>
      <c r="Q112" s="167"/>
      <c r="R112" s="167"/>
      <c r="S112" s="167"/>
      <c r="T112" s="167"/>
      <c r="U112" s="167">
        <f t="shared" si="24"/>
        <v>0</v>
      </c>
      <c r="V112" s="398"/>
      <c r="W112" s="387">
        <f t="shared" si="22"/>
        <v>21500</v>
      </c>
    </row>
    <row r="113" spans="1:23" ht="33.75" hidden="1" customHeight="1" x14ac:dyDescent="0.2">
      <c r="A113" s="39">
        <v>6</v>
      </c>
      <c r="B113" s="223" t="s">
        <v>526</v>
      </c>
      <c r="C113" s="28" t="s">
        <v>530</v>
      </c>
      <c r="D113" s="167">
        <f>10795</f>
        <v>10795</v>
      </c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>
        <f t="shared" si="23"/>
        <v>10795</v>
      </c>
      <c r="P113" s="167"/>
      <c r="Q113" s="167"/>
      <c r="R113" s="167"/>
      <c r="S113" s="167"/>
      <c r="T113" s="167"/>
      <c r="U113" s="167">
        <f t="shared" si="24"/>
        <v>0</v>
      </c>
      <c r="V113" s="398"/>
      <c r="W113" s="387">
        <f t="shared" si="22"/>
        <v>10795</v>
      </c>
    </row>
    <row r="114" spans="1:23" ht="24.95" hidden="1" customHeight="1" x14ac:dyDescent="0.2">
      <c r="A114" s="39">
        <v>7</v>
      </c>
      <c r="B114" s="225" t="s">
        <v>531</v>
      </c>
      <c r="C114" s="33" t="s">
        <v>532</v>
      </c>
      <c r="D114" s="167">
        <f>785.476</f>
        <v>785.476</v>
      </c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>
        <f t="shared" si="23"/>
        <v>785.476</v>
      </c>
      <c r="P114" s="167"/>
      <c r="Q114" s="167"/>
      <c r="R114" s="167"/>
      <c r="S114" s="167"/>
      <c r="T114" s="167"/>
      <c r="U114" s="167">
        <f t="shared" si="24"/>
        <v>0</v>
      </c>
      <c r="V114" s="398"/>
      <c r="W114" s="387">
        <f t="shared" si="22"/>
        <v>785.476</v>
      </c>
    </row>
    <row r="115" spans="1:23" ht="24.95" hidden="1" customHeight="1" x14ac:dyDescent="0.2">
      <c r="A115" s="39">
        <v>8</v>
      </c>
      <c r="B115" s="225" t="s">
        <v>531</v>
      </c>
      <c r="C115" s="34" t="s">
        <v>533</v>
      </c>
      <c r="D115" s="167">
        <v>1185.2080000000001</v>
      </c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>
        <f t="shared" si="23"/>
        <v>1185.2080000000001</v>
      </c>
      <c r="P115" s="167"/>
      <c r="Q115" s="167"/>
      <c r="R115" s="167"/>
      <c r="S115" s="167"/>
      <c r="T115" s="167"/>
      <c r="U115" s="167">
        <f t="shared" si="24"/>
        <v>0</v>
      </c>
      <c r="V115" s="398"/>
      <c r="W115" s="387">
        <f t="shared" si="22"/>
        <v>1185.2080000000001</v>
      </c>
    </row>
    <row r="116" spans="1:23" ht="24.95" hidden="1" customHeight="1" x14ac:dyDescent="0.2">
      <c r="A116" s="39">
        <v>9</v>
      </c>
      <c r="B116" s="225" t="s">
        <v>531</v>
      </c>
      <c r="C116" s="40" t="s">
        <v>534</v>
      </c>
      <c r="D116" s="167">
        <v>184.98599999999999</v>
      </c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>
        <f t="shared" si="23"/>
        <v>184.98599999999999</v>
      </c>
      <c r="P116" s="167"/>
      <c r="Q116" s="167"/>
      <c r="R116" s="167"/>
      <c r="S116" s="167"/>
      <c r="T116" s="167"/>
      <c r="U116" s="167">
        <f t="shared" si="24"/>
        <v>0</v>
      </c>
      <c r="V116" s="398"/>
      <c r="W116" s="387">
        <f t="shared" si="22"/>
        <v>184.98599999999999</v>
      </c>
    </row>
    <row r="117" spans="1:23" ht="24.95" hidden="1" customHeight="1" x14ac:dyDescent="0.2">
      <c r="A117" s="39">
        <v>10</v>
      </c>
      <c r="B117" s="665" t="s">
        <v>535</v>
      </c>
      <c r="C117" s="40" t="s">
        <v>536</v>
      </c>
      <c r="D117" s="167">
        <v>7559.1279999999997</v>
      </c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>
        <f>SUM(D117:N117)</f>
        <v>7559.1279999999997</v>
      </c>
      <c r="P117" s="167"/>
      <c r="Q117" s="167"/>
      <c r="R117" s="167"/>
      <c r="S117" s="167"/>
      <c r="T117" s="167"/>
      <c r="U117" s="167">
        <f>SUM(Q117:T117)</f>
        <v>0</v>
      </c>
      <c r="V117" s="398"/>
      <c r="W117" s="387">
        <f>O117+U117</f>
        <v>7559.1279999999997</v>
      </c>
    </row>
    <row r="118" spans="1:23" ht="24.95" hidden="1" customHeight="1" x14ac:dyDescent="0.2">
      <c r="A118" s="39">
        <v>11</v>
      </c>
      <c r="B118" s="222" t="s">
        <v>539</v>
      </c>
      <c r="C118" s="40" t="s">
        <v>383</v>
      </c>
      <c r="D118" s="167"/>
      <c r="E118" s="167"/>
      <c r="F118" s="167"/>
      <c r="G118" s="167"/>
      <c r="H118" s="167">
        <f>2000+540</f>
        <v>2540</v>
      </c>
      <c r="I118" s="167"/>
      <c r="J118" s="167"/>
      <c r="K118" s="167"/>
      <c r="L118" s="167"/>
      <c r="M118" s="167"/>
      <c r="N118" s="167"/>
      <c r="O118" s="167">
        <f t="shared" si="23"/>
        <v>2540</v>
      </c>
      <c r="P118" s="167"/>
      <c r="Q118" s="167"/>
      <c r="R118" s="167"/>
      <c r="S118" s="167"/>
      <c r="T118" s="167"/>
      <c r="U118" s="167">
        <f t="shared" si="24"/>
        <v>0</v>
      </c>
      <c r="V118" s="398"/>
      <c r="W118" s="387">
        <f t="shared" si="22"/>
        <v>2540</v>
      </c>
    </row>
    <row r="119" spans="1:23" ht="24.95" hidden="1" customHeight="1" x14ac:dyDescent="0.2">
      <c r="A119" s="39"/>
      <c r="B119" s="222"/>
      <c r="C119" s="40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>
        <f t="shared" si="23"/>
        <v>0</v>
      </c>
      <c r="P119" s="167"/>
      <c r="Q119" s="167"/>
      <c r="R119" s="167"/>
      <c r="S119" s="167"/>
      <c r="T119" s="167"/>
      <c r="U119" s="167">
        <f t="shared" si="24"/>
        <v>0</v>
      </c>
      <c r="V119" s="398"/>
      <c r="W119" s="387">
        <f t="shared" si="22"/>
        <v>0</v>
      </c>
    </row>
    <row r="120" spans="1:23" ht="24.95" hidden="1" customHeight="1" x14ac:dyDescent="0.2">
      <c r="A120" s="39"/>
      <c r="B120" s="222"/>
      <c r="C120" s="40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>
        <f t="shared" si="23"/>
        <v>0</v>
      </c>
      <c r="P120" s="167"/>
      <c r="Q120" s="167"/>
      <c r="R120" s="167"/>
      <c r="S120" s="167"/>
      <c r="T120" s="167"/>
      <c r="U120" s="167">
        <f t="shared" si="24"/>
        <v>0</v>
      </c>
      <c r="V120" s="398"/>
      <c r="W120" s="387">
        <f t="shared" si="22"/>
        <v>0</v>
      </c>
    </row>
    <row r="121" spans="1:23" ht="24.95" hidden="1" customHeight="1" x14ac:dyDescent="0.2">
      <c r="A121" s="39"/>
      <c r="B121" s="31"/>
      <c r="C121" s="40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>
        <f t="shared" si="23"/>
        <v>0</v>
      </c>
      <c r="P121" s="167"/>
      <c r="Q121" s="167"/>
      <c r="R121" s="167"/>
      <c r="S121" s="167"/>
      <c r="T121" s="167"/>
      <c r="U121" s="167">
        <f t="shared" si="24"/>
        <v>0</v>
      </c>
      <c r="V121" s="398"/>
      <c r="W121" s="387">
        <f t="shared" si="22"/>
        <v>0</v>
      </c>
    </row>
    <row r="122" spans="1:23" ht="24.95" hidden="1" customHeight="1" x14ac:dyDescent="0.2">
      <c r="A122" s="39"/>
      <c r="B122" s="223"/>
      <c r="C122" s="40"/>
      <c r="D122" s="167"/>
      <c r="E122" s="167"/>
      <c r="G122" s="167"/>
      <c r="H122" s="167"/>
      <c r="I122" s="167"/>
      <c r="J122" s="167"/>
      <c r="K122" s="167"/>
      <c r="L122" s="167"/>
      <c r="M122" s="167"/>
      <c r="N122" s="167"/>
      <c r="O122" s="167">
        <f>SUM(D122:N122)</f>
        <v>0</v>
      </c>
      <c r="P122" s="167"/>
      <c r="Q122" s="167"/>
      <c r="R122" s="167"/>
      <c r="S122" s="167"/>
      <c r="T122" s="167"/>
      <c r="U122" s="167">
        <f t="shared" si="24"/>
        <v>0</v>
      </c>
      <c r="V122" s="398"/>
      <c r="W122" s="387">
        <f t="shared" si="22"/>
        <v>0</v>
      </c>
    </row>
    <row r="123" spans="1:23" ht="24.95" hidden="1" customHeight="1" x14ac:dyDescent="0.2">
      <c r="A123" s="39"/>
      <c r="B123" s="44"/>
      <c r="C123" s="33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>
        <f t="shared" si="23"/>
        <v>0</v>
      </c>
      <c r="P123" s="167"/>
      <c r="Q123" s="167"/>
      <c r="R123" s="167"/>
      <c r="S123" s="167"/>
      <c r="T123" s="167"/>
      <c r="U123" s="167">
        <f t="shared" si="24"/>
        <v>0</v>
      </c>
      <c r="V123" s="398"/>
      <c r="W123" s="387">
        <f t="shared" si="22"/>
        <v>0</v>
      </c>
    </row>
    <row r="124" spans="1:23" ht="24.95" hidden="1" customHeight="1" x14ac:dyDescent="0.2">
      <c r="A124" s="39"/>
      <c r="B124" s="120"/>
      <c r="C124" s="40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>
        <f t="shared" si="23"/>
        <v>0</v>
      </c>
      <c r="P124" s="167"/>
      <c r="Q124" s="167"/>
      <c r="R124" s="167"/>
      <c r="S124" s="167"/>
      <c r="T124" s="167"/>
      <c r="U124" s="167">
        <f t="shared" si="24"/>
        <v>0</v>
      </c>
      <c r="V124" s="398"/>
      <c r="W124" s="387">
        <f t="shared" si="22"/>
        <v>0</v>
      </c>
    </row>
    <row r="125" spans="1:23" ht="24.95" hidden="1" customHeight="1" x14ac:dyDescent="0.2">
      <c r="A125" s="39"/>
      <c r="B125" s="176"/>
      <c r="C125" s="40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>
        <f t="shared" si="23"/>
        <v>0</v>
      </c>
      <c r="P125" s="167"/>
      <c r="Q125" s="167"/>
      <c r="R125" s="167"/>
      <c r="S125" s="167"/>
      <c r="T125" s="167"/>
      <c r="U125" s="167">
        <f t="shared" si="24"/>
        <v>0</v>
      </c>
      <c r="V125" s="398"/>
      <c r="W125" s="387">
        <f t="shared" si="22"/>
        <v>0</v>
      </c>
    </row>
    <row r="126" spans="1:23" ht="24.95" hidden="1" customHeight="1" x14ac:dyDescent="0.2">
      <c r="A126" s="39"/>
      <c r="B126" s="176"/>
      <c r="C126" s="40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>
        <f t="shared" si="23"/>
        <v>0</v>
      </c>
      <c r="P126" s="167"/>
      <c r="Q126" s="167"/>
      <c r="R126" s="167"/>
      <c r="S126" s="167"/>
      <c r="T126" s="167"/>
      <c r="U126" s="167">
        <f t="shared" si="24"/>
        <v>0</v>
      </c>
      <c r="V126" s="398"/>
      <c r="W126" s="387">
        <f t="shared" si="22"/>
        <v>0</v>
      </c>
    </row>
    <row r="127" spans="1:23" ht="24.95" hidden="1" customHeight="1" x14ac:dyDescent="0.2">
      <c r="A127" s="39"/>
      <c r="B127" s="176"/>
      <c r="C127" s="40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>
        <f t="shared" si="23"/>
        <v>0</v>
      </c>
      <c r="P127" s="167"/>
      <c r="Q127" s="167"/>
      <c r="R127" s="167"/>
      <c r="S127" s="167"/>
      <c r="T127" s="167"/>
      <c r="U127" s="167">
        <f t="shared" si="24"/>
        <v>0</v>
      </c>
      <c r="V127" s="398"/>
      <c r="W127" s="387">
        <f t="shared" si="22"/>
        <v>0</v>
      </c>
    </row>
    <row r="128" spans="1:23" ht="24.95" hidden="1" customHeight="1" x14ac:dyDescent="0.2">
      <c r="A128" s="39"/>
      <c r="B128" s="120"/>
      <c r="C128" s="40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>
        <f t="shared" si="23"/>
        <v>0</v>
      </c>
      <c r="P128" s="167"/>
      <c r="Q128" s="167"/>
      <c r="R128" s="167"/>
      <c r="S128" s="167"/>
      <c r="T128" s="167"/>
      <c r="U128" s="167">
        <f t="shared" si="24"/>
        <v>0</v>
      </c>
      <c r="V128" s="398"/>
      <c r="W128" s="387">
        <f t="shared" si="22"/>
        <v>0</v>
      </c>
    </row>
    <row r="129" spans="1:24" ht="24.95" hidden="1" customHeight="1" x14ac:dyDescent="0.2">
      <c r="A129" s="39"/>
      <c r="B129" s="120"/>
      <c r="C129" s="40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398"/>
      <c r="W129" s="387"/>
    </row>
    <row r="130" spans="1:24" ht="13.5" hidden="1" customHeight="1" thickBot="1" x14ac:dyDescent="0.25">
      <c r="A130" s="39"/>
      <c r="B130" s="32"/>
      <c r="C130" s="34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398"/>
      <c r="W130" s="387"/>
    </row>
    <row r="131" spans="1:24" ht="24.95" hidden="1" customHeight="1" thickTop="1" thickBot="1" x14ac:dyDescent="0.25">
      <c r="A131" s="45"/>
      <c r="B131" s="41" t="s">
        <v>150</v>
      </c>
      <c r="C131" s="43" t="s">
        <v>19</v>
      </c>
      <c r="D131" s="199">
        <f t="shared" ref="D131:O131" si="25">SUM(D108:D130)</f>
        <v>20509.798000000003</v>
      </c>
      <c r="E131" s="199">
        <f t="shared" si="25"/>
        <v>0</v>
      </c>
      <c r="F131" s="199">
        <f t="shared" si="25"/>
        <v>2418.8000000000002</v>
      </c>
      <c r="G131" s="199">
        <f t="shared" si="25"/>
        <v>0</v>
      </c>
      <c r="H131" s="199">
        <f t="shared" si="25"/>
        <v>4717</v>
      </c>
      <c r="I131" s="199">
        <f t="shared" si="25"/>
        <v>0</v>
      </c>
      <c r="J131" s="199">
        <f t="shared" si="25"/>
        <v>221500</v>
      </c>
      <c r="K131" s="199">
        <f t="shared" si="25"/>
        <v>0</v>
      </c>
      <c r="L131" s="199">
        <f t="shared" si="25"/>
        <v>0</v>
      </c>
      <c r="M131" s="199">
        <f t="shared" si="25"/>
        <v>0</v>
      </c>
      <c r="N131" s="199">
        <f t="shared" si="25"/>
        <v>0</v>
      </c>
      <c r="O131" s="199">
        <f t="shared" si="25"/>
        <v>249145.598</v>
      </c>
      <c r="P131" s="306"/>
      <c r="Q131" s="199">
        <f>SUM(Q108:Q130)</f>
        <v>0</v>
      </c>
      <c r="R131" s="199">
        <f>SUM(R108:R130)</f>
        <v>0</v>
      </c>
      <c r="S131" s="199">
        <f>SUM(S108:S130)</f>
        <v>0</v>
      </c>
      <c r="T131" s="199">
        <f>SUM(T108:T130)</f>
        <v>0</v>
      </c>
      <c r="U131" s="199">
        <f>SUM(U108:U130)</f>
        <v>0</v>
      </c>
      <c r="V131" s="401"/>
      <c r="W131" s="389">
        <f>O131+U131</f>
        <v>249145.598</v>
      </c>
    </row>
    <row r="132" spans="1:24" ht="24.95" hidden="1" customHeight="1" thickTop="1" x14ac:dyDescent="0.2">
      <c r="A132" s="202"/>
      <c r="B132" s="217"/>
      <c r="C132" s="515"/>
      <c r="D132" s="516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402"/>
      <c r="W132" s="391"/>
      <c r="X132" s="29"/>
    </row>
    <row r="133" spans="1:24" ht="24.95" hidden="1" customHeight="1" x14ac:dyDescent="0.2">
      <c r="A133" s="39"/>
      <c r="B133" s="47"/>
      <c r="C133" s="28" t="s">
        <v>153</v>
      </c>
      <c r="D133" s="152"/>
      <c r="E133" s="152"/>
      <c r="F133" s="152"/>
      <c r="G133" s="152"/>
      <c r="H133" s="167"/>
      <c r="I133" s="152"/>
      <c r="J133" s="152"/>
      <c r="K133" s="152"/>
      <c r="L133" s="152"/>
      <c r="M133" s="152"/>
      <c r="N133" s="152"/>
      <c r="O133" s="152">
        <f t="shared" ref="O133:O147" si="26">SUM(D133:N133)</f>
        <v>0</v>
      </c>
      <c r="P133" s="152"/>
      <c r="Q133" s="152"/>
      <c r="R133" s="152"/>
      <c r="S133" s="152"/>
      <c r="T133" s="152"/>
      <c r="U133" s="152">
        <f t="shared" ref="U133:U147" si="27">SUM(Q133:T133)</f>
        <v>0</v>
      </c>
      <c r="V133" s="403"/>
      <c r="W133" s="387">
        <f t="shared" ref="W133:W147" si="28">O133+U133</f>
        <v>0</v>
      </c>
    </row>
    <row r="134" spans="1:24" ht="24.95" hidden="1" customHeight="1" x14ac:dyDescent="0.2">
      <c r="A134" s="39"/>
      <c r="B134" s="47"/>
      <c r="C134" s="28"/>
      <c r="D134" s="152"/>
      <c r="E134" s="152"/>
      <c r="F134" s="152"/>
      <c r="G134" s="152"/>
      <c r="H134" s="167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403"/>
      <c r="W134" s="387"/>
    </row>
    <row r="135" spans="1:24" ht="24.95" hidden="1" customHeight="1" x14ac:dyDescent="0.2">
      <c r="A135" s="39"/>
      <c r="B135" s="47" t="s">
        <v>542</v>
      </c>
      <c r="C135" s="48" t="s">
        <v>21</v>
      </c>
      <c r="D135" s="328"/>
      <c r="E135" s="152"/>
      <c r="F135" s="152"/>
      <c r="G135" s="152">
        <v>35000</v>
      </c>
      <c r="H135" s="152"/>
      <c r="I135" s="152"/>
      <c r="J135" s="152"/>
      <c r="K135" s="152"/>
      <c r="L135" s="152"/>
      <c r="M135" s="152"/>
      <c r="N135" s="152"/>
      <c r="O135" s="152">
        <f t="shared" si="26"/>
        <v>35000</v>
      </c>
      <c r="P135" s="152"/>
      <c r="Q135" s="152"/>
      <c r="R135" s="152"/>
      <c r="S135" s="152"/>
      <c r="T135" s="152"/>
      <c r="U135" s="152">
        <f t="shared" si="27"/>
        <v>0</v>
      </c>
      <c r="V135" s="403"/>
      <c r="W135" s="387">
        <f t="shared" si="28"/>
        <v>35000</v>
      </c>
    </row>
    <row r="136" spans="1:24" ht="24.95" hidden="1" customHeight="1" x14ac:dyDescent="0.2">
      <c r="A136" s="39"/>
      <c r="B136" s="47" t="s">
        <v>326</v>
      </c>
      <c r="C136" s="48" t="s">
        <v>21</v>
      </c>
      <c r="E136" s="152"/>
      <c r="F136" s="152"/>
      <c r="G136" s="152">
        <v>300</v>
      </c>
      <c r="H136" s="152"/>
      <c r="I136" s="152"/>
      <c r="J136" s="152"/>
      <c r="K136" s="152"/>
      <c r="L136" s="152"/>
      <c r="M136" s="152"/>
      <c r="N136" s="152"/>
      <c r="O136" s="152">
        <f t="shared" si="26"/>
        <v>300</v>
      </c>
      <c r="P136" s="152"/>
      <c r="Q136" s="152"/>
      <c r="R136" s="152"/>
      <c r="S136" s="152"/>
      <c r="T136" s="152"/>
      <c r="U136" s="152">
        <f t="shared" si="27"/>
        <v>0</v>
      </c>
      <c r="V136" s="403"/>
      <c r="W136" s="387">
        <f t="shared" si="28"/>
        <v>300</v>
      </c>
    </row>
    <row r="137" spans="1:24" ht="24.95" hidden="1" customHeight="1" x14ac:dyDescent="0.2">
      <c r="A137" s="39"/>
      <c r="B137" s="47" t="s">
        <v>547</v>
      </c>
      <c r="C137" s="48" t="s">
        <v>21</v>
      </c>
      <c r="D137" s="152"/>
      <c r="E137" s="152"/>
      <c r="F137" s="152"/>
      <c r="G137" s="152">
        <v>-50150</v>
      </c>
      <c r="H137" s="152">
        <f>-29665-185</f>
        <v>-29850</v>
      </c>
      <c r="I137" s="152"/>
      <c r="J137" s="152"/>
      <c r="K137" s="152"/>
      <c r="L137" s="152"/>
      <c r="M137" s="152"/>
      <c r="N137" s="152"/>
      <c r="O137" s="152">
        <f t="shared" si="26"/>
        <v>-80000</v>
      </c>
      <c r="P137" s="152"/>
      <c r="Q137" s="152"/>
      <c r="R137" s="152"/>
      <c r="S137" s="152"/>
      <c r="T137" s="152"/>
      <c r="U137" s="152">
        <f t="shared" si="27"/>
        <v>0</v>
      </c>
      <c r="V137" s="403"/>
      <c r="W137" s="387">
        <f t="shared" si="28"/>
        <v>-80000</v>
      </c>
    </row>
    <row r="138" spans="1:24" ht="24.95" hidden="1" customHeight="1" x14ac:dyDescent="0.2">
      <c r="A138" s="39"/>
      <c r="B138" s="47" t="s">
        <v>549</v>
      </c>
      <c r="C138" s="48" t="s">
        <v>21</v>
      </c>
      <c r="D138" s="152"/>
      <c r="E138" s="152"/>
      <c r="F138" s="152"/>
      <c r="G138" s="152"/>
      <c r="H138" s="152"/>
      <c r="I138" s="152"/>
      <c r="J138" s="152"/>
      <c r="K138" s="152"/>
      <c r="L138" s="152">
        <v>-455033</v>
      </c>
      <c r="M138" s="152"/>
      <c r="N138" s="152"/>
      <c r="O138" s="152">
        <f t="shared" si="26"/>
        <v>-455033</v>
      </c>
      <c r="P138" s="152"/>
      <c r="Q138" s="152"/>
      <c r="R138" s="152"/>
      <c r="S138" s="152"/>
      <c r="T138" s="152"/>
      <c r="U138" s="152">
        <f t="shared" si="27"/>
        <v>0</v>
      </c>
      <c r="V138" s="403"/>
      <c r="W138" s="387">
        <f t="shared" si="28"/>
        <v>-455033</v>
      </c>
    </row>
    <row r="139" spans="1:24" ht="24.95" hidden="1" customHeight="1" x14ac:dyDescent="0.2">
      <c r="A139" s="39"/>
      <c r="B139" s="47" t="s">
        <v>550</v>
      </c>
      <c r="C139" s="48" t="s">
        <v>21</v>
      </c>
      <c r="D139" s="152"/>
      <c r="E139" s="152"/>
      <c r="F139" s="152"/>
      <c r="G139" s="152"/>
      <c r="H139" s="152">
        <f>7766+560</f>
        <v>8326</v>
      </c>
      <c r="I139" s="152"/>
      <c r="J139" s="152"/>
      <c r="K139" s="152"/>
      <c r="L139" s="152">
        <v>127110</v>
      </c>
      <c r="M139" s="152"/>
      <c r="N139" s="152"/>
      <c r="O139" s="152">
        <f t="shared" si="26"/>
        <v>135436</v>
      </c>
      <c r="P139" s="152"/>
      <c r="Q139" s="152"/>
      <c r="R139" s="152"/>
      <c r="S139" s="152"/>
      <c r="T139" s="152"/>
      <c r="U139" s="152">
        <f t="shared" si="27"/>
        <v>0</v>
      </c>
      <c r="V139" s="403"/>
      <c r="W139" s="387">
        <f t="shared" si="28"/>
        <v>135436</v>
      </c>
    </row>
    <row r="140" spans="1:24" ht="24.95" hidden="1" customHeight="1" x14ac:dyDescent="0.2">
      <c r="A140" s="39"/>
      <c r="B140" s="47" t="s">
        <v>551</v>
      </c>
      <c r="C140" s="48" t="s">
        <v>21</v>
      </c>
      <c r="D140" s="152"/>
      <c r="E140" s="152"/>
      <c r="F140" s="152"/>
      <c r="G140" s="152"/>
      <c r="H140" s="152"/>
      <c r="I140" s="152"/>
      <c r="J140" s="152"/>
      <c r="K140" s="152"/>
      <c r="L140" s="152">
        <v>-34526</v>
      </c>
      <c r="M140" s="152"/>
      <c r="N140" s="152"/>
      <c r="O140" s="152">
        <f t="shared" si="26"/>
        <v>-34526</v>
      </c>
      <c r="Q140" s="152"/>
      <c r="R140" s="152"/>
      <c r="S140" s="152"/>
      <c r="T140" s="152"/>
      <c r="U140" s="152">
        <f t="shared" si="27"/>
        <v>0</v>
      </c>
      <c r="V140" s="403"/>
      <c r="W140" s="387">
        <f t="shared" si="28"/>
        <v>-34526</v>
      </c>
    </row>
    <row r="141" spans="1:24" ht="24.95" hidden="1" customHeight="1" x14ac:dyDescent="0.2">
      <c r="A141" s="39"/>
      <c r="B141" s="47" t="s">
        <v>552</v>
      </c>
      <c r="C141" s="48" t="s">
        <v>21</v>
      </c>
      <c r="D141" s="152"/>
      <c r="E141" s="152"/>
      <c r="F141" s="152"/>
      <c r="G141" s="152">
        <v>10000</v>
      </c>
      <c r="H141" s="152">
        <f>60500+16335</f>
        <v>76835</v>
      </c>
      <c r="I141" s="152"/>
      <c r="J141" s="152"/>
      <c r="K141" s="152"/>
      <c r="L141" s="152"/>
      <c r="M141" s="152"/>
      <c r="N141" s="152"/>
      <c r="O141" s="152">
        <f t="shared" si="26"/>
        <v>86835</v>
      </c>
      <c r="Q141" s="152"/>
      <c r="R141" s="152"/>
      <c r="S141" s="152"/>
      <c r="T141" s="152"/>
      <c r="U141" s="152">
        <f t="shared" si="27"/>
        <v>0</v>
      </c>
      <c r="V141" s="403"/>
      <c r="W141" s="387">
        <f t="shared" si="28"/>
        <v>86835</v>
      </c>
    </row>
    <row r="142" spans="1:24" ht="24.95" hidden="1" customHeight="1" x14ac:dyDescent="0.2">
      <c r="A142" s="39"/>
      <c r="B142" s="47" t="s">
        <v>54</v>
      </c>
      <c r="C142" s="48" t="s">
        <v>21</v>
      </c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>
        <f t="shared" si="26"/>
        <v>0</v>
      </c>
      <c r="P142" s="152"/>
      <c r="Q142" s="152"/>
      <c r="R142" s="152"/>
      <c r="S142" s="152"/>
      <c r="T142" s="152"/>
      <c r="U142" s="152">
        <f t="shared" si="27"/>
        <v>0</v>
      </c>
      <c r="V142" s="403"/>
      <c r="W142" s="387">
        <f t="shared" si="28"/>
        <v>0</v>
      </c>
    </row>
    <row r="143" spans="1:24" ht="24.95" hidden="1" customHeight="1" x14ac:dyDescent="0.2">
      <c r="A143" s="39"/>
      <c r="B143" s="47" t="s">
        <v>23</v>
      </c>
      <c r="C143" s="48" t="s">
        <v>21</v>
      </c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>
        <f t="shared" si="26"/>
        <v>0</v>
      </c>
      <c r="P143" s="408"/>
      <c r="Q143" s="152"/>
      <c r="R143" s="152"/>
      <c r="S143" s="152"/>
      <c r="T143" s="152"/>
      <c r="U143" s="152">
        <f t="shared" si="27"/>
        <v>0</v>
      </c>
      <c r="V143" s="403"/>
      <c r="W143" s="387">
        <f t="shared" si="28"/>
        <v>0</v>
      </c>
    </row>
    <row r="144" spans="1:24" ht="24.95" hidden="1" customHeight="1" x14ac:dyDescent="0.2">
      <c r="A144" s="39"/>
      <c r="B144" s="47" t="s">
        <v>55</v>
      </c>
      <c r="C144" s="48" t="s">
        <v>21</v>
      </c>
      <c r="D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>
        <f t="shared" si="26"/>
        <v>0</v>
      </c>
      <c r="P144" s="152"/>
      <c r="Q144" s="152"/>
      <c r="R144" s="152"/>
      <c r="S144" s="152"/>
      <c r="T144" s="152"/>
      <c r="U144" s="152">
        <f t="shared" si="27"/>
        <v>0</v>
      </c>
      <c r="V144" s="403"/>
      <c r="W144" s="387">
        <f t="shared" si="28"/>
        <v>0</v>
      </c>
    </row>
    <row r="145" spans="1:24" ht="24.95" hidden="1" customHeight="1" x14ac:dyDescent="0.2">
      <c r="A145" s="39"/>
      <c r="B145" s="47" t="s">
        <v>90</v>
      </c>
      <c r="C145" s="48" t="s">
        <v>21</v>
      </c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>
        <f t="shared" si="26"/>
        <v>0</v>
      </c>
      <c r="P145" s="152"/>
      <c r="Q145" s="152"/>
      <c r="R145" s="152"/>
      <c r="S145" s="152"/>
      <c r="T145" s="152"/>
      <c r="U145" s="152">
        <f t="shared" si="27"/>
        <v>0</v>
      </c>
      <c r="V145" s="403"/>
      <c r="W145" s="387">
        <f t="shared" si="28"/>
        <v>0</v>
      </c>
    </row>
    <row r="146" spans="1:24" ht="24.95" hidden="1" customHeight="1" x14ac:dyDescent="0.2">
      <c r="A146" s="39"/>
      <c r="B146" s="47" t="s">
        <v>91</v>
      </c>
      <c r="C146" s="48" t="s">
        <v>21</v>
      </c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>
        <f t="shared" si="26"/>
        <v>0</v>
      </c>
      <c r="P146" s="152"/>
      <c r="Q146" s="152"/>
      <c r="R146" s="152"/>
      <c r="S146" s="152"/>
      <c r="T146" s="152"/>
      <c r="U146" s="152">
        <f t="shared" si="27"/>
        <v>0</v>
      </c>
      <c r="V146" s="403"/>
      <c r="W146" s="387">
        <f t="shared" si="28"/>
        <v>0</v>
      </c>
    </row>
    <row r="147" spans="1:24" ht="24.95" hidden="1" customHeight="1" x14ac:dyDescent="0.2">
      <c r="A147" s="39"/>
      <c r="B147" s="47"/>
      <c r="C147" s="40" t="s">
        <v>52</v>
      </c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>
        <f t="shared" si="26"/>
        <v>0</v>
      </c>
      <c r="P147" s="152"/>
      <c r="Q147" s="152"/>
      <c r="R147" s="152"/>
      <c r="S147" s="152"/>
      <c r="T147" s="152"/>
      <c r="U147" s="152">
        <f t="shared" si="27"/>
        <v>0</v>
      </c>
      <c r="V147" s="403"/>
      <c r="W147" s="387">
        <f t="shared" si="28"/>
        <v>0</v>
      </c>
    </row>
    <row r="148" spans="1:24" ht="24.95" hidden="1" customHeight="1" thickBot="1" x14ac:dyDescent="0.25">
      <c r="A148" s="39"/>
      <c r="B148" s="47"/>
      <c r="C148" s="48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403"/>
      <c r="W148" s="387"/>
    </row>
    <row r="149" spans="1:24" ht="24.95" hidden="1" customHeight="1" thickTop="1" thickBot="1" x14ac:dyDescent="0.25">
      <c r="A149" s="46"/>
      <c r="B149" s="42"/>
      <c r="C149" s="43" t="s">
        <v>24</v>
      </c>
      <c r="D149" s="160">
        <f t="shared" ref="D149:O149" si="29">SUM(D133:D148)</f>
        <v>0</v>
      </c>
      <c r="E149" s="160">
        <f t="shared" si="29"/>
        <v>0</v>
      </c>
      <c r="F149" s="160">
        <f t="shared" si="29"/>
        <v>0</v>
      </c>
      <c r="G149" s="160">
        <f t="shared" si="29"/>
        <v>-4850</v>
      </c>
      <c r="H149" s="160">
        <f t="shared" si="29"/>
        <v>55311</v>
      </c>
      <c r="I149" s="160">
        <f t="shared" si="29"/>
        <v>0</v>
      </c>
      <c r="J149" s="160">
        <f t="shared" si="29"/>
        <v>0</v>
      </c>
      <c r="K149" s="160">
        <f t="shared" si="29"/>
        <v>0</v>
      </c>
      <c r="L149" s="160">
        <f t="shared" si="29"/>
        <v>-362449</v>
      </c>
      <c r="M149" s="160">
        <f t="shared" si="29"/>
        <v>0</v>
      </c>
      <c r="N149" s="160">
        <f t="shared" si="29"/>
        <v>0</v>
      </c>
      <c r="O149" s="160">
        <f t="shared" si="29"/>
        <v>-311988</v>
      </c>
      <c r="P149" s="160"/>
      <c r="Q149" s="160">
        <f>SUM(Q133:Q148)</f>
        <v>0</v>
      </c>
      <c r="R149" s="160">
        <f>SUM(R133:R148)</f>
        <v>0</v>
      </c>
      <c r="S149" s="160">
        <f>SUM(S133:S148)</f>
        <v>0</v>
      </c>
      <c r="T149" s="160">
        <f>SUM(T133:T148)</f>
        <v>0</v>
      </c>
      <c r="U149" s="160">
        <f>SUM(U133:U148)</f>
        <v>0</v>
      </c>
      <c r="V149" s="265"/>
      <c r="W149" s="392">
        <f>O149+U149</f>
        <v>-311988</v>
      </c>
    </row>
    <row r="150" spans="1:24" ht="9.9499999999999993" hidden="1" customHeight="1" thickTop="1" x14ac:dyDescent="0.2">
      <c r="A150" s="181"/>
      <c r="B150" s="182"/>
      <c r="C150" s="183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404"/>
      <c r="V150" s="185"/>
      <c r="W150" s="393"/>
    </row>
    <row r="151" spans="1:24" ht="24.95" hidden="1" customHeight="1" x14ac:dyDescent="0.2">
      <c r="A151" s="186"/>
      <c r="B151" s="187"/>
      <c r="C151" s="195" t="s">
        <v>52</v>
      </c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>
        <f>SUM(D151:N151)</f>
        <v>0</v>
      </c>
      <c r="P151" s="188"/>
      <c r="Q151" s="188"/>
      <c r="R151" s="188"/>
      <c r="S151" s="188"/>
      <c r="T151" s="188"/>
      <c r="U151" s="405">
        <f>SUM(Q151:T151)</f>
        <v>0</v>
      </c>
      <c r="V151" s="406"/>
      <c r="W151" s="387">
        <f>O151+U151</f>
        <v>0</v>
      </c>
    </row>
    <row r="152" spans="1:24" ht="9.9499999999999993" hidden="1" customHeight="1" thickBot="1" x14ac:dyDescent="0.25">
      <c r="A152" s="190"/>
      <c r="B152" s="191"/>
      <c r="C152" s="192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407"/>
      <c r="V152" s="194"/>
      <c r="W152" s="394"/>
    </row>
    <row r="153" spans="1:24" ht="24.95" hidden="1" customHeight="1" thickTop="1" thickBot="1" x14ac:dyDescent="0.25">
      <c r="A153" s="670"/>
      <c r="B153" s="671" t="s">
        <v>458</v>
      </c>
      <c r="C153" s="515" t="s">
        <v>124</v>
      </c>
      <c r="D153" s="516">
        <f t="shared" ref="D153:O153" si="30">D107+D131+D149</f>
        <v>2375598.9220000007</v>
      </c>
      <c r="E153" s="516">
        <f t="shared" si="30"/>
        <v>6478.4589999999998</v>
      </c>
      <c r="F153" s="516">
        <f t="shared" si="30"/>
        <v>56559.55</v>
      </c>
      <c r="G153" s="516">
        <f t="shared" si="30"/>
        <v>8849207</v>
      </c>
      <c r="H153" s="516">
        <f t="shared" si="30"/>
        <v>2411464.37</v>
      </c>
      <c r="I153" s="516">
        <f t="shared" si="30"/>
        <v>1801</v>
      </c>
      <c r="J153" s="516">
        <f t="shared" si="30"/>
        <v>271500</v>
      </c>
      <c r="K153" s="516">
        <f t="shared" si="30"/>
        <v>806628</v>
      </c>
      <c r="L153" s="516">
        <f t="shared" si="30"/>
        <v>1148551</v>
      </c>
      <c r="M153" s="516">
        <f t="shared" si="30"/>
        <v>16300</v>
      </c>
      <c r="N153" s="516">
        <f t="shared" si="30"/>
        <v>959</v>
      </c>
      <c r="O153" s="516">
        <f t="shared" si="30"/>
        <v>15945047.300999999</v>
      </c>
      <c r="P153" s="516"/>
      <c r="Q153" s="516">
        <f>Q107+Q131+Q149</f>
        <v>5960000</v>
      </c>
      <c r="R153" s="516">
        <f>R107+R131+R149</f>
        <v>4023597.2149999999</v>
      </c>
      <c r="S153" s="516">
        <f>S107+S131+S149</f>
        <v>0</v>
      </c>
      <c r="T153" s="516">
        <f>T107+T131+T149</f>
        <v>0</v>
      </c>
      <c r="U153" s="516">
        <f>U107+U131+U149</f>
        <v>9983597.2149999999</v>
      </c>
      <c r="V153" s="672"/>
      <c r="W153" s="673">
        <f>W107+W131+W149</f>
        <v>25928644.515999999</v>
      </c>
      <c r="X153" s="29"/>
    </row>
    <row r="154" spans="1:24" ht="24.95" customHeight="1" x14ac:dyDescent="0.2">
      <c r="A154" s="674"/>
      <c r="B154" s="478" t="s">
        <v>155</v>
      </c>
      <c r="C154" s="675" t="s">
        <v>18</v>
      </c>
      <c r="D154" s="148">
        <f t="shared" ref="D154:U154" si="31">D153</f>
        <v>2375598.9220000007</v>
      </c>
      <c r="E154" s="148">
        <f t="shared" si="31"/>
        <v>6478.4589999999998</v>
      </c>
      <c r="F154" s="148">
        <f t="shared" si="31"/>
        <v>56559.55</v>
      </c>
      <c r="G154" s="148">
        <f t="shared" si="31"/>
        <v>8849207</v>
      </c>
      <c r="H154" s="148">
        <f t="shared" si="31"/>
        <v>2411464.37</v>
      </c>
      <c r="I154" s="148">
        <f t="shared" si="31"/>
        <v>1801</v>
      </c>
      <c r="J154" s="148">
        <f t="shared" si="31"/>
        <v>271500</v>
      </c>
      <c r="K154" s="148">
        <f t="shared" si="31"/>
        <v>806628</v>
      </c>
      <c r="L154" s="148">
        <f t="shared" si="31"/>
        <v>1148551</v>
      </c>
      <c r="M154" s="148">
        <f t="shared" si="31"/>
        <v>16300</v>
      </c>
      <c r="N154" s="148">
        <f t="shared" si="31"/>
        <v>959</v>
      </c>
      <c r="O154" s="148">
        <f t="shared" si="31"/>
        <v>15945047.300999999</v>
      </c>
      <c r="P154" s="148"/>
      <c r="Q154" s="148">
        <f t="shared" si="31"/>
        <v>5960000</v>
      </c>
      <c r="R154" s="148">
        <f t="shared" si="31"/>
        <v>4023597.2149999999</v>
      </c>
      <c r="S154" s="148">
        <f t="shared" si="31"/>
        <v>0</v>
      </c>
      <c r="T154" s="148">
        <f t="shared" si="31"/>
        <v>0</v>
      </c>
      <c r="U154" s="148">
        <f t="shared" si="31"/>
        <v>9983597.2149999999</v>
      </c>
      <c r="V154" s="396"/>
      <c r="W154" s="676">
        <f>O154+U154+W151</f>
        <v>25928644.515999999</v>
      </c>
    </row>
    <row r="155" spans="1:24" ht="20.100000000000001" customHeight="1" x14ac:dyDescent="0.2">
      <c r="A155" s="39"/>
      <c r="B155" s="529"/>
      <c r="C155" s="33"/>
      <c r="D155" s="167"/>
      <c r="E155" s="167"/>
      <c r="G155" s="167"/>
      <c r="H155" s="172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398"/>
      <c r="W155" s="387"/>
    </row>
    <row r="156" spans="1:24" ht="21.95" customHeight="1" x14ac:dyDescent="0.2">
      <c r="A156" s="39">
        <v>1</v>
      </c>
      <c r="B156" s="49" t="s">
        <v>562</v>
      </c>
      <c r="C156" s="33" t="s">
        <v>563</v>
      </c>
      <c r="D156" s="167"/>
      <c r="E156" s="167"/>
      <c r="G156" s="167"/>
      <c r="H156" s="172">
        <f>885</f>
        <v>885</v>
      </c>
      <c r="I156" s="167"/>
      <c r="J156" s="167"/>
      <c r="K156" s="167"/>
      <c r="L156" s="167"/>
      <c r="M156" s="167"/>
      <c r="N156" s="167"/>
      <c r="O156" s="167">
        <f>SUM(D156:N156)</f>
        <v>885</v>
      </c>
      <c r="P156" s="167"/>
      <c r="Q156" s="167"/>
      <c r="R156" s="167"/>
      <c r="S156" s="167"/>
      <c r="T156" s="167"/>
      <c r="U156" s="167">
        <f t="shared" ref="U156:U183" si="32">SUM(Q156:T156)</f>
        <v>0</v>
      </c>
      <c r="V156" s="398"/>
      <c r="W156" s="387">
        <f t="shared" ref="W156:W183" si="33">O156+U156</f>
        <v>885</v>
      </c>
    </row>
    <row r="157" spans="1:24" ht="21.95" customHeight="1" x14ac:dyDescent="0.2">
      <c r="A157" s="39">
        <v>2</v>
      </c>
      <c r="B157" s="49" t="s">
        <v>576</v>
      </c>
      <c r="C157" s="33" t="s">
        <v>234</v>
      </c>
      <c r="D157" s="167"/>
      <c r="E157" s="167"/>
      <c r="G157" s="167"/>
      <c r="H157" s="172">
        <f>1600+432</f>
        <v>2032</v>
      </c>
      <c r="I157" s="167"/>
      <c r="J157" s="167"/>
      <c r="K157" s="167"/>
      <c r="L157" s="167"/>
      <c r="M157" s="167"/>
      <c r="N157" s="167"/>
      <c r="O157" s="167">
        <f>SUM(D157:N157)</f>
        <v>2032</v>
      </c>
      <c r="P157" s="167"/>
      <c r="Q157" s="167"/>
      <c r="R157" s="167"/>
      <c r="S157" s="167"/>
      <c r="T157" s="167"/>
      <c r="U157" s="167">
        <f t="shared" si="32"/>
        <v>0</v>
      </c>
      <c r="V157" s="398"/>
      <c r="W157" s="387">
        <f t="shared" si="33"/>
        <v>2032</v>
      </c>
    </row>
    <row r="158" spans="1:24" ht="21.95" customHeight="1" x14ac:dyDescent="0.2">
      <c r="A158" s="39">
        <v>3</v>
      </c>
      <c r="B158" s="270" t="s">
        <v>595</v>
      </c>
      <c r="C158" s="33" t="s">
        <v>563</v>
      </c>
      <c r="D158" s="167"/>
      <c r="E158" s="167"/>
      <c r="G158" s="167"/>
      <c r="H158" s="172">
        <f>652</f>
        <v>652</v>
      </c>
      <c r="I158" s="167"/>
      <c r="J158" s="167"/>
      <c r="K158" s="167"/>
      <c r="L158" s="167"/>
      <c r="M158" s="167"/>
      <c r="N158" s="167"/>
      <c r="O158" s="167">
        <f>SUM(D158:N158)</f>
        <v>652</v>
      </c>
      <c r="P158" s="167"/>
      <c r="Q158" s="167"/>
      <c r="R158" s="167"/>
      <c r="S158" s="167"/>
      <c r="T158" s="167"/>
      <c r="U158" s="167">
        <f>SUM(Q158:T158)</f>
        <v>0</v>
      </c>
      <c r="V158" s="398"/>
      <c r="W158" s="387">
        <f>O158+U158</f>
        <v>652</v>
      </c>
    </row>
    <row r="159" spans="1:24" ht="21.95" customHeight="1" x14ac:dyDescent="0.2">
      <c r="A159" s="39">
        <v>4</v>
      </c>
      <c r="B159" s="270" t="s">
        <v>596</v>
      </c>
      <c r="C159" s="33" t="s">
        <v>234</v>
      </c>
      <c r="D159" s="172"/>
      <c r="E159" s="167"/>
      <c r="F159" s="167"/>
      <c r="G159" s="167"/>
      <c r="H159" s="172">
        <f>2400+648</f>
        <v>3048</v>
      </c>
      <c r="I159" s="167"/>
      <c r="J159" s="167"/>
      <c r="K159" s="167"/>
      <c r="L159" s="167"/>
      <c r="M159" s="167"/>
      <c r="N159" s="167"/>
      <c r="O159" s="167">
        <f t="shared" ref="O159:O183" si="34">SUM(D159:N159)</f>
        <v>3048</v>
      </c>
      <c r="P159" s="167"/>
      <c r="Q159" s="167"/>
      <c r="R159" s="167"/>
      <c r="S159" s="167"/>
      <c r="T159" s="167"/>
      <c r="U159" s="167">
        <f t="shared" si="32"/>
        <v>0</v>
      </c>
      <c r="V159" s="398"/>
      <c r="W159" s="387">
        <f t="shared" si="33"/>
        <v>3048</v>
      </c>
    </row>
    <row r="160" spans="1:24" ht="21.95" customHeight="1" x14ac:dyDescent="0.2">
      <c r="A160" s="39">
        <v>5</v>
      </c>
      <c r="B160" s="49" t="s">
        <v>607</v>
      </c>
      <c r="C160" s="33" t="s">
        <v>608</v>
      </c>
      <c r="D160" s="172">
        <f>758.944</f>
        <v>758.94399999999996</v>
      </c>
      <c r="E160" s="167"/>
      <c r="F160" s="167"/>
      <c r="G160" s="167"/>
      <c r="H160" s="172"/>
      <c r="I160" s="167"/>
      <c r="J160" s="167"/>
      <c r="K160" s="167"/>
      <c r="L160" s="167"/>
      <c r="M160" s="167"/>
      <c r="N160" s="310"/>
      <c r="O160" s="167">
        <f t="shared" si="34"/>
        <v>758.94399999999996</v>
      </c>
      <c r="P160" s="167"/>
      <c r="Q160" s="167"/>
      <c r="R160" s="167"/>
      <c r="S160" s="167"/>
      <c r="T160" s="167"/>
      <c r="U160" s="167">
        <f t="shared" si="32"/>
        <v>0</v>
      </c>
      <c r="V160" s="398"/>
      <c r="W160" s="387">
        <f t="shared" si="33"/>
        <v>758.94399999999996</v>
      </c>
    </row>
    <row r="161" spans="1:23" ht="21.95" customHeight="1" x14ac:dyDescent="0.2">
      <c r="A161" s="39">
        <v>6</v>
      </c>
      <c r="B161" s="49" t="s">
        <v>607</v>
      </c>
      <c r="C161" s="33" t="s">
        <v>609</v>
      </c>
      <c r="D161" s="172">
        <f>1282.598</f>
        <v>1282.598</v>
      </c>
      <c r="E161" s="167"/>
      <c r="F161" s="167"/>
      <c r="G161" s="167"/>
      <c r="H161" s="172"/>
      <c r="I161" s="167"/>
      <c r="J161" s="167"/>
      <c r="K161" s="167"/>
      <c r="L161" s="167"/>
      <c r="M161" s="167"/>
      <c r="O161" s="167">
        <f t="shared" si="34"/>
        <v>1282.598</v>
      </c>
      <c r="P161" s="167"/>
      <c r="Q161" s="167"/>
      <c r="R161" s="167"/>
      <c r="S161" s="167"/>
      <c r="T161" s="167"/>
      <c r="U161" s="167">
        <f t="shared" si="32"/>
        <v>0</v>
      </c>
      <c r="V161" s="398"/>
      <c r="W161" s="387">
        <f t="shared" si="33"/>
        <v>1282.598</v>
      </c>
    </row>
    <row r="162" spans="1:23" ht="21.95" customHeight="1" x14ac:dyDescent="0.2">
      <c r="A162" s="39">
        <v>7</v>
      </c>
      <c r="B162" s="49" t="s">
        <v>607</v>
      </c>
      <c r="C162" s="33" t="s">
        <v>613</v>
      </c>
      <c r="D162" s="172">
        <v>173.035</v>
      </c>
      <c r="E162" s="167"/>
      <c r="F162" s="167"/>
      <c r="G162" s="167"/>
      <c r="H162" s="172"/>
      <c r="I162" s="167"/>
      <c r="J162" s="167"/>
      <c r="K162" s="167"/>
      <c r="L162" s="167"/>
      <c r="M162" s="167"/>
      <c r="N162" s="167"/>
      <c r="O162" s="167">
        <f t="shared" si="34"/>
        <v>173.035</v>
      </c>
      <c r="P162" s="167"/>
      <c r="Q162" s="167"/>
      <c r="R162" s="167"/>
      <c r="S162" s="167"/>
      <c r="T162" s="167"/>
      <c r="U162" s="167">
        <f t="shared" si="32"/>
        <v>0</v>
      </c>
      <c r="V162" s="398"/>
      <c r="W162" s="387">
        <f t="shared" si="33"/>
        <v>173.035</v>
      </c>
    </row>
    <row r="163" spans="1:23" ht="21.95" customHeight="1" x14ac:dyDescent="0.2">
      <c r="A163" s="39">
        <v>8</v>
      </c>
      <c r="B163" s="270" t="s">
        <v>610</v>
      </c>
      <c r="C163" s="33" t="s">
        <v>612</v>
      </c>
      <c r="D163" s="172">
        <v>7837.51</v>
      </c>
      <c r="E163" s="167"/>
      <c r="F163" s="167"/>
      <c r="G163" s="167"/>
      <c r="H163" s="172"/>
      <c r="I163" s="167"/>
      <c r="J163" s="167"/>
      <c r="K163" s="167"/>
      <c r="L163" s="167"/>
      <c r="M163" s="167"/>
      <c r="N163" s="167"/>
      <c r="O163" s="167">
        <f t="shared" si="34"/>
        <v>7837.51</v>
      </c>
      <c r="P163" s="167"/>
      <c r="Q163" s="167"/>
      <c r="R163" s="167"/>
      <c r="S163" s="167"/>
      <c r="T163" s="167"/>
      <c r="U163" s="167">
        <f t="shared" si="32"/>
        <v>0</v>
      </c>
      <c r="V163" s="398"/>
      <c r="W163" s="387">
        <f t="shared" si="33"/>
        <v>7837.51</v>
      </c>
    </row>
    <row r="164" spans="1:23" ht="21.95" customHeight="1" x14ac:dyDescent="0.2">
      <c r="A164" s="39">
        <v>9</v>
      </c>
      <c r="B164" s="270" t="s">
        <v>619</v>
      </c>
      <c r="C164" s="33" t="s">
        <v>620</v>
      </c>
      <c r="D164" s="172"/>
      <c r="E164" s="167"/>
      <c r="F164" s="167"/>
      <c r="G164" s="167"/>
      <c r="H164" s="172">
        <f>21031+5679</f>
        <v>26710</v>
      </c>
      <c r="I164" s="167"/>
      <c r="J164" s="167"/>
      <c r="K164" s="167"/>
      <c r="L164" s="167"/>
      <c r="M164" s="167"/>
      <c r="N164" s="167"/>
      <c r="O164" s="167">
        <f t="shared" si="34"/>
        <v>26710</v>
      </c>
      <c r="P164" s="167"/>
      <c r="Q164" s="167"/>
      <c r="R164" s="167"/>
      <c r="S164" s="167"/>
      <c r="T164" s="167"/>
      <c r="U164" s="167">
        <f t="shared" si="32"/>
        <v>0</v>
      </c>
      <c r="V164" s="398"/>
      <c r="W164" s="387">
        <f t="shared" si="33"/>
        <v>26710</v>
      </c>
    </row>
    <row r="165" spans="1:23" ht="21.95" customHeight="1" x14ac:dyDescent="0.2">
      <c r="A165" s="39">
        <v>10</v>
      </c>
      <c r="B165" s="270" t="s">
        <v>630</v>
      </c>
      <c r="C165" s="33" t="s">
        <v>234</v>
      </c>
      <c r="D165" s="172"/>
      <c r="E165" s="167"/>
      <c r="F165" s="167"/>
      <c r="G165" s="167"/>
      <c r="H165" s="172">
        <f>324+1200</f>
        <v>1524</v>
      </c>
      <c r="I165" s="167"/>
      <c r="J165" s="167"/>
      <c r="K165" s="167"/>
      <c r="M165" s="167"/>
      <c r="N165" s="167"/>
      <c r="O165" s="167">
        <f t="shared" si="34"/>
        <v>1524</v>
      </c>
      <c r="P165" s="167"/>
      <c r="Q165" s="167"/>
      <c r="R165" s="167"/>
      <c r="S165" s="167"/>
      <c r="T165" s="167"/>
      <c r="U165" s="167">
        <f t="shared" si="32"/>
        <v>0</v>
      </c>
      <c r="V165" s="398"/>
      <c r="W165" s="387">
        <f t="shared" si="33"/>
        <v>1524</v>
      </c>
    </row>
    <row r="166" spans="1:23" ht="21.95" customHeight="1" x14ac:dyDescent="0.2">
      <c r="A166" s="39">
        <v>11</v>
      </c>
      <c r="B166" s="366" t="s">
        <v>654</v>
      </c>
      <c r="C166" s="38" t="s">
        <v>656</v>
      </c>
      <c r="D166" s="172">
        <f>201.275-248.678</f>
        <v>-47.402999999999992</v>
      </c>
      <c r="E166" s="167"/>
      <c r="F166" s="167"/>
      <c r="G166" s="167"/>
      <c r="H166" s="172"/>
      <c r="I166" s="167"/>
      <c r="J166" s="167"/>
      <c r="K166" s="167"/>
      <c r="M166" s="167"/>
      <c r="N166" s="167"/>
      <c r="O166" s="167">
        <f t="shared" si="34"/>
        <v>-47.402999999999992</v>
      </c>
      <c r="P166" s="167"/>
      <c r="Q166" s="167"/>
      <c r="R166" s="167"/>
      <c r="S166" s="167"/>
      <c r="T166" s="167"/>
      <c r="U166" s="167">
        <f t="shared" si="32"/>
        <v>0</v>
      </c>
      <c r="V166" s="398"/>
      <c r="W166" s="387">
        <f t="shared" si="33"/>
        <v>-47.402999999999992</v>
      </c>
    </row>
    <row r="167" spans="1:23" ht="21.95" customHeight="1" x14ac:dyDescent="0.2">
      <c r="A167" s="39">
        <v>12</v>
      </c>
      <c r="B167" s="366" t="s">
        <v>654</v>
      </c>
      <c r="C167" s="33" t="s">
        <v>609</v>
      </c>
      <c r="D167" s="172">
        <f>613.351</f>
        <v>613.351</v>
      </c>
      <c r="E167" s="167"/>
      <c r="F167" s="167"/>
      <c r="G167" s="167"/>
      <c r="H167" s="172"/>
      <c r="I167" s="167"/>
      <c r="J167" s="167"/>
      <c r="K167" s="167"/>
      <c r="M167" s="167"/>
      <c r="N167" s="167"/>
      <c r="O167" s="167">
        <f t="shared" si="34"/>
        <v>613.351</v>
      </c>
      <c r="P167" s="167"/>
      <c r="Q167" s="167"/>
      <c r="R167" s="167"/>
      <c r="S167" s="167"/>
      <c r="T167" s="167"/>
      <c r="U167" s="167">
        <f t="shared" si="32"/>
        <v>0</v>
      </c>
      <c r="V167" s="398"/>
      <c r="W167" s="387">
        <f t="shared" si="33"/>
        <v>613.351</v>
      </c>
    </row>
    <row r="168" spans="1:23" ht="21.95" customHeight="1" x14ac:dyDescent="0.2">
      <c r="A168" s="39">
        <v>13</v>
      </c>
      <c r="B168" s="366" t="s">
        <v>654</v>
      </c>
      <c r="C168" s="33" t="s">
        <v>613</v>
      </c>
      <c r="D168" s="172">
        <f>43.977</f>
        <v>43.976999999999997</v>
      </c>
      <c r="E168" s="167"/>
      <c r="F168" s="167"/>
      <c r="G168" s="167"/>
      <c r="H168" s="172"/>
      <c r="I168" s="167"/>
      <c r="J168" s="167"/>
      <c r="K168" s="167"/>
      <c r="L168" s="167"/>
      <c r="M168" s="167"/>
      <c r="N168" s="167"/>
      <c r="O168" s="167">
        <f t="shared" si="34"/>
        <v>43.976999999999997</v>
      </c>
      <c r="P168" s="167"/>
      <c r="Q168" s="167"/>
      <c r="R168" s="167"/>
      <c r="S168" s="167"/>
      <c r="T168" s="167"/>
      <c r="U168" s="167">
        <f t="shared" si="32"/>
        <v>0</v>
      </c>
      <c r="V168" s="409"/>
      <c r="W168" s="387">
        <f t="shared" si="33"/>
        <v>43.976999999999997</v>
      </c>
    </row>
    <row r="169" spans="1:23" ht="30.75" customHeight="1" x14ac:dyDescent="0.2">
      <c r="A169" s="39">
        <v>14</v>
      </c>
      <c r="B169" s="270" t="s">
        <v>655</v>
      </c>
      <c r="C169" s="33" t="s">
        <v>657</v>
      </c>
      <c r="D169" s="172">
        <f>7931.069</f>
        <v>7931.0690000000004</v>
      </c>
      <c r="E169" s="167"/>
      <c r="F169" s="167"/>
      <c r="G169" s="167"/>
      <c r="H169" s="172"/>
      <c r="I169" s="167"/>
      <c r="J169" s="167"/>
      <c r="K169" s="167"/>
      <c r="L169" s="167"/>
      <c r="M169" s="167"/>
      <c r="N169" s="167"/>
      <c r="O169" s="167">
        <f t="shared" si="34"/>
        <v>7931.0690000000004</v>
      </c>
      <c r="P169" s="167"/>
      <c r="Q169" s="167"/>
      <c r="R169" s="167"/>
      <c r="S169" s="167"/>
      <c r="T169" s="167"/>
      <c r="U169" s="167">
        <f t="shared" si="32"/>
        <v>0</v>
      </c>
      <c r="V169" s="398"/>
      <c r="W169" s="387">
        <f t="shared" si="33"/>
        <v>7931.0690000000004</v>
      </c>
    </row>
    <row r="170" spans="1:23" ht="21.95" customHeight="1" x14ac:dyDescent="0.2">
      <c r="A170" s="39">
        <v>15</v>
      </c>
      <c r="B170" s="366" t="s">
        <v>700</v>
      </c>
      <c r="C170" s="33" t="s">
        <v>701</v>
      </c>
      <c r="D170" s="172">
        <f>444</f>
        <v>444</v>
      </c>
      <c r="E170" s="167"/>
      <c r="F170" s="167"/>
      <c r="G170" s="167"/>
      <c r="H170" s="172"/>
      <c r="I170" s="167"/>
      <c r="J170" s="167"/>
      <c r="K170" s="167"/>
      <c r="L170" s="167"/>
      <c r="M170" s="167"/>
      <c r="N170" s="167"/>
      <c r="O170" s="167">
        <f t="shared" si="34"/>
        <v>444</v>
      </c>
      <c r="P170" s="167"/>
      <c r="Q170" s="167"/>
      <c r="R170" s="167"/>
      <c r="S170" s="167"/>
      <c r="T170" s="167"/>
      <c r="U170" s="167">
        <f t="shared" si="32"/>
        <v>0</v>
      </c>
      <c r="V170" s="398"/>
      <c r="W170" s="387">
        <f t="shared" si="33"/>
        <v>444</v>
      </c>
    </row>
    <row r="171" spans="1:23" ht="30.75" customHeight="1" x14ac:dyDescent="0.2">
      <c r="A171" s="39">
        <v>16</v>
      </c>
      <c r="B171" s="270" t="s">
        <v>702</v>
      </c>
      <c r="C171" s="33" t="s">
        <v>703</v>
      </c>
      <c r="D171" s="172"/>
      <c r="E171" s="167"/>
      <c r="F171" s="167"/>
      <c r="G171" s="167"/>
      <c r="H171" s="172">
        <f>16787+4532</f>
        <v>21319</v>
      </c>
      <c r="I171" s="167"/>
      <c r="J171" s="167"/>
      <c r="K171" s="167"/>
      <c r="L171" s="167"/>
      <c r="M171" s="167"/>
      <c r="N171" s="167"/>
      <c r="O171" s="167">
        <f t="shared" si="34"/>
        <v>21319</v>
      </c>
      <c r="P171" s="167"/>
      <c r="Q171" s="167"/>
      <c r="R171" s="167"/>
      <c r="S171" s="167"/>
      <c r="T171" s="167"/>
      <c r="U171" s="167">
        <f t="shared" si="32"/>
        <v>0</v>
      </c>
      <c r="V171" s="398"/>
      <c r="W171" s="387">
        <f t="shared" si="33"/>
        <v>21319</v>
      </c>
    </row>
    <row r="172" spans="1:23" ht="21.95" customHeight="1" x14ac:dyDescent="0.2">
      <c r="A172" s="39">
        <v>17</v>
      </c>
      <c r="B172" s="270" t="s">
        <v>704</v>
      </c>
      <c r="C172" s="33" t="s">
        <v>711</v>
      </c>
      <c r="D172" s="172">
        <f>128188.347+105.48+113373+2636.752+3649.266+25006.86-14254.101+1207.953-134086.4+11849-9382.33</f>
        <v>128293.82700000003</v>
      </c>
      <c r="E172" s="167"/>
      <c r="F172" s="167"/>
      <c r="G172" s="167"/>
      <c r="H172" s="172"/>
      <c r="I172" s="167"/>
      <c r="J172" s="167"/>
      <c r="K172" s="167"/>
      <c r="L172" s="167"/>
      <c r="M172" s="167"/>
      <c r="N172" s="167"/>
      <c r="O172" s="167">
        <f t="shared" si="34"/>
        <v>128293.82700000003</v>
      </c>
      <c r="P172" s="167"/>
      <c r="Q172" s="167"/>
      <c r="R172" s="167"/>
      <c r="S172" s="167"/>
      <c r="T172" s="167"/>
      <c r="U172" s="167">
        <f t="shared" si="32"/>
        <v>0</v>
      </c>
      <c r="V172" s="398"/>
      <c r="W172" s="387">
        <f t="shared" si="33"/>
        <v>128293.82700000003</v>
      </c>
    </row>
    <row r="173" spans="1:23" ht="21.95" customHeight="1" x14ac:dyDescent="0.2">
      <c r="A173" s="39">
        <v>18</v>
      </c>
      <c r="B173" s="270" t="s">
        <v>714</v>
      </c>
      <c r="C173" s="33" t="s">
        <v>715</v>
      </c>
      <c r="D173" s="172"/>
      <c r="E173" s="167"/>
      <c r="F173" s="167">
        <f>475</f>
        <v>475</v>
      </c>
      <c r="G173" s="167"/>
      <c r="H173" s="172"/>
      <c r="I173" s="167"/>
      <c r="J173" s="167"/>
      <c r="K173" s="167"/>
      <c r="L173" s="167"/>
      <c r="M173" s="167"/>
      <c r="N173" s="167"/>
      <c r="O173" s="167">
        <f t="shared" si="34"/>
        <v>475</v>
      </c>
      <c r="P173" s="167"/>
      <c r="Q173" s="167"/>
      <c r="R173" s="167"/>
      <c r="S173" s="167"/>
      <c r="T173" s="167"/>
      <c r="U173" s="167">
        <f t="shared" si="32"/>
        <v>0</v>
      </c>
      <c r="V173" s="398"/>
      <c r="W173" s="387">
        <f t="shared" si="33"/>
        <v>475</v>
      </c>
    </row>
    <row r="174" spans="1:23" ht="21.95" customHeight="1" x14ac:dyDescent="0.2">
      <c r="A174" s="39">
        <v>19</v>
      </c>
      <c r="B174" s="706" t="s">
        <v>718</v>
      </c>
      <c r="C174" s="33" t="s">
        <v>719</v>
      </c>
      <c r="D174" s="172"/>
      <c r="E174" s="167"/>
      <c r="F174" s="167"/>
      <c r="G174" s="167"/>
      <c r="H174" s="172">
        <f>1175</f>
        <v>1175</v>
      </c>
      <c r="I174" s="167"/>
      <c r="J174" s="167"/>
      <c r="K174" s="167"/>
      <c r="L174" s="167"/>
      <c r="M174" s="167"/>
      <c r="N174" s="167"/>
      <c r="O174" s="167">
        <f t="shared" si="34"/>
        <v>1175</v>
      </c>
      <c r="P174" s="167"/>
      <c r="Q174" s="167"/>
      <c r="R174" s="167"/>
      <c r="S174" s="167"/>
      <c r="T174" s="167"/>
      <c r="U174" s="167">
        <f t="shared" si="32"/>
        <v>0</v>
      </c>
      <c r="V174" s="398"/>
      <c r="W174" s="387">
        <f t="shared" si="33"/>
        <v>1175</v>
      </c>
    </row>
    <row r="175" spans="1:23" ht="20.100000000000001" hidden="1" customHeight="1" x14ac:dyDescent="0.2">
      <c r="A175" s="39"/>
      <c r="B175" s="49"/>
      <c r="C175" s="33"/>
      <c r="D175" s="172"/>
      <c r="E175" s="167"/>
      <c r="F175" s="167"/>
      <c r="G175" s="167"/>
      <c r="H175" s="172"/>
      <c r="I175" s="167"/>
      <c r="J175" s="167"/>
      <c r="K175" s="167"/>
      <c r="L175" s="167"/>
      <c r="M175" s="167"/>
      <c r="N175" s="167"/>
      <c r="O175" s="167">
        <f t="shared" si="34"/>
        <v>0</v>
      </c>
      <c r="P175" s="167"/>
      <c r="Q175" s="167"/>
      <c r="R175" s="167"/>
      <c r="S175" s="167"/>
      <c r="T175" s="167"/>
      <c r="U175" s="167">
        <f t="shared" si="32"/>
        <v>0</v>
      </c>
      <c r="V175" s="398"/>
      <c r="W175" s="387">
        <f t="shared" si="33"/>
        <v>0</v>
      </c>
    </row>
    <row r="176" spans="1:23" ht="20.100000000000001" hidden="1" customHeight="1" x14ac:dyDescent="0.2">
      <c r="A176" s="39"/>
      <c r="B176" s="49"/>
      <c r="C176" s="33"/>
      <c r="D176" s="172"/>
      <c r="E176" s="167"/>
      <c r="F176" s="167"/>
      <c r="G176" s="167"/>
      <c r="H176" s="172"/>
      <c r="I176" s="167"/>
      <c r="J176" s="167"/>
      <c r="K176" s="167"/>
      <c r="L176" s="167"/>
      <c r="M176" s="167"/>
      <c r="N176" s="167"/>
      <c r="O176" s="167">
        <f t="shared" si="34"/>
        <v>0</v>
      </c>
      <c r="P176" s="167"/>
      <c r="Q176" s="167"/>
      <c r="R176" s="167"/>
      <c r="S176" s="167"/>
      <c r="T176" s="167"/>
      <c r="U176" s="167">
        <f t="shared" si="32"/>
        <v>0</v>
      </c>
      <c r="V176" s="398"/>
      <c r="W176" s="387">
        <f t="shared" si="33"/>
        <v>0</v>
      </c>
    </row>
    <row r="177" spans="1:23" ht="20.100000000000001" hidden="1" customHeight="1" x14ac:dyDescent="0.2">
      <c r="A177" s="39"/>
      <c r="B177" s="49"/>
      <c r="C177" s="33"/>
      <c r="D177" s="172"/>
      <c r="E177" s="167"/>
      <c r="F177" s="167"/>
      <c r="G177" s="167"/>
      <c r="H177" s="172"/>
      <c r="I177" s="167"/>
      <c r="J177" s="167"/>
      <c r="K177" s="167"/>
      <c r="L177" s="167"/>
      <c r="M177" s="167"/>
      <c r="N177" s="167"/>
      <c r="O177" s="167">
        <f t="shared" si="34"/>
        <v>0</v>
      </c>
      <c r="P177" s="167"/>
      <c r="Q177" s="167"/>
      <c r="R177" s="167"/>
      <c r="S177" s="167"/>
      <c r="T177" s="167"/>
      <c r="U177" s="167">
        <f t="shared" si="32"/>
        <v>0</v>
      </c>
      <c r="V177" s="398"/>
      <c r="W177" s="387">
        <f t="shared" si="33"/>
        <v>0</v>
      </c>
    </row>
    <row r="178" spans="1:23" ht="20.100000000000001" hidden="1" customHeight="1" x14ac:dyDescent="0.2">
      <c r="A178" s="39"/>
      <c r="B178" s="49"/>
      <c r="C178" s="33"/>
      <c r="D178" s="172"/>
      <c r="E178" s="167"/>
      <c r="F178" s="167"/>
      <c r="G178" s="167"/>
      <c r="H178" s="172"/>
      <c r="I178" s="167"/>
      <c r="J178" s="167"/>
      <c r="K178" s="167"/>
      <c r="L178" s="167"/>
      <c r="M178" s="167"/>
      <c r="N178" s="167"/>
      <c r="O178" s="167">
        <f t="shared" si="34"/>
        <v>0</v>
      </c>
      <c r="P178" s="167"/>
      <c r="Q178" s="167"/>
      <c r="R178" s="167"/>
      <c r="S178" s="167"/>
      <c r="T178" s="167"/>
      <c r="U178" s="167">
        <f t="shared" si="32"/>
        <v>0</v>
      </c>
      <c r="V178" s="398"/>
      <c r="W178" s="387">
        <f t="shared" si="33"/>
        <v>0</v>
      </c>
    </row>
    <row r="179" spans="1:23" ht="20.100000000000001" hidden="1" customHeight="1" x14ac:dyDescent="0.2">
      <c r="A179" s="39"/>
      <c r="B179" s="49"/>
      <c r="C179" s="33"/>
      <c r="D179" s="172"/>
      <c r="E179" s="167"/>
      <c r="F179" s="167"/>
      <c r="G179" s="167"/>
      <c r="H179" s="172"/>
      <c r="I179" s="167"/>
      <c r="J179" s="167"/>
      <c r="K179" s="167"/>
      <c r="L179" s="167"/>
      <c r="M179" s="167"/>
      <c r="N179" s="167"/>
      <c r="O179" s="167">
        <f t="shared" si="34"/>
        <v>0</v>
      </c>
      <c r="P179" s="167"/>
      <c r="Q179" s="167"/>
      <c r="R179" s="167"/>
      <c r="S179" s="167"/>
      <c r="T179" s="167"/>
      <c r="U179" s="167">
        <f t="shared" si="32"/>
        <v>0</v>
      </c>
      <c r="V179" s="398"/>
      <c r="W179" s="387">
        <f t="shared" si="33"/>
        <v>0</v>
      </c>
    </row>
    <row r="180" spans="1:23" ht="20.100000000000001" hidden="1" customHeight="1" x14ac:dyDescent="0.2">
      <c r="A180" s="39"/>
      <c r="B180" s="49"/>
      <c r="C180" s="38"/>
      <c r="D180" s="172"/>
      <c r="E180" s="167"/>
      <c r="F180" s="167"/>
      <c r="G180" s="167"/>
      <c r="H180" s="172"/>
      <c r="I180" s="167"/>
      <c r="J180" s="167"/>
      <c r="K180" s="167"/>
      <c r="L180" s="167"/>
      <c r="M180" s="167"/>
      <c r="N180" s="167"/>
      <c r="O180" s="167">
        <f t="shared" si="34"/>
        <v>0</v>
      </c>
      <c r="P180" s="167"/>
      <c r="Q180" s="167"/>
      <c r="R180" s="167"/>
      <c r="S180" s="167"/>
      <c r="T180" s="167"/>
      <c r="U180" s="167">
        <f t="shared" si="32"/>
        <v>0</v>
      </c>
      <c r="V180" s="398"/>
      <c r="W180" s="387">
        <f t="shared" si="33"/>
        <v>0</v>
      </c>
    </row>
    <row r="181" spans="1:23" ht="20.100000000000001" hidden="1" customHeight="1" x14ac:dyDescent="0.2">
      <c r="A181" s="39"/>
      <c r="B181" s="49"/>
      <c r="C181" s="33"/>
      <c r="D181" s="172"/>
      <c r="E181" s="167"/>
      <c r="F181" s="167"/>
      <c r="G181" s="167"/>
      <c r="H181" s="172"/>
      <c r="I181" s="167"/>
      <c r="J181" s="167"/>
      <c r="K181" s="167"/>
      <c r="L181" s="167"/>
      <c r="M181" s="167"/>
      <c r="N181" s="167"/>
      <c r="O181" s="167">
        <f t="shared" si="34"/>
        <v>0</v>
      </c>
      <c r="P181" s="167"/>
      <c r="Q181" s="167"/>
      <c r="R181" s="167"/>
      <c r="S181" s="167"/>
      <c r="T181" s="167"/>
      <c r="U181" s="167">
        <f t="shared" si="32"/>
        <v>0</v>
      </c>
      <c r="V181" s="398"/>
      <c r="W181" s="387">
        <f t="shared" si="33"/>
        <v>0</v>
      </c>
    </row>
    <row r="182" spans="1:23" ht="9.9499999999999993" hidden="1" customHeight="1" x14ac:dyDescent="0.2">
      <c r="A182" s="39"/>
      <c r="B182" s="49"/>
      <c r="C182" s="33"/>
      <c r="D182" s="172"/>
      <c r="E182" s="167"/>
      <c r="F182" s="167"/>
      <c r="G182" s="167"/>
      <c r="H182" s="172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>
        <f t="shared" si="32"/>
        <v>0</v>
      </c>
      <c r="V182" s="398"/>
      <c r="W182" s="387">
        <f t="shared" si="33"/>
        <v>0</v>
      </c>
    </row>
    <row r="183" spans="1:23" ht="20.100000000000001" hidden="1" customHeight="1" x14ac:dyDescent="0.2">
      <c r="A183" s="39"/>
      <c r="B183" s="49"/>
      <c r="C183" s="33" t="s">
        <v>52</v>
      </c>
      <c r="D183" s="172"/>
      <c r="E183" s="167"/>
      <c r="F183" s="167"/>
      <c r="G183" s="167"/>
      <c r="H183" s="172"/>
      <c r="I183" s="167"/>
      <c r="J183" s="167"/>
      <c r="K183" s="167"/>
      <c r="L183" s="167"/>
      <c r="M183" s="167"/>
      <c r="N183" s="167"/>
      <c r="O183" s="167">
        <f t="shared" si="34"/>
        <v>0</v>
      </c>
      <c r="P183" s="167"/>
      <c r="Q183" s="167"/>
      <c r="R183" s="167"/>
      <c r="S183" s="167"/>
      <c r="T183" s="167"/>
      <c r="U183" s="167">
        <f t="shared" si="32"/>
        <v>0</v>
      </c>
      <c r="V183" s="398"/>
      <c r="W183" s="387">
        <f t="shared" si="33"/>
        <v>0</v>
      </c>
    </row>
    <row r="184" spans="1:23" ht="21.95" customHeight="1" thickBot="1" x14ac:dyDescent="0.25">
      <c r="A184" s="39"/>
      <c r="B184" s="49"/>
      <c r="C184" s="291"/>
      <c r="D184" s="172"/>
      <c r="E184" s="167"/>
      <c r="F184" s="167"/>
      <c r="G184" s="167"/>
      <c r="H184" s="172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398"/>
      <c r="W184" s="387"/>
    </row>
    <row r="185" spans="1:23" ht="24.95" customHeight="1" thickTop="1" thickBot="1" x14ac:dyDescent="0.25">
      <c r="A185" s="46"/>
      <c r="B185" s="253" t="s">
        <v>557</v>
      </c>
      <c r="C185" s="43" t="s">
        <v>25</v>
      </c>
      <c r="D185" s="714">
        <f>SUM(D155:D184)</f>
        <v>147330.90800000002</v>
      </c>
      <c r="E185" s="173">
        <f t="shared" ref="E185:U185" si="35">SUM(E155:E184)</f>
        <v>0</v>
      </c>
      <c r="F185" s="173">
        <f t="shared" si="35"/>
        <v>475</v>
      </c>
      <c r="G185" s="173">
        <f t="shared" si="35"/>
        <v>0</v>
      </c>
      <c r="H185" s="173">
        <f t="shared" si="35"/>
        <v>57345</v>
      </c>
      <c r="I185" s="173">
        <f t="shared" si="35"/>
        <v>0</v>
      </c>
      <c r="J185" s="173">
        <f t="shared" si="35"/>
        <v>0</v>
      </c>
      <c r="K185" s="173">
        <f t="shared" si="35"/>
        <v>0</v>
      </c>
      <c r="L185" s="173">
        <f t="shared" si="35"/>
        <v>0</v>
      </c>
      <c r="M185" s="367">
        <f t="shared" si="35"/>
        <v>0</v>
      </c>
      <c r="N185" s="173">
        <f t="shared" si="35"/>
        <v>0</v>
      </c>
      <c r="O185" s="173">
        <f t="shared" si="35"/>
        <v>205150.90800000005</v>
      </c>
      <c r="P185" s="173"/>
      <c r="Q185" s="173">
        <f t="shared" si="35"/>
        <v>0</v>
      </c>
      <c r="R185" s="200">
        <f t="shared" si="35"/>
        <v>0</v>
      </c>
      <c r="S185" s="200">
        <f t="shared" si="35"/>
        <v>0</v>
      </c>
      <c r="T185" s="173">
        <f t="shared" si="35"/>
        <v>0</v>
      </c>
      <c r="U185" s="173">
        <f t="shared" si="35"/>
        <v>0</v>
      </c>
      <c r="V185" s="165"/>
      <c r="W185" s="395">
        <f>O185+U185</f>
        <v>205150.90800000005</v>
      </c>
    </row>
    <row r="186" spans="1:23" ht="24.95" customHeight="1" thickTop="1" thickBot="1" x14ac:dyDescent="0.25">
      <c r="A186" s="46"/>
      <c r="B186" s="42" t="s">
        <v>155</v>
      </c>
      <c r="C186" s="43" t="s">
        <v>125</v>
      </c>
      <c r="D186" s="199">
        <f t="shared" ref="D186:W186" si="36">D154+D185</f>
        <v>2522929.8300000005</v>
      </c>
      <c r="E186" s="199">
        <f t="shared" si="36"/>
        <v>6478.4589999999998</v>
      </c>
      <c r="F186" s="199">
        <f t="shared" si="36"/>
        <v>57034.55</v>
      </c>
      <c r="G186" s="199">
        <f t="shared" si="36"/>
        <v>8849207</v>
      </c>
      <c r="H186" s="199">
        <f t="shared" si="36"/>
        <v>2468809.37</v>
      </c>
      <c r="I186" s="199">
        <f t="shared" si="36"/>
        <v>1801</v>
      </c>
      <c r="J186" s="199">
        <f t="shared" si="36"/>
        <v>271500</v>
      </c>
      <c r="K186" s="199">
        <f t="shared" si="36"/>
        <v>806628</v>
      </c>
      <c r="L186" s="199">
        <f t="shared" si="36"/>
        <v>1148551</v>
      </c>
      <c r="M186" s="199">
        <f t="shared" si="36"/>
        <v>16300</v>
      </c>
      <c r="N186" s="199">
        <f t="shared" si="36"/>
        <v>959</v>
      </c>
      <c r="O186" s="199">
        <f t="shared" si="36"/>
        <v>16150198.208999999</v>
      </c>
      <c r="P186" s="199"/>
      <c r="Q186" s="199">
        <f t="shared" si="36"/>
        <v>5960000</v>
      </c>
      <c r="R186" s="199">
        <f t="shared" si="36"/>
        <v>4023597.2149999999</v>
      </c>
      <c r="S186" s="199">
        <f t="shared" si="36"/>
        <v>0</v>
      </c>
      <c r="T186" s="199">
        <f t="shared" si="36"/>
        <v>0</v>
      </c>
      <c r="U186" s="360">
        <f t="shared" si="36"/>
        <v>9983597.2149999999</v>
      </c>
      <c r="V186" s="410"/>
      <c r="W186" s="395">
        <f t="shared" si="36"/>
        <v>26133795.423999999</v>
      </c>
    </row>
    <row r="187" spans="1:23" ht="24.95" hidden="1" customHeight="1" thickTop="1" x14ac:dyDescent="0.2">
      <c r="A187" s="545"/>
      <c r="B187" s="178" t="s">
        <v>159</v>
      </c>
      <c r="C187" s="530" t="s">
        <v>18</v>
      </c>
      <c r="D187" s="518">
        <f t="shared" ref="D187:U187" si="37">D186</f>
        <v>2522929.8300000005</v>
      </c>
      <c r="E187" s="518">
        <f t="shared" si="37"/>
        <v>6478.4589999999998</v>
      </c>
      <c r="F187" s="518">
        <f t="shared" si="37"/>
        <v>57034.55</v>
      </c>
      <c r="G187" s="518">
        <f t="shared" si="37"/>
        <v>8849207</v>
      </c>
      <c r="H187" s="518">
        <f t="shared" si="37"/>
        <v>2468809.37</v>
      </c>
      <c r="I187" s="518">
        <f t="shared" si="37"/>
        <v>1801</v>
      </c>
      <c r="J187" s="518">
        <f t="shared" si="37"/>
        <v>271500</v>
      </c>
      <c r="K187" s="518">
        <f t="shared" si="37"/>
        <v>806628</v>
      </c>
      <c r="L187" s="518">
        <f t="shared" si="37"/>
        <v>1148551</v>
      </c>
      <c r="M187" s="518">
        <f t="shared" si="37"/>
        <v>16300</v>
      </c>
      <c r="N187" s="518">
        <f t="shared" si="37"/>
        <v>959</v>
      </c>
      <c r="O187" s="518">
        <f t="shared" si="37"/>
        <v>16150198.208999999</v>
      </c>
      <c r="P187" s="518"/>
      <c r="Q187" s="518">
        <f t="shared" si="37"/>
        <v>5960000</v>
      </c>
      <c r="R187" s="518">
        <f t="shared" si="37"/>
        <v>4023597.2149999999</v>
      </c>
      <c r="S187" s="518">
        <f t="shared" si="37"/>
        <v>0</v>
      </c>
      <c r="T187" s="518">
        <f t="shared" si="37"/>
        <v>0</v>
      </c>
      <c r="U187" s="518">
        <f t="shared" si="37"/>
        <v>9983597.2149999999</v>
      </c>
      <c r="V187" s="519"/>
      <c r="W187" s="520">
        <f>O187+U187+W184</f>
        <v>26133795.423999999</v>
      </c>
    </row>
    <row r="188" spans="1:23" ht="24.95" hidden="1" customHeight="1" x14ac:dyDescent="0.2">
      <c r="A188" s="39">
        <v>1</v>
      </c>
      <c r="B188" s="49"/>
      <c r="C188" s="50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>
        <f t="shared" ref="O188:O214" si="38">SUM(D188:N188)</f>
        <v>0</v>
      </c>
      <c r="P188" s="167"/>
      <c r="Q188" s="167"/>
      <c r="R188" s="167"/>
      <c r="S188" s="167"/>
      <c r="T188" s="167"/>
      <c r="U188" s="269">
        <f>SUM(Q188:T188)</f>
        <v>0</v>
      </c>
      <c r="V188" s="531"/>
      <c r="W188" s="169">
        <f>O188+U188</f>
        <v>0</v>
      </c>
    </row>
    <row r="189" spans="1:23" ht="24.95" hidden="1" customHeight="1" x14ac:dyDescent="0.2">
      <c r="A189" s="39"/>
      <c r="B189" s="270"/>
      <c r="C189" s="50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>
        <f t="shared" si="38"/>
        <v>0</v>
      </c>
      <c r="P189" s="167"/>
      <c r="Q189" s="167"/>
      <c r="R189" s="167"/>
      <c r="S189" s="167"/>
      <c r="T189" s="167"/>
      <c r="U189" s="167">
        <f>SUM(Q189:T189)</f>
        <v>0</v>
      </c>
      <c r="V189" s="398"/>
      <c r="W189" s="169">
        <f t="shared" ref="W189:W212" si="39">O189+U189</f>
        <v>0</v>
      </c>
    </row>
    <row r="190" spans="1:23" ht="24.95" hidden="1" customHeight="1" x14ac:dyDescent="0.2">
      <c r="A190" s="39">
        <v>2</v>
      </c>
      <c r="B190" s="270"/>
      <c r="C190" s="50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>
        <f t="shared" si="38"/>
        <v>0</v>
      </c>
      <c r="P190" s="167"/>
      <c r="Q190" s="167"/>
      <c r="R190" s="167"/>
      <c r="S190" s="167"/>
      <c r="T190" s="167"/>
      <c r="U190" s="167">
        <f t="shared" ref="U190:U212" si="40">SUM(Q190:T190)</f>
        <v>0</v>
      </c>
      <c r="V190" s="398"/>
      <c r="W190" s="169">
        <f t="shared" si="39"/>
        <v>0</v>
      </c>
    </row>
    <row r="191" spans="1:23" ht="24.95" hidden="1" customHeight="1" x14ac:dyDescent="0.2">
      <c r="A191" s="39">
        <v>3</v>
      </c>
      <c r="B191" s="270"/>
      <c r="C191" s="50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>
        <f t="shared" si="38"/>
        <v>0</v>
      </c>
      <c r="P191" s="167"/>
      <c r="Q191" s="167"/>
      <c r="R191" s="167"/>
      <c r="S191" s="167"/>
      <c r="T191" s="167"/>
      <c r="U191" s="167">
        <f t="shared" si="40"/>
        <v>0</v>
      </c>
      <c r="V191" s="398"/>
      <c r="W191" s="169">
        <f t="shared" si="39"/>
        <v>0</v>
      </c>
    </row>
    <row r="192" spans="1:23" ht="24.95" hidden="1" customHeight="1" x14ac:dyDescent="0.2">
      <c r="A192" s="39">
        <v>4</v>
      </c>
      <c r="B192" s="49"/>
      <c r="C192" s="50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>
        <f t="shared" si="38"/>
        <v>0</v>
      </c>
      <c r="P192" s="167"/>
      <c r="Q192" s="167"/>
      <c r="R192" s="167"/>
      <c r="S192" s="167"/>
      <c r="T192" s="167"/>
      <c r="U192" s="167">
        <f t="shared" si="40"/>
        <v>0</v>
      </c>
      <c r="V192" s="398"/>
      <c r="W192" s="169">
        <f t="shared" si="39"/>
        <v>0</v>
      </c>
    </row>
    <row r="193" spans="1:23" ht="24.95" hidden="1" customHeight="1" x14ac:dyDescent="0.2">
      <c r="A193" s="39">
        <v>5</v>
      </c>
      <c r="B193" s="49"/>
      <c r="C193" s="50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>
        <f t="shared" si="38"/>
        <v>0</v>
      </c>
      <c r="P193" s="167"/>
      <c r="Q193" s="167"/>
      <c r="R193" s="167"/>
      <c r="S193" s="167"/>
      <c r="T193" s="167"/>
      <c r="U193" s="167">
        <f t="shared" si="40"/>
        <v>0</v>
      </c>
      <c r="V193" s="398"/>
      <c r="W193" s="169">
        <f t="shared" si="39"/>
        <v>0</v>
      </c>
    </row>
    <row r="194" spans="1:23" ht="24.95" hidden="1" customHeight="1" x14ac:dyDescent="0.2">
      <c r="A194" s="39">
        <v>6</v>
      </c>
      <c r="B194" s="270"/>
      <c r="C194" s="50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>
        <f t="shared" si="38"/>
        <v>0</v>
      </c>
      <c r="P194" s="167"/>
      <c r="Q194" s="167"/>
      <c r="R194" s="167"/>
      <c r="S194" s="167"/>
      <c r="T194" s="167"/>
      <c r="U194" s="167">
        <f t="shared" si="40"/>
        <v>0</v>
      </c>
      <c r="V194" s="398"/>
      <c r="W194" s="169">
        <f t="shared" si="39"/>
        <v>0</v>
      </c>
    </row>
    <row r="195" spans="1:23" ht="24.95" hidden="1" customHeight="1" x14ac:dyDescent="0.2">
      <c r="A195" s="39">
        <v>7</v>
      </c>
      <c r="B195" s="49"/>
      <c r="C195" s="50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>
        <f t="shared" si="38"/>
        <v>0</v>
      </c>
      <c r="P195" s="167"/>
      <c r="Q195" s="167"/>
      <c r="R195" s="167"/>
      <c r="S195" s="167"/>
      <c r="T195" s="167"/>
      <c r="U195" s="167">
        <f t="shared" si="40"/>
        <v>0</v>
      </c>
      <c r="V195" s="398"/>
      <c r="W195" s="169">
        <f t="shared" si="39"/>
        <v>0</v>
      </c>
    </row>
    <row r="196" spans="1:23" ht="24.95" hidden="1" customHeight="1" x14ac:dyDescent="0.2">
      <c r="A196" s="39">
        <v>8</v>
      </c>
      <c r="B196" s="270"/>
      <c r="C196" s="50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>
        <f t="shared" si="38"/>
        <v>0</v>
      </c>
      <c r="P196" s="167"/>
      <c r="Q196" s="167"/>
      <c r="R196" s="167"/>
      <c r="S196" s="167"/>
      <c r="T196" s="167"/>
      <c r="U196" s="167">
        <f t="shared" si="40"/>
        <v>0</v>
      </c>
      <c r="V196" s="398"/>
      <c r="W196" s="169">
        <f t="shared" si="39"/>
        <v>0</v>
      </c>
    </row>
    <row r="197" spans="1:23" ht="24.95" hidden="1" customHeight="1" x14ac:dyDescent="0.2">
      <c r="A197" s="39">
        <v>9</v>
      </c>
      <c r="B197" s="270"/>
      <c r="C197" s="50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>
        <f t="shared" si="38"/>
        <v>0</v>
      </c>
      <c r="P197" s="167"/>
      <c r="Q197" s="167"/>
      <c r="R197" s="167"/>
      <c r="S197" s="167"/>
      <c r="T197" s="167"/>
      <c r="U197" s="167">
        <f t="shared" si="40"/>
        <v>0</v>
      </c>
      <c r="V197" s="398"/>
      <c r="W197" s="169">
        <f t="shared" si="39"/>
        <v>0</v>
      </c>
    </row>
    <row r="198" spans="1:23" ht="24.95" hidden="1" customHeight="1" x14ac:dyDescent="0.2">
      <c r="A198" s="39">
        <v>10</v>
      </c>
      <c r="B198" s="270"/>
      <c r="C198" s="50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>
        <f t="shared" si="38"/>
        <v>0</v>
      </c>
      <c r="P198" s="167"/>
      <c r="Q198" s="167"/>
      <c r="R198" s="167"/>
      <c r="S198" s="167"/>
      <c r="T198" s="167"/>
      <c r="U198" s="167">
        <f t="shared" si="40"/>
        <v>0</v>
      </c>
      <c r="V198" s="398"/>
      <c r="W198" s="169">
        <f t="shared" si="39"/>
        <v>0</v>
      </c>
    </row>
    <row r="199" spans="1:23" ht="24.95" hidden="1" customHeight="1" x14ac:dyDescent="0.2">
      <c r="A199" s="39">
        <v>11</v>
      </c>
      <c r="B199" s="49"/>
      <c r="C199" s="50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>
        <f t="shared" si="38"/>
        <v>0</v>
      </c>
      <c r="P199" s="167"/>
      <c r="Q199" s="167"/>
      <c r="R199" s="167"/>
      <c r="S199" s="167"/>
      <c r="T199" s="167"/>
      <c r="U199" s="167">
        <f t="shared" si="40"/>
        <v>0</v>
      </c>
      <c r="V199" s="398"/>
      <c r="W199" s="169">
        <f t="shared" si="39"/>
        <v>0</v>
      </c>
    </row>
    <row r="200" spans="1:23" ht="24.95" hidden="1" customHeight="1" x14ac:dyDescent="0.2">
      <c r="A200" s="39">
        <v>12</v>
      </c>
      <c r="B200" s="270"/>
      <c r="C200" s="50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>
        <f t="shared" si="38"/>
        <v>0</v>
      </c>
      <c r="P200" s="167"/>
      <c r="Q200" s="167"/>
      <c r="R200" s="167"/>
      <c r="S200" s="167"/>
      <c r="T200" s="167"/>
      <c r="U200" s="167">
        <f t="shared" si="40"/>
        <v>0</v>
      </c>
      <c r="V200" s="398"/>
      <c r="W200" s="169">
        <f t="shared" si="39"/>
        <v>0</v>
      </c>
    </row>
    <row r="201" spans="1:23" ht="24.95" hidden="1" customHeight="1" x14ac:dyDescent="0.2">
      <c r="A201" s="39">
        <v>13</v>
      </c>
      <c r="B201" s="49"/>
      <c r="C201" s="50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>
        <f t="shared" si="38"/>
        <v>0</v>
      </c>
      <c r="P201" s="167"/>
      <c r="Q201" s="167"/>
      <c r="R201" s="167"/>
      <c r="S201" s="167"/>
      <c r="T201" s="167"/>
      <c r="U201" s="167">
        <f t="shared" si="40"/>
        <v>0</v>
      </c>
      <c r="V201" s="398"/>
      <c r="W201" s="169">
        <f t="shared" si="39"/>
        <v>0</v>
      </c>
    </row>
    <row r="202" spans="1:23" ht="24.95" hidden="1" customHeight="1" x14ac:dyDescent="0.2">
      <c r="A202" s="39">
        <v>14</v>
      </c>
      <c r="B202" s="49"/>
      <c r="C202" s="50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>
        <f t="shared" si="38"/>
        <v>0</v>
      </c>
      <c r="P202" s="167"/>
      <c r="Q202" s="167"/>
      <c r="R202" s="167"/>
      <c r="S202" s="167"/>
      <c r="T202" s="167"/>
      <c r="U202" s="167">
        <f t="shared" si="40"/>
        <v>0</v>
      </c>
      <c r="V202" s="398"/>
      <c r="W202" s="169">
        <f t="shared" si="39"/>
        <v>0</v>
      </c>
    </row>
    <row r="203" spans="1:23" ht="24.95" hidden="1" customHeight="1" x14ac:dyDescent="0.2">
      <c r="A203" s="39"/>
      <c r="B203" s="49"/>
      <c r="C203" s="50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>
        <f t="shared" si="38"/>
        <v>0</v>
      </c>
      <c r="P203" s="167"/>
      <c r="Q203" s="167"/>
      <c r="R203" s="167"/>
      <c r="S203" s="167"/>
      <c r="T203" s="167"/>
      <c r="U203" s="167">
        <f t="shared" si="40"/>
        <v>0</v>
      </c>
      <c r="V203" s="398"/>
      <c r="W203" s="169">
        <f t="shared" si="39"/>
        <v>0</v>
      </c>
    </row>
    <row r="204" spans="1:23" ht="24.95" hidden="1" customHeight="1" x14ac:dyDescent="0.2">
      <c r="A204" s="39"/>
      <c r="B204" s="49"/>
      <c r="C204" s="50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>
        <f t="shared" si="38"/>
        <v>0</v>
      </c>
      <c r="P204" s="167"/>
      <c r="Q204" s="167"/>
      <c r="R204" s="167"/>
      <c r="S204" s="167"/>
      <c r="T204" s="167"/>
      <c r="U204" s="167">
        <f t="shared" si="40"/>
        <v>0</v>
      </c>
      <c r="V204" s="398"/>
      <c r="W204" s="169">
        <f t="shared" si="39"/>
        <v>0</v>
      </c>
    </row>
    <row r="205" spans="1:23" ht="24.95" hidden="1" customHeight="1" x14ac:dyDescent="0.2">
      <c r="A205" s="39"/>
      <c r="B205" s="49"/>
      <c r="C205" s="50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>
        <f t="shared" si="38"/>
        <v>0</v>
      </c>
      <c r="P205" s="167"/>
      <c r="Q205" s="167"/>
      <c r="R205" s="167"/>
      <c r="S205" s="167"/>
      <c r="T205" s="167"/>
      <c r="U205" s="167">
        <f t="shared" si="40"/>
        <v>0</v>
      </c>
      <c r="V205" s="398"/>
      <c r="W205" s="169">
        <f t="shared" si="39"/>
        <v>0</v>
      </c>
    </row>
    <row r="206" spans="1:23" ht="24.95" hidden="1" customHeight="1" x14ac:dyDescent="0.2">
      <c r="A206" s="39"/>
      <c r="B206" s="49"/>
      <c r="C206" s="50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>
        <f t="shared" si="38"/>
        <v>0</v>
      </c>
      <c r="P206" s="167"/>
      <c r="Q206" s="167"/>
      <c r="R206" s="167"/>
      <c r="S206" s="167"/>
      <c r="T206" s="167"/>
      <c r="U206" s="167">
        <f t="shared" si="40"/>
        <v>0</v>
      </c>
      <c r="V206" s="398"/>
      <c r="W206" s="169">
        <f t="shared" si="39"/>
        <v>0</v>
      </c>
    </row>
    <row r="207" spans="1:23" ht="24.95" hidden="1" customHeight="1" x14ac:dyDescent="0.2">
      <c r="A207" s="39"/>
      <c r="B207" s="49"/>
      <c r="C207" s="50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>
        <f t="shared" si="38"/>
        <v>0</v>
      </c>
      <c r="P207" s="167"/>
      <c r="Q207" s="167"/>
      <c r="R207" s="167"/>
      <c r="S207" s="167"/>
      <c r="T207" s="167"/>
      <c r="U207" s="167">
        <f t="shared" si="40"/>
        <v>0</v>
      </c>
      <c r="V207" s="398"/>
      <c r="W207" s="169">
        <f t="shared" si="39"/>
        <v>0</v>
      </c>
    </row>
    <row r="208" spans="1:23" ht="24.95" hidden="1" customHeight="1" x14ac:dyDescent="0.2">
      <c r="A208" s="39"/>
      <c r="B208" s="49"/>
      <c r="C208" s="50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>
        <f t="shared" si="38"/>
        <v>0</v>
      </c>
      <c r="P208" s="167"/>
      <c r="Q208" s="167"/>
      <c r="R208" s="167"/>
      <c r="S208" s="167"/>
      <c r="T208" s="167"/>
      <c r="U208" s="167">
        <f t="shared" si="40"/>
        <v>0</v>
      </c>
      <c r="V208" s="398"/>
      <c r="W208" s="169">
        <f t="shared" si="39"/>
        <v>0</v>
      </c>
    </row>
    <row r="209" spans="1:23" ht="24.95" hidden="1" customHeight="1" x14ac:dyDescent="0.2">
      <c r="A209" s="39"/>
      <c r="B209" s="49"/>
      <c r="C209" s="50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>
        <f t="shared" si="38"/>
        <v>0</v>
      </c>
      <c r="P209" s="167"/>
      <c r="Q209" s="167"/>
      <c r="R209" s="167"/>
      <c r="S209" s="167"/>
      <c r="T209" s="167"/>
      <c r="U209" s="167">
        <f t="shared" si="40"/>
        <v>0</v>
      </c>
      <c r="V209" s="398"/>
      <c r="W209" s="169">
        <f t="shared" si="39"/>
        <v>0</v>
      </c>
    </row>
    <row r="210" spans="1:23" ht="24.95" hidden="1" customHeight="1" x14ac:dyDescent="0.2">
      <c r="A210" s="39"/>
      <c r="B210" s="49"/>
      <c r="C210" s="50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>
        <f t="shared" si="38"/>
        <v>0</v>
      </c>
      <c r="P210" s="167"/>
      <c r="Q210" s="167"/>
      <c r="R210" s="167"/>
      <c r="S210" s="167"/>
      <c r="T210" s="167"/>
      <c r="U210" s="167">
        <f t="shared" si="40"/>
        <v>0</v>
      </c>
      <c r="V210" s="398"/>
      <c r="W210" s="169">
        <f t="shared" si="39"/>
        <v>0</v>
      </c>
    </row>
    <row r="211" spans="1:23" ht="24.95" hidden="1" customHeight="1" x14ac:dyDescent="0.2">
      <c r="A211" s="39"/>
      <c r="B211" s="49"/>
      <c r="C211" s="50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>
        <f t="shared" si="38"/>
        <v>0</v>
      </c>
      <c r="P211" s="167"/>
      <c r="Q211" s="167"/>
      <c r="R211" s="167"/>
      <c r="S211" s="167"/>
      <c r="T211" s="167"/>
      <c r="U211" s="167">
        <f t="shared" si="40"/>
        <v>0</v>
      </c>
      <c r="V211" s="398"/>
      <c r="W211" s="169">
        <f t="shared" si="39"/>
        <v>0</v>
      </c>
    </row>
    <row r="212" spans="1:23" ht="24.95" hidden="1" customHeight="1" x14ac:dyDescent="0.2">
      <c r="A212" s="39"/>
      <c r="B212" s="49"/>
      <c r="C212" s="50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>
        <f t="shared" si="38"/>
        <v>0</v>
      </c>
      <c r="P212" s="167"/>
      <c r="Q212" s="167"/>
      <c r="R212" s="167"/>
      <c r="S212" s="167"/>
      <c r="T212" s="167"/>
      <c r="U212" s="167">
        <f t="shared" si="40"/>
        <v>0</v>
      </c>
      <c r="V212" s="398"/>
      <c r="W212" s="169">
        <f t="shared" si="39"/>
        <v>0</v>
      </c>
    </row>
    <row r="213" spans="1:23" ht="24.95" hidden="1" customHeight="1" x14ac:dyDescent="0.2">
      <c r="A213" s="39"/>
      <c r="B213" s="49"/>
      <c r="C213" s="50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398"/>
      <c r="W213" s="169"/>
    </row>
    <row r="214" spans="1:23" ht="24.95" hidden="1" customHeight="1" x14ac:dyDescent="0.2">
      <c r="A214" s="39"/>
      <c r="B214" s="49"/>
      <c r="C214" s="33" t="s">
        <v>52</v>
      </c>
      <c r="D214" s="172"/>
      <c r="E214" s="167"/>
      <c r="F214" s="167"/>
      <c r="G214" s="167"/>
      <c r="H214" s="172"/>
      <c r="I214" s="167"/>
      <c r="J214" s="167"/>
      <c r="K214" s="167"/>
      <c r="L214" s="167"/>
      <c r="M214" s="167"/>
      <c r="N214" s="167"/>
      <c r="O214" s="167">
        <f t="shared" si="38"/>
        <v>0</v>
      </c>
      <c r="P214" s="167"/>
      <c r="Q214" s="167"/>
      <c r="R214" s="167"/>
      <c r="S214" s="167"/>
      <c r="T214" s="167"/>
      <c r="U214" s="167">
        <f>SUM(Q214:T214)</f>
        <v>0</v>
      </c>
      <c r="V214" s="398"/>
      <c r="W214" s="534">
        <f>O214+U214</f>
        <v>0</v>
      </c>
    </row>
    <row r="215" spans="1:23" ht="24.95" hidden="1" customHeight="1" thickBot="1" x14ac:dyDescent="0.25">
      <c r="A215" s="39"/>
      <c r="B215" s="49"/>
      <c r="C215" s="50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532"/>
      <c r="V215" s="533"/>
      <c r="W215" s="169"/>
    </row>
    <row r="216" spans="1:23" ht="24.95" hidden="1" customHeight="1" thickTop="1" thickBot="1" x14ac:dyDescent="0.25">
      <c r="A216" s="46"/>
      <c r="B216" s="253" t="s">
        <v>158</v>
      </c>
      <c r="C216" s="43" t="s">
        <v>25</v>
      </c>
      <c r="D216" s="173">
        <f>SUM(D188:D215)</f>
        <v>0</v>
      </c>
      <c r="E216" s="173">
        <f t="shared" ref="E216:N216" si="41">SUM(E188:E215)</f>
        <v>0</v>
      </c>
      <c r="F216" s="173">
        <f t="shared" si="41"/>
        <v>0</v>
      </c>
      <c r="G216" s="173">
        <f t="shared" si="41"/>
        <v>0</v>
      </c>
      <c r="H216" s="173">
        <f t="shared" si="41"/>
        <v>0</v>
      </c>
      <c r="I216" s="173">
        <f t="shared" si="41"/>
        <v>0</v>
      </c>
      <c r="J216" s="173">
        <f t="shared" si="41"/>
        <v>0</v>
      </c>
      <c r="K216" s="173">
        <f t="shared" si="41"/>
        <v>0</v>
      </c>
      <c r="L216" s="173">
        <f t="shared" si="41"/>
        <v>0</v>
      </c>
      <c r="M216" s="367">
        <f t="shared" si="41"/>
        <v>0</v>
      </c>
      <c r="N216" s="173">
        <f t="shared" si="41"/>
        <v>0</v>
      </c>
      <c r="O216" s="173">
        <f>SUM(O188:O215)</f>
        <v>0</v>
      </c>
      <c r="P216" s="173"/>
      <c r="Q216" s="173">
        <f>SUM(Q188:Q215)</f>
        <v>0</v>
      </c>
      <c r="R216" s="200">
        <f>SUM(R188:R215)</f>
        <v>0</v>
      </c>
      <c r="S216" s="200">
        <f>SUM(S188:S215)</f>
        <v>0</v>
      </c>
      <c r="T216" s="173">
        <f>SUM(T188:T215)</f>
        <v>0</v>
      </c>
      <c r="U216" s="173">
        <f>SUM(U188:U215)</f>
        <v>0</v>
      </c>
      <c r="V216" s="165"/>
      <c r="W216" s="395">
        <f>SUM(W188:W215)</f>
        <v>0</v>
      </c>
    </row>
    <row r="217" spans="1:23" ht="24.95" hidden="1" customHeight="1" thickTop="1" thickBot="1" x14ac:dyDescent="0.25">
      <c r="A217" s="46"/>
      <c r="B217" s="42" t="s">
        <v>159</v>
      </c>
      <c r="C217" s="43" t="s">
        <v>125</v>
      </c>
      <c r="D217" s="199">
        <f>D187+D216</f>
        <v>2522929.8300000005</v>
      </c>
      <c r="E217" s="199">
        <f t="shared" ref="E217:N217" si="42">E187+E216</f>
        <v>6478.4589999999998</v>
      </c>
      <c r="F217" s="199">
        <f t="shared" si="42"/>
        <v>57034.55</v>
      </c>
      <c r="G217" s="199">
        <f t="shared" si="42"/>
        <v>8849207</v>
      </c>
      <c r="H217" s="199">
        <f t="shared" si="42"/>
        <v>2468809.37</v>
      </c>
      <c r="I217" s="199">
        <f t="shared" si="42"/>
        <v>1801</v>
      </c>
      <c r="J217" s="199">
        <f t="shared" si="42"/>
        <v>271500</v>
      </c>
      <c r="K217" s="199">
        <f t="shared" si="42"/>
        <v>806628</v>
      </c>
      <c r="L217" s="199">
        <f t="shared" si="42"/>
        <v>1148551</v>
      </c>
      <c r="M217" s="199">
        <f t="shared" si="42"/>
        <v>16300</v>
      </c>
      <c r="N217" s="199">
        <f t="shared" si="42"/>
        <v>959</v>
      </c>
      <c r="O217" s="199">
        <f>O187+O216</f>
        <v>16150198.208999999</v>
      </c>
      <c r="P217" s="199"/>
      <c r="Q217" s="199">
        <f>Q187+Q216</f>
        <v>5960000</v>
      </c>
      <c r="R217" s="199">
        <f>R187+R216</f>
        <v>4023597.2149999999</v>
      </c>
      <c r="S217" s="199">
        <f>S187+S216</f>
        <v>0</v>
      </c>
      <c r="T217" s="199">
        <f>T187+T216</f>
        <v>0</v>
      </c>
      <c r="U217" s="360">
        <f>U187+U216</f>
        <v>9983597.2149999999</v>
      </c>
      <c r="V217" s="410"/>
      <c r="W217" s="395">
        <f>W187+W216</f>
        <v>26133795.423999999</v>
      </c>
    </row>
    <row r="218" spans="1:23" ht="24.95" hidden="1" customHeight="1" thickTop="1" thickBot="1" x14ac:dyDescent="0.25">
      <c r="A218" s="39"/>
      <c r="B218" s="49"/>
      <c r="C218" s="50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8"/>
      <c r="V218" s="310"/>
      <c r="W218" s="169"/>
    </row>
    <row r="219" spans="1:23" ht="24.95" hidden="1" customHeight="1" thickTop="1" thickBot="1" x14ac:dyDescent="0.3">
      <c r="C219" s="2" t="s">
        <v>74</v>
      </c>
      <c r="D219" s="273">
        <v>2522930</v>
      </c>
      <c r="E219" s="273">
        <v>6478.4589999999998</v>
      </c>
      <c r="F219" s="273">
        <v>57035</v>
      </c>
      <c r="G219" s="273">
        <v>8849207</v>
      </c>
      <c r="H219" s="273">
        <v>2468809</v>
      </c>
      <c r="I219" s="273">
        <v>1801</v>
      </c>
      <c r="J219" s="273">
        <v>271500</v>
      </c>
      <c r="K219" s="273">
        <v>806628</v>
      </c>
      <c r="L219" s="273">
        <v>1148551</v>
      </c>
      <c r="M219" s="273">
        <v>16300</v>
      </c>
      <c r="N219" s="273">
        <v>959</v>
      </c>
      <c r="O219" s="273">
        <v>16150198</v>
      </c>
      <c r="P219" s="273"/>
      <c r="Q219" s="273">
        <v>5960000</v>
      </c>
      <c r="R219" s="273">
        <v>4023597.2149999999</v>
      </c>
      <c r="S219" s="273">
        <v>0</v>
      </c>
      <c r="T219" s="273">
        <v>0</v>
      </c>
      <c r="U219" s="301">
        <v>9983597.2149999999</v>
      </c>
      <c r="V219" s="301"/>
      <c r="W219" s="274">
        <v>26133795</v>
      </c>
    </row>
    <row r="220" spans="1:23" ht="24.95" hidden="1" customHeight="1" thickTop="1" x14ac:dyDescent="0.25"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</row>
    <row r="221" spans="1:23" ht="24.95" hidden="1" customHeight="1" x14ac:dyDescent="0.25">
      <c r="C221" s="2" t="s">
        <v>73</v>
      </c>
      <c r="D221" s="166">
        <f>D219-D217</f>
        <v>0.16999999945983291</v>
      </c>
      <c r="E221" s="166">
        <f t="shared" ref="E221:W221" si="43">E219-E217</f>
        <v>0</v>
      </c>
      <c r="F221" s="166">
        <f t="shared" si="43"/>
        <v>0.44999999999708962</v>
      </c>
      <c r="G221" s="166">
        <f t="shared" si="43"/>
        <v>0</v>
      </c>
      <c r="H221" s="166">
        <f t="shared" si="43"/>
        <v>-0.37000000011175871</v>
      </c>
      <c r="I221" s="166">
        <f t="shared" si="43"/>
        <v>0</v>
      </c>
      <c r="J221" s="166">
        <f t="shared" si="43"/>
        <v>0</v>
      </c>
      <c r="K221" s="166">
        <f t="shared" si="43"/>
        <v>0</v>
      </c>
      <c r="L221" s="166">
        <f t="shared" si="43"/>
        <v>0</v>
      </c>
      <c r="M221" s="166">
        <f t="shared" si="43"/>
        <v>0</v>
      </c>
      <c r="N221" s="166">
        <f t="shared" si="43"/>
        <v>0</v>
      </c>
      <c r="O221" s="166">
        <f t="shared" si="43"/>
        <v>-0.20899999886751175</v>
      </c>
      <c r="P221" s="166"/>
      <c r="Q221" s="166">
        <f t="shared" si="43"/>
        <v>0</v>
      </c>
      <c r="R221" s="166">
        <f t="shared" si="43"/>
        <v>0</v>
      </c>
      <c r="S221" s="166">
        <f t="shared" si="43"/>
        <v>0</v>
      </c>
      <c r="T221" s="166">
        <f t="shared" si="43"/>
        <v>0</v>
      </c>
      <c r="U221" s="166">
        <f t="shared" si="43"/>
        <v>0</v>
      </c>
      <c r="V221" s="166"/>
      <c r="W221" s="166">
        <f t="shared" si="43"/>
        <v>-0.42399999871850014</v>
      </c>
    </row>
    <row r="222" spans="1:23" ht="24.95" customHeight="1" thickTop="1" x14ac:dyDescent="0.25"/>
    <row r="223" spans="1:23" ht="24.95" customHeight="1" x14ac:dyDescent="0.25"/>
    <row r="224" spans="1:23" ht="24.95" customHeight="1" x14ac:dyDescent="0.25">
      <c r="R224" s="29"/>
    </row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517" spans="9:9" x14ac:dyDescent="0.25">
      <c r="I517" s="51">
        <f>-10437-1367-86-236+13-6357-200+31+71-310-1500-799-55-443-3970</f>
        <v>-25645</v>
      </c>
    </row>
  </sheetData>
  <mergeCells count="5">
    <mergeCell ref="D7:F7"/>
    <mergeCell ref="J7:K7"/>
    <mergeCell ref="Q7:T7"/>
    <mergeCell ref="A2:W2"/>
    <mergeCell ref="A4:W4"/>
  </mergeCells>
  <phoneticPr fontId="3" type="noConversion"/>
  <printOptions horizontalCentered="1" verticalCentered="1"/>
  <pageMargins left="0" right="0" top="0.51181102362204722" bottom="0.55118110236220474" header="7.874015748031496E-2" footer="7.874015748031496E-2"/>
  <pageSetup paperSize="9" scale="4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3"/>
  <sheetViews>
    <sheetView topLeftCell="A8" zoomScale="71" zoomScaleNormal="71" workbookViewId="0">
      <pane xSplit="3" ySplit="385" topLeftCell="D393" activePane="bottomRight" state="frozen"/>
      <selection activeCell="A8" sqref="A8"/>
      <selection pane="topRight" activeCell="D8" sqref="D8"/>
      <selection pane="bottomLeft" activeCell="A393" sqref="A393"/>
      <selection pane="bottomRight" activeCell="A394" sqref="A394:A396"/>
    </sheetView>
  </sheetViews>
  <sheetFormatPr defaultRowHeight="16.5" x14ac:dyDescent="0.25"/>
  <cols>
    <col min="1" max="1" width="3.85546875" style="89" customWidth="1"/>
    <col min="2" max="2" width="10.7109375" style="1" hidden="1" customWidth="1"/>
    <col min="3" max="3" width="51.85546875" style="2" customWidth="1"/>
    <col min="4" max="4" width="13.28515625" style="2" customWidth="1"/>
    <col min="5" max="5" width="12.7109375" style="2" customWidth="1"/>
    <col min="6" max="6" width="14.5703125" style="2" customWidth="1"/>
    <col min="7" max="7" width="13.5703125" style="2" customWidth="1"/>
    <col min="8" max="9" width="12.7109375" style="2" customWidth="1"/>
    <col min="10" max="10" width="13.7109375" style="2" customWidth="1"/>
    <col min="11" max="11" width="14.85546875" style="2" customWidth="1"/>
    <col min="12" max="12" width="14.7109375" style="2" customWidth="1"/>
    <col min="13" max="15" width="12.7109375" style="2" customWidth="1"/>
    <col min="16" max="16" width="11.7109375" style="2" customWidth="1"/>
    <col min="17" max="17" width="14.140625" style="2" customWidth="1"/>
    <col min="18" max="18" width="14.7109375" style="2" customWidth="1"/>
    <col min="19" max="19" width="1.7109375" style="2" customWidth="1"/>
    <col min="20" max="20" width="13.5703125" style="2" customWidth="1"/>
    <col min="21" max="21" width="14.140625" style="2" customWidth="1"/>
    <col min="22" max="22" width="12.7109375" style="2" customWidth="1"/>
    <col min="23" max="23" width="11.85546875" style="2" customWidth="1"/>
    <col min="24" max="24" width="13.5703125" style="2" customWidth="1"/>
    <col min="25" max="25" width="16.7109375" style="2" customWidth="1"/>
    <col min="26" max="26" width="16.7109375" style="52" customWidth="1"/>
    <col min="27" max="27" width="18.28515625" style="52" customWidth="1"/>
    <col min="28" max="28" width="16.28515625" style="52" customWidth="1"/>
    <col min="29" max="31" width="10.42578125" style="52" customWidth="1"/>
    <col min="32" max="32" width="12.28515625" style="52" customWidth="1"/>
    <col min="33" max="33" width="14" style="52" customWidth="1"/>
    <col min="34" max="34" width="12.28515625" style="52" customWidth="1"/>
    <col min="35" max="36" width="10.42578125" style="52" customWidth="1"/>
    <col min="37" max="37" width="12.28515625" style="52" customWidth="1"/>
    <col min="38" max="38" width="9.140625" style="52"/>
    <col min="39" max="40" width="10.42578125" style="52" customWidth="1"/>
    <col min="41" max="41" width="12.28515625" style="52" customWidth="1"/>
    <col min="42" max="42" width="12.7109375" style="52" customWidth="1"/>
    <col min="43" max="16384" width="9.140625" style="2"/>
  </cols>
  <sheetData>
    <row r="1" spans="1:42" ht="16.5" customHeight="1" x14ac:dyDescent="0.25">
      <c r="Z1" s="180" t="s">
        <v>69</v>
      </c>
      <c r="AA1" s="180"/>
    </row>
    <row r="2" spans="1:42" ht="30" customHeight="1" x14ac:dyDescent="0.2">
      <c r="A2" s="729" t="s">
        <v>0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313"/>
    </row>
    <row r="3" spans="1:42" ht="30" customHeight="1" x14ac:dyDescent="0.2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313"/>
    </row>
    <row r="4" spans="1:42" ht="50.1" customHeight="1" x14ac:dyDescent="0.2">
      <c r="A4" s="730" t="s">
        <v>559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313"/>
    </row>
    <row r="5" spans="1:42" ht="24.95" customHeight="1" x14ac:dyDescent="0.2">
      <c r="A5" s="421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313"/>
    </row>
    <row r="6" spans="1:42" ht="17.25" customHeight="1" thickBo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6" t="s">
        <v>1</v>
      </c>
      <c r="AA6" s="314"/>
    </row>
    <row r="7" spans="1:42" ht="17.25" thickBot="1" x14ac:dyDescent="0.3">
      <c r="A7" s="54"/>
      <c r="B7" s="8"/>
      <c r="C7" s="9"/>
      <c r="D7" s="731" t="s">
        <v>26</v>
      </c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42" ht="17.25" customHeight="1" thickTop="1" x14ac:dyDescent="0.25">
      <c r="A8" s="56"/>
      <c r="B8" s="12"/>
      <c r="C8" s="13"/>
      <c r="D8" s="732" t="s">
        <v>141</v>
      </c>
      <c r="E8" s="733"/>
      <c r="F8" s="733"/>
      <c r="G8" s="733"/>
      <c r="H8" s="733"/>
      <c r="I8" s="733"/>
      <c r="J8" s="733"/>
      <c r="K8" s="734"/>
      <c r="L8" s="735" t="s">
        <v>142</v>
      </c>
      <c r="M8" s="736"/>
      <c r="N8" s="736"/>
      <c r="O8" s="736"/>
      <c r="P8" s="736"/>
      <c r="Q8" s="734"/>
      <c r="R8" s="436" t="s">
        <v>109</v>
      </c>
      <c r="S8" s="436"/>
      <c r="T8" s="735" t="s">
        <v>143</v>
      </c>
      <c r="U8" s="736"/>
      <c r="V8" s="736"/>
      <c r="W8" s="737"/>
      <c r="X8" s="440" t="s">
        <v>120</v>
      </c>
      <c r="Y8" s="331" t="s">
        <v>2</v>
      </c>
      <c r="Z8" s="346"/>
      <c r="AA8" s="5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5"/>
    </row>
    <row r="9" spans="1:42" x14ac:dyDescent="0.25">
      <c r="A9" s="18" t="s">
        <v>8</v>
      </c>
      <c r="B9" s="12"/>
      <c r="C9" s="13" t="s">
        <v>3</v>
      </c>
      <c r="D9" s="57"/>
      <c r="E9" s="197" t="s">
        <v>31</v>
      </c>
      <c r="F9" s="58"/>
      <c r="G9" s="58" t="s">
        <v>27</v>
      </c>
      <c r="H9" s="58" t="s">
        <v>95</v>
      </c>
      <c r="I9" s="58" t="s">
        <v>96</v>
      </c>
      <c r="J9" s="58" t="s">
        <v>96</v>
      </c>
      <c r="K9" s="197"/>
      <c r="L9" s="58"/>
      <c r="M9" s="58"/>
      <c r="N9" s="58" t="s">
        <v>4</v>
      </c>
      <c r="O9" s="58" t="s">
        <v>126</v>
      </c>
      <c r="P9" s="59" t="s">
        <v>127</v>
      </c>
      <c r="Q9" s="197" t="s">
        <v>4</v>
      </c>
      <c r="R9" s="437" t="s">
        <v>110</v>
      </c>
      <c r="S9" s="437"/>
      <c r="T9" s="17" t="s">
        <v>128</v>
      </c>
      <c r="U9" s="17" t="s">
        <v>129</v>
      </c>
      <c r="V9" s="17" t="s">
        <v>201</v>
      </c>
      <c r="W9" s="17" t="s">
        <v>4</v>
      </c>
      <c r="X9" s="441" t="s">
        <v>121</v>
      </c>
      <c r="Y9" s="332" t="s">
        <v>29</v>
      </c>
      <c r="Z9" s="237" t="s">
        <v>28</v>
      </c>
      <c r="AA9" s="55"/>
      <c r="AB9" s="4"/>
      <c r="AC9" s="4"/>
      <c r="AD9" s="4"/>
      <c r="AE9" s="4"/>
      <c r="AF9" s="4"/>
      <c r="AG9" s="4"/>
      <c r="AH9" s="4"/>
      <c r="AI9" s="4"/>
      <c r="AJ9" s="728"/>
      <c r="AK9" s="728"/>
      <c r="AL9" s="4"/>
      <c r="AM9" s="4"/>
      <c r="AN9" s="4"/>
      <c r="AO9" s="4"/>
      <c r="AP9" s="55"/>
    </row>
    <row r="10" spans="1:42" ht="16.5" customHeight="1" x14ac:dyDescent="0.25">
      <c r="A10" s="11"/>
      <c r="B10" s="12"/>
      <c r="C10" s="13" t="s">
        <v>9</v>
      </c>
      <c r="D10" s="58" t="s">
        <v>30</v>
      </c>
      <c r="E10" s="58" t="s">
        <v>56</v>
      </c>
      <c r="F10" s="58" t="s">
        <v>32</v>
      </c>
      <c r="G10" s="58" t="s">
        <v>33</v>
      </c>
      <c r="H10" s="58" t="s">
        <v>97</v>
      </c>
      <c r="I10" s="58" t="s">
        <v>58</v>
      </c>
      <c r="J10" s="58" t="s">
        <v>58</v>
      </c>
      <c r="K10" s="58" t="s">
        <v>36</v>
      </c>
      <c r="L10" s="58" t="s">
        <v>130</v>
      </c>
      <c r="M10" s="58" t="s">
        <v>131</v>
      </c>
      <c r="N10" s="58" t="s">
        <v>132</v>
      </c>
      <c r="O10" s="58" t="s">
        <v>133</v>
      </c>
      <c r="P10" s="58" t="s">
        <v>44</v>
      </c>
      <c r="Q10" s="58" t="s">
        <v>132</v>
      </c>
      <c r="R10" s="438" t="s">
        <v>34</v>
      </c>
      <c r="S10" s="438"/>
      <c r="T10" s="13" t="s">
        <v>134</v>
      </c>
      <c r="U10" s="13" t="s">
        <v>114</v>
      </c>
      <c r="V10" s="13" t="s">
        <v>202</v>
      </c>
      <c r="W10" s="17" t="s">
        <v>160</v>
      </c>
      <c r="X10" s="372" t="s">
        <v>34</v>
      </c>
      <c r="Y10" s="332" t="s">
        <v>12</v>
      </c>
      <c r="Z10" s="237" t="s">
        <v>37</v>
      </c>
      <c r="AA10" s="5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5"/>
    </row>
    <row r="11" spans="1:42" x14ac:dyDescent="0.25">
      <c r="A11" s="56"/>
      <c r="B11" s="12"/>
      <c r="C11" s="13" t="s">
        <v>13</v>
      </c>
      <c r="D11" s="58" t="s">
        <v>38</v>
      </c>
      <c r="E11" s="58" t="s">
        <v>43</v>
      </c>
      <c r="F11" s="58" t="s">
        <v>34</v>
      </c>
      <c r="G11" s="58" t="s">
        <v>39</v>
      </c>
      <c r="H11" s="58" t="s">
        <v>99</v>
      </c>
      <c r="I11" s="58" t="s">
        <v>100</v>
      </c>
      <c r="J11" s="58" t="s">
        <v>100</v>
      </c>
      <c r="K11" s="58"/>
      <c r="L11" s="58"/>
      <c r="M11" s="58"/>
      <c r="N11" s="58" t="s">
        <v>58</v>
      </c>
      <c r="O11" s="58" t="s">
        <v>40</v>
      </c>
      <c r="P11" s="58"/>
      <c r="Q11" s="58" t="s">
        <v>58</v>
      </c>
      <c r="R11" s="438" t="s">
        <v>12</v>
      </c>
      <c r="S11" s="438"/>
      <c r="T11" s="13" t="s">
        <v>135</v>
      </c>
      <c r="U11" s="13" t="s">
        <v>116</v>
      </c>
      <c r="V11" s="13" t="s">
        <v>205</v>
      </c>
      <c r="W11" s="17" t="s">
        <v>161</v>
      </c>
      <c r="X11" s="372" t="s">
        <v>12</v>
      </c>
      <c r="Y11" s="99" t="s">
        <v>147</v>
      </c>
      <c r="Z11" s="237" t="s">
        <v>42</v>
      </c>
      <c r="AA11" s="315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5"/>
    </row>
    <row r="12" spans="1:42" x14ac:dyDescent="0.25">
      <c r="A12" s="56"/>
      <c r="B12" s="12"/>
      <c r="C12" s="13"/>
      <c r="D12" s="60"/>
      <c r="E12" s="58" t="s">
        <v>148</v>
      </c>
      <c r="F12" s="58"/>
      <c r="G12" s="125"/>
      <c r="H12" s="61"/>
      <c r="I12" s="125" t="s">
        <v>136</v>
      </c>
      <c r="J12" s="125" t="s">
        <v>137</v>
      </c>
      <c r="K12" s="58"/>
      <c r="L12" s="61"/>
      <c r="M12" s="58"/>
      <c r="N12" s="58" t="s">
        <v>138</v>
      </c>
      <c r="O12" s="58" t="s">
        <v>139</v>
      </c>
      <c r="P12" s="58"/>
      <c r="Q12" s="58" t="s">
        <v>139</v>
      </c>
      <c r="R12" s="439" t="s">
        <v>145</v>
      </c>
      <c r="S12" s="439"/>
      <c r="T12" s="13" t="s">
        <v>140</v>
      </c>
      <c r="U12" s="13" t="s">
        <v>41</v>
      </c>
      <c r="V12" s="13" t="s">
        <v>206</v>
      </c>
      <c r="W12" s="13" t="s">
        <v>34</v>
      </c>
      <c r="X12" s="315" t="s">
        <v>146</v>
      </c>
      <c r="Y12" s="332"/>
      <c r="Z12" s="237"/>
      <c r="AA12" s="5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5"/>
    </row>
    <row r="13" spans="1:42" hidden="1" x14ac:dyDescent="0.25">
      <c r="A13" s="710" t="s">
        <v>667</v>
      </c>
      <c r="B13" s="108"/>
      <c r="C13" s="109"/>
      <c r="D13" s="110" t="s">
        <v>164</v>
      </c>
      <c r="E13" s="16" t="s">
        <v>165</v>
      </c>
      <c r="F13" s="16" t="s">
        <v>166</v>
      </c>
      <c r="G13" s="17" t="s">
        <v>167</v>
      </c>
      <c r="H13" s="116" t="s">
        <v>168</v>
      </c>
      <c r="I13" s="13" t="s">
        <v>169</v>
      </c>
      <c r="J13" s="17" t="s">
        <v>170</v>
      </c>
      <c r="K13" s="109" t="s">
        <v>171</v>
      </c>
      <c r="L13" s="116" t="s">
        <v>172</v>
      </c>
      <c r="M13" s="116" t="s">
        <v>173</v>
      </c>
      <c r="N13" s="116" t="s">
        <v>174</v>
      </c>
      <c r="O13" s="117" t="s">
        <v>175</v>
      </c>
      <c r="P13" s="109" t="s">
        <v>176</v>
      </c>
      <c r="Q13" s="109" t="s">
        <v>177</v>
      </c>
      <c r="R13" s="109"/>
      <c r="S13" s="109"/>
      <c r="T13" s="109" t="s">
        <v>178</v>
      </c>
      <c r="U13" s="109" t="s">
        <v>179</v>
      </c>
      <c r="V13" s="109" t="s">
        <v>180</v>
      </c>
      <c r="W13" s="118" t="s">
        <v>181</v>
      </c>
      <c r="X13" s="428"/>
      <c r="Y13" s="333"/>
      <c r="Z13" s="238"/>
      <c r="AA13" s="5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5"/>
    </row>
    <row r="14" spans="1:42" ht="18" customHeight="1" x14ac:dyDescent="0.25">
      <c r="A14" s="186">
        <v>1</v>
      </c>
      <c r="B14" s="213"/>
      <c r="C14" s="210">
        <v>2</v>
      </c>
      <c r="D14" s="210">
        <v>3</v>
      </c>
      <c r="E14" s="210">
        <v>4</v>
      </c>
      <c r="F14" s="210">
        <v>5</v>
      </c>
      <c r="G14" s="210">
        <v>6</v>
      </c>
      <c r="H14" s="210">
        <v>7</v>
      </c>
      <c r="I14" s="210">
        <v>8</v>
      </c>
      <c r="J14" s="210">
        <v>9</v>
      </c>
      <c r="K14" s="210">
        <v>10</v>
      </c>
      <c r="L14" s="210">
        <v>11</v>
      </c>
      <c r="M14" s="210">
        <v>12</v>
      </c>
      <c r="N14" s="210">
        <v>13</v>
      </c>
      <c r="O14" s="210">
        <v>14</v>
      </c>
      <c r="P14" s="210">
        <v>15</v>
      </c>
      <c r="Q14" s="210">
        <v>16</v>
      </c>
      <c r="R14" s="210">
        <v>17</v>
      </c>
      <c r="S14" s="210"/>
      <c r="T14" s="210">
        <v>18</v>
      </c>
      <c r="U14" s="210">
        <v>19</v>
      </c>
      <c r="V14" s="210">
        <v>20</v>
      </c>
      <c r="W14" s="210">
        <v>21</v>
      </c>
      <c r="X14" s="442">
        <v>22</v>
      </c>
      <c r="Y14" s="334">
        <v>21</v>
      </c>
      <c r="Z14" s="239">
        <v>22</v>
      </c>
      <c r="AA14" s="316"/>
      <c r="AB14" s="4"/>
      <c r="AC14" s="4"/>
      <c r="AD14" s="4"/>
      <c r="AE14" s="4"/>
      <c r="AF14" s="4"/>
      <c r="AG14" s="4"/>
      <c r="AH14" s="4"/>
      <c r="AI14" s="4"/>
      <c r="AJ14" s="728"/>
      <c r="AK14" s="728"/>
      <c r="AL14" s="4"/>
      <c r="AM14" s="4"/>
      <c r="AN14" s="4"/>
      <c r="AO14" s="4"/>
      <c r="AP14" s="4"/>
    </row>
    <row r="15" spans="1:42" s="66" customFormat="1" ht="19.5" hidden="1" customHeight="1" x14ac:dyDescent="0.3">
      <c r="A15" s="62"/>
      <c r="B15" s="147"/>
      <c r="C15" s="63" t="s">
        <v>51</v>
      </c>
      <c r="D15" s="148">
        <v>143064</v>
      </c>
      <c r="E15" s="148">
        <v>32064</v>
      </c>
      <c r="F15" s="148">
        <v>4133823.2829999998</v>
      </c>
      <c r="G15" s="148">
        <v>190272</v>
      </c>
      <c r="H15" s="148">
        <v>267064.717</v>
      </c>
      <c r="I15" s="148">
        <v>59640</v>
      </c>
      <c r="J15" s="148">
        <v>687457</v>
      </c>
      <c r="K15" s="148">
        <v>1568000</v>
      </c>
      <c r="L15" s="148">
        <v>4221252</v>
      </c>
      <c r="M15" s="148">
        <v>18504</v>
      </c>
      <c r="N15" s="148">
        <v>0</v>
      </c>
      <c r="O15" s="148">
        <v>3000</v>
      </c>
      <c r="P15" s="148">
        <v>0</v>
      </c>
      <c r="Q15" s="148">
        <v>93189</v>
      </c>
      <c r="R15" s="411">
        <f>SUM(D15:Q15)</f>
        <v>11417330</v>
      </c>
      <c r="S15" s="411"/>
      <c r="T15" s="148">
        <v>0</v>
      </c>
      <c r="U15" s="148">
        <v>0</v>
      </c>
      <c r="V15" s="148">
        <v>73318</v>
      </c>
      <c r="W15" s="148">
        <v>0</v>
      </c>
      <c r="X15" s="443">
        <f>SUM(T15:W15)</f>
        <v>73318</v>
      </c>
      <c r="Y15" s="335">
        <f>R15+X15</f>
        <v>11490648</v>
      </c>
      <c r="Z15" s="241">
        <v>7582194</v>
      </c>
      <c r="AA15" s="317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</row>
    <row r="16" spans="1:42" ht="20.100000000000001" hidden="1" customHeight="1" x14ac:dyDescent="0.25">
      <c r="A16" s="67"/>
      <c r="B16" s="133" t="s">
        <v>49</v>
      </c>
      <c r="C16" s="40" t="s">
        <v>82</v>
      </c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198">
        <f>SUM(D16:W16)</f>
        <v>0</v>
      </c>
      <c r="Z16" s="240"/>
      <c r="AA16" s="31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</row>
    <row r="17" spans="1:42" ht="20.100000000000001" hidden="1" customHeight="1" x14ac:dyDescent="0.25">
      <c r="A17" s="153"/>
      <c r="B17" s="27"/>
      <c r="C17" s="24" t="s">
        <v>18</v>
      </c>
      <c r="D17" s="148">
        <f>SUM(D15:D16)</f>
        <v>143064</v>
      </c>
      <c r="E17" s="148">
        <f t="shared" ref="E17:W17" si="0">SUM(E15:E16)</f>
        <v>32064</v>
      </c>
      <c r="F17" s="148">
        <f t="shared" si="0"/>
        <v>4133823.2829999998</v>
      </c>
      <c r="G17" s="148">
        <f t="shared" si="0"/>
        <v>190272</v>
      </c>
      <c r="H17" s="148">
        <f t="shared" si="0"/>
        <v>267064.717</v>
      </c>
      <c r="I17" s="148">
        <f t="shared" si="0"/>
        <v>59640</v>
      </c>
      <c r="J17" s="148">
        <f t="shared" si="0"/>
        <v>687457</v>
      </c>
      <c r="K17" s="148">
        <f t="shared" si="0"/>
        <v>1568000</v>
      </c>
      <c r="L17" s="148">
        <f t="shared" si="0"/>
        <v>4221252</v>
      </c>
      <c r="M17" s="148">
        <f t="shared" si="0"/>
        <v>18504</v>
      </c>
      <c r="N17" s="148">
        <f t="shared" si="0"/>
        <v>0</v>
      </c>
      <c r="O17" s="148">
        <f t="shared" si="0"/>
        <v>3000</v>
      </c>
      <c r="P17" s="148">
        <f t="shared" si="0"/>
        <v>0</v>
      </c>
      <c r="Q17" s="148">
        <f t="shared" si="0"/>
        <v>93189</v>
      </c>
      <c r="R17" s="148"/>
      <c r="S17" s="148"/>
      <c r="T17" s="148">
        <f t="shared" si="0"/>
        <v>0</v>
      </c>
      <c r="U17" s="148">
        <f t="shared" si="0"/>
        <v>0</v>
      </c>
      <c r="V17" s="148">
        <f t="shared" si="0"/>
        <v>73318</v>
      </c>
      <c r="W17" s="148">
        <f t="shared" si="0"/>
        <v>0</v>
      </c>
      <c r="X17" s="149"/>
      <c r="Y17" s="336">
        <f>SUM(Y15:Y16)</f>
        <v>11490648</v>
      </c>
      <c r="Z17" s="241">
        <f>SUM(Z15:Z16)</f>
        <v>7582194</v>
      </c>
      <c r="AA17" s="317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9"/>
    </row>
    <row r="18" spans="1:42" ht="24.95" hidden="1" customHeight="1" x14ac:dyDescent="0.25">
      <c r="A18" s="79">
        <v>1</v>
      </c>
      <c r="B18" s="133" t="s">
        <v>163</v>
      </c>
      <c r="C18" s="28" t="s">
        <v>210</v>
      </c>
      <c r="D18" s="564"/>
      <c r="E18" s="564"/>
      <c r="F18" s="564"/>
      <c r="G18" s="564"/>
      <c r="H18" s="564"/>
      <c r="I18" s="564"/>
      <c r="J18" s="564"/>
      <c r="K18" s="564">
        <f>-1715</f>
        <v>-1715</v>
      </c>
      <c r="L18" s="564">
        <f>1350+365</f>
        <v>1715</v>
      </c>
      <c r="M18" s="565"/>
      <c r="N18" s="564"/>
      <c r="O18" s="564"/>
      <c r="P18" s="564"/>
      <c r="Q18" s="564"/>
      <c r="R18" s="564">
        <f t="shared" ref="R18:R97" si="1">SUM(D18:Q18)</f>
        <v>0</v>
      </c>
      <c r="S18" s="564"/>
      <c r="T18" s="564"/>
      <c r="U18" s="564"/>
      <c r="V18" s="564"/>
      <c r="W18" s="564"/>
      <c r="X18" s="566">
        <f t="shared" ref="X18:X143" si="2">SUM(T18:W18)</f>
        <v>0</v>
      </c>
      <c r="Y18" s="567">
        <f t="shared" ref="Y18:Y143" si="3">R18+X18</f>
        <v>0</v>
      </c>
      <c r="Z18" s="568"/>
      <c r="AA18" s="31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</row>
    <row r="19" spans="1:42" ht="24.95" hidden="1" customHeight="1" x14ac:dyDescent="0.25">
      <c r="A19" s="79">
        <v>2</v>
      </c>
      <c r="B19" s="133" t="s">
        <v>209</v>
      </c>
      <c r="C19" s="28" t="s">
        <v>211</v>
      </c>
      <c r="D19" s="564"/>
      <c r="E19" s="564"/>
      <c r="F19" s="564"/>
      <c r="G19" s="564"/>
      <c r="H19" s="564"/>
      <c r="I19" s="564"/>
      <c r="J19" s="564"/>
      <c r="K19" s="564">
        <f>922.75</f>
        <v>922.75</v>
      </c>
      <c r="L19" s="564"/>
      <c r="M19" s="564"/>
      <c r="N19" s="564"/>
      <c r="O19" s="564"/>
      <c r="P19" s="564"/>
      <c r="Q19" s="564"/>
      <c r="R19" s="564">
        <f t="shared" si="1"/>
        <v>922.75</v>
      </c>
      <c r="S19" s="564"/>
      <c r="T19" s="564"/>
      <c r="U19" s="564"/>
      <c r="V19" s="564"/>
      <c r="W19" s="564"/>
      <c r="X19" s="566">
        <f t="shared" si="2"/>
        <v>0</v>
      </c>
      <c r="Y19" s="567">
        <f t="shared" si="3"/>
        <v>922.75</v>
      </c>
      <c r="Z19" s="568"/>
      <c r="AA19" s="31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9"/>
    </row>
    <row r="20" spans="1:42" ht="24.95" hidden="1" customHeight="1" x14ac:dyDescent="0.25">
      <c r="A20" s="79">
        <v>3</v>
      </c>
      <c r="B20" s="133" t="s">
        <v>212</v>
      </c>
      <c r="C20" s="28" t="s">
        <v>213</v>
      </c>
      <c r="D20" s="564"/>
      <c r="E20" s="564"/>
      <c r="F20" s="564"/>
      <c r="G20" s="564"/>
      <c r="H20" s="564"/>
      <c r="I20" s="564"/>
      <c r="J20" s="564"/>
      <c r="K20" s="564"/>
      <c r="L20" s="564"/>
      <c r="M20" s="564">
        <f>1492+403</f>
        <v>1895</v>
      </c>
      <c r="N20" s="564"/>
      <c r="O20" s="564"/>
      <c r="P20" s="564"/>
      <c r="Q20" s="564"/>
      <c r="R20" s="564">
        <f t="shared" si="1"/>
        <v>1895</v>
      </c>
      <c r="S20" s="564"/>
      <c r="T20" s="564"/>
      <c r="U20" s="564"/>
      <c r="V20" s="564"/>
      <c r="W20" s="564"/>
      <c r="X20" s="566">
        <f t="shared" si="2"/>
        <v>0</v>
      </c>
      <c r="Y20" s="567">
        <f t="shared" si="3"/>
        <v>1895</v>
      </c>
      <c r="Z20" s="568">
        <f>-1895</f>
        <v>-1895</v>
      </c>
      <c r="AA20" s="31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</row>
    <row r="21" spans="1:42" ht="24.95" hidden="1" customHeight="1" x14ac:dyDescent="0.25">
      <c r="A21" s="79">
        <v>4</v>
      </c>
      <c r="B21" s="133" t="s">
        <v>214</v>
      </c>
      <c r="C21" s="28" t="s">
        <v>215</v>
      </c>
      <c r="D21" s="564"/>
      <c r="E21" s="564"/>
      <c r="F21" s="564"/>
      <c r="G21" s="564"/>
      <c r="H21" s="564"/>
      <c r="I21" s="564"/>
      <c r="J21" s="564"/>
      <c r="K21" s="564">
        <f>-20250</f>
        <v>-20250</v>
      </c>
      <c r="L21" s="564"/>
      <c r="M21" s="564"/>
      <c r="N21" s="564"/>
      <c r="O21" s="564"/>
      <c r="P21" s="564"/>
      <c r="Q21" s="564"/>
      <c r="R21" s="564">
        <f t="shared" si="1"/>
        <v>-20250</v>
      </c>
      <c r="S21" s="564"/>
      <c r="T21" s="564"/>
      <c r="U21" s="564"/>
      <c r="V21" s="564"/>
      <c r="W21" s="564"/>
      <c r="X21" s="566">
        <f t="shared" si="2"/>
        <v>0</v>
      </c>
      <c r="Y21" s="567">
        <f t="shared" si="3"/>
        <v>-20250</v>
      </c>
      <c r="Z21" s="568">
        <f>20250</f>
        <v>20250</v>
      </c>
      <c r="AA21" s="31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</row>
    <row r="22" spans="1:42" ht="24.95" hidden="1" customHeight="1" x14ac:dyDescent="0.25">
      <c r="A22" s="79">
        <v>5</v>
      </c>
      <c r="B22" s="559" t="s">
        <v>218</v>
      </c>
      <c r="C22" s="28" t="s">
        <v>219</v>
      </c>
      <c r="D22" s="564"/>
      <c r="E22" s="564"/>
      <c r="F22" s="564"/>
      <c r="G22" s="564"/>
      <c r="H22" s="564"/>
      <c r="I22" s="564"/>
      <c r="J22" s="564"/>
      <c r="K22" s="564">
        <f>5625</f>
        <v>5625</v>
      </c>
      <c r="L22" s="564"/>
      <c r="M22" s="564"/>
      <c r="N22" s="564"/>
      <c r="O22" s="564"/>
      <c r="P22" s="564"/>
      <c r="Q22" s="564"/>
      <c r="R22" s="564">
        <f t="shared" si="1"/>
        <v>5625</v>
      </c>
      <c r="S22" s="564"/>
      <c r="T22" s="564"/>
      <c r="U22" s="564"/>
      <c r="V22" s="564"/>
      <c r="W22" s="564"/>
      <c r="X22" s="566">
        <f t="shared" si="2"/>
        <v>0</v>
      </c>
      <c r="Y22" s="567">
        <f t="shared" si="3"/>
        <v>5625</v>
      </c>
      <c r="Z22" s="568">
        <f>-5625</f>
        <v>-5625</v>
      </c>
      <c r="AA22" s="31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</row>
    <row r="23" spans="1:42" ht="24.95" hidden="1" customHeight="1" x14ac:dyDescent="0.25">
      <c r="A23" s="79">
        <v>6</v>
      </c>
      <c r="B23" s="133" t="s">
        <v>220</v>
      </c>
      <c r="C23" s="28" t="s">
        <v>224</v>
      </c>
      <c r="D23" s="564"/>
      <c r="E23" s="564"/>
      <c r="F23" s="564">
        <f>-401-109</f>
        <v>-510</v>
      </c>
      <c r="G23" s="564"/>
      <c r="H23" s="564"/>
      <c r="I23" s="564"/>
      <c r="J23" s="564"/>
      <c r="K23" s="564"/>
      <c r="L23" s="564">
        <f>401+109</f>
        <v>510</v>
      </c>
      <c r="M23" s="564"/>
      <c r="N23" s="564"/>
      <c r="O23" s="564"/>
      <c r="P23" s="564"/>
      <c r="Q23" s="564"/>
      <c r="R23" s="564">
        <f t="shared" si="1"/>
        <v>0</v>
      </c>
      <c r="S23" s="564"/>
      <c r="T23" s="564"/>
      <c r="U23" s="564"/>
      <c r="V23" s="564"/>
      <c r="W23" s="564"/>
      <c r="X23" s="566">
        <f t="shared" si="2"/>
        <v>0</v>
      </c>
      <c r="Y23" s="567">
        <f t="shared" si="3"/>
        <v>0</v>
      </c>
      <c r="Z23" s="568"/>
      <c r="AA23" s="31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</row>
    <row r="24" spans="1:42" ht="24.95" hidden="1" customHeight="1" x14ac:dyDescent="0.25">
      <c r="A24" s="79">
        <v>7</v>
      </c>
      <c r="B24" s="559" t="s">
        <v>221</v>
      </c>
      <c r="C24" s="28" t="s">
        <v>225</v>
      </c>
      <c r="D24" s="564">
        <f>3038</f>
        <v>3038</v>
      </c>
      <c r="E24" s="564">
        <f>525+5+4</f>
        <v>534</v>
      </c>
      <c r="F24" s="564">
        <f>53+50+1100+325</f>
        <v>1528</v>
      </c>
      <c r="G24" s="564"/>
      <c r="H24" s="564"/>
      <c r="I24" s="564"/>
      <c r="J24" s="564">
        <f>400</f>
        <v>400</v>
      </c>
      <c r="K24" s="564">
        <f>-5500</f>
        <v>-5500</v>
      </c>
      <c r="L24" s="564"/>
      <c r="M24" s="564"/>
      <c r="N24" s="564"/>
      <c r="O24" s="564"/>
      <c r="P24" s="564"/>
      <c r="Q24" s="564"/>
      <c r="R24" s="564">
        <f t="shared" si="1"/>
        <v>0</v>
      </c>
      <c r="S24" s="564"/>
      <c r="T24" s="564"/>
      <c r="U24" s="564"/>
      <c r="V24" s="564"/>
      <c r="W24" s="564"/>
      <c r="X24" s="566">
        <f t="shared" si="2"/>
        <v>0</v>
      </c>
      <c r="Y24" s="567">
        <f t="shared" si="3"/>
        <v>0</v>
      </c>
      <c r="Z24" s="568"/>
      <c r="AA24" s="31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</row>
    <row r="25" spans="1:42" ht="24.95" hidden="1" customHeight="1" x14ac:dyDescent="0.25">
      <c r="A25" s="79">
        <v>8</v>
      </c>
      <c r="B25" s="133" t="s">
        <v>222</v>
      </c>
      <c r="C25" s="28" t="s">
        <v>226</v>
      </c>
      <c r="D25" s="564">
        <f>200</f>
        <v>200</v>
      </c>
      <c r="E25" s="564">
        <f>70+50</f>
        <v>120</v>
      </c>
      <c r="F25" s="564">
        <f>394+106</f>
        <v>500</v>
      </c>
      <c r="G25" s="564"/>
      <c r="H25" s="564"/>
      <c r="I25" s="564"/>
      <c r="J25" s="564">
        <f>100</f>
        <v>100</v>
      </c>
      <c r="K25" s="564">
        <f>-1000</f>
        <v>-1000</v>
      </c>
      <c r="L25" s="564">
        <f>63+17</f>
        <v>80</v>
      </c>
      <c r="M25" s="564"/>
      <c r="N25" s="564"/>
      <c r="O25" s="564"/>
      <c r="P25" s="564"/>
      <c r="Q25" s="564"/>
      <c r="R25" s="564">
        <f t="shared" si="1"/>
        <v>0</v>
      </c>
      <c r="S25" s="564"/>
      <c r="T25" s="564"/>
      <c r="U25" s="564"/>
      <c r="V25" s="564"/>
      <c r="W25" s="564"/>
      <c r="X25" s="566">
        <f t="shared" si="2"/>
        <v>0</v>
      </c>
      <c r="Y25" s="567">
        <f t="shared" si="3"/>
        <v>0</v>
      </c>
      <c r="Z25" s="568"/>
      <c r="AA25" s="31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9"/>
    </row>
    <row r="26" spans="1:42" ht="24.95" hidden="1" customHeight="1" x14ac:dyDescent="0.25">
      <c r="A26" s="79">
        <v>9</v>
      </c>
      <c r="B26" s="559" t="s">
        <v>223</v>
      </c>
      <c r="C26" s="28" t="s">
        <v>227</v>
      </c>
      <c r="D26" s="564"/>
      <c r="E26" s="564"/>
      <c r="F26" s="564">
        <f>1181+319</f>
        <v>1500</v>
      </c>
      <c r="G26" s="564"/>
      <c r="H26" s="564"/>
      <c r="I26" s="564"/>
      <c r="J26" s="564"/>
      <c r="K26" s="564">
        <f>-2000</f>
        <v>-2000</v>
      </c>
      <c r="L26" s="564">
        <f>394+106</f>
        <v>500</v>
      </c>
      <c r="M26" s="564"/>
      <c r="N26" s="564"/>
      <c r="O26" s="564"/>
      <c r="P26" s="564"/>
      <c r="Q26" s="564"/>
      <c r="R26" s="564">
        <f t="shared" si="1"/>
        <v>0</v>
      </c>
      <c r="S26" s="564"/>
      <c r="T26" s="564"/>
      <c r="U26" s="564"/>
      <c r="V26" s="564"/>
      <c r="W26" s="564"/>
      <c r="X26" s="566">
        <f t="shared" ref="X26:X31" si="4">SUM(T26:W26)</f>
        <v>0</v>
      </c>
      <c r="Y26" s="567">
        <f t="shared" ref="Y26:Y31" si="5">R26+X26</f>
        <v>0</v>
      </c>
      <c r="Z26" s="568"/>
      <c r="AA26" s="31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</row>
    <row r="27" spans="1:42" ht="24.95" hidden="1" customHeight="1" x14ac:dyDescent="0.25">
      <c r="A27" s="79">
        <v>10</v>
      </c>
      <c r="B27" s="559" t="s">
        <v>228</v>
      </c>
      <c r="C27" s="28" t="s">
        <v>229</v>
      </c>
      <c r="D27" s="564"/>
      <c r="E27" s="564"/>
      <c r="F27" s="564"/>
      <c r="G27" s="564"/>
      <c r="H27" s="564"/>
      <c r="I27" s="564"/>
      <c r="J27" s="564"/>
      <c r="K27" s="564">
        <f>-40</f>
        <v>-40</v>
      </c>
      <c r="L27" s="564">
        <f>31+9</f>
        <v>40</v>
      </c>
      <c r="M27" s="564"/>
      <c r="N27" s="564"/>
      <c r="O27" s="564"/>
      <c r="P27" s="564"/>
      <c r="Q27" s="564"/>
      <c r="R27" s="564">
        <f t="shared" si="1"/>
        <v>0</v>
      </c>
      <c r="S27" s="564"/>
      <c r="T27" s="564"/>
      <c r="U27" s="564"/>
      <c r="V27" s="564"/>
      <c r="W27" s="564"/>
      <c r="X27" s="566">
        <f t="shared" si="4"/>
        <v>0</v>
      </c>
      <c r="Y27" s="567">
        <f t="shared" si="5"/>
        <v>0</v>
      </c>
      <c r="Z27" s="568"/>
      <c r="AA27" s="31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9"/>
    </row>
    <row r="28" spans="1:42" ht="24.95" hidden="1" customHeight="1" x14ac:dyDescent="0.25">
      <c r="A28" s="79">
        <v>11</v>
      </c>
      <c r="B28" s="559" t="s">
        <v>230</v>
      </c>
      <c r="C28" s="28" t="s">
        <v>231</v>
      </c>
      <c r="D28" s="564"/>
      <c r="E28" s="564"/>
      <c r="F28" s="564"/>
      <c r="G28" s="564"/>
      <c r="H28" s="564"/>
      <c r="I28" s="564"/>
      <c r="J28" s="564"/>
      <c r="K28" s="564">
        <f>675</f>
        <v>675</v>
      </c>
      <c r="L28" s="564"/>
      <c r="M28" s="564"/>
      <c r="N28" s="564"/>
      <c r="O28" s="564"/>
      <c r="P28" s="564"/>
      <c r="Q28" s="564"/>
      <c r="R28" s="564">
        <f t="shared" si="1"/>
        <v>675</v>
      </c>
      <c r="S28" s="564"/>
      <c r="T28" s="564"/>
      <c r="U28" s="564"/>
      <c r="V28" s="564"/>
      <c r="W28" s="564"/>
      <c r="X28" s="566">
        <f t="shared" si="4"/>
        <v>0</v>
      </c>
      <c r="Y28" s="567">
        <f t="shared" si="5"/>
        <v>675</v>
      </c>
      <c r="Z28" s="568"/>
      <c r="AA28" s="31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</row>
    <row r="29" spans="1:42" ht="24.95" hidden="1" customHeight="1" x14ac:dyDescent="0.25">
      <c r="A29" s="79">
        <v>12</v>
      </c>
      <c r="B29" s="559" t="s">
        <v>232</v>
      </c>
      <c r="C29" s="28" t="s">
        <v>234</v>
      </c>
      <c r="D29" s="564"/>
      <c r="E29" s="564"/>
      <c r="F29" s="564">
        <f>432</f>
        <v>432</v>
      </c>
      <c r="G29" s="564"/>
      <c r="H29" s="564"/>
      <c r="I29" s="564"/>
      <c r="J29" s="564"/>
      <c r="K29" s="564">
        <f>1600</f>
        <v>1600</v>
      </c>
      <c r="L29" s="564"/>
      <c r="M29" s="564"/>
      <c r="N29" s="564"/>
      <c r="O29" s="564"/>
      <c r="P29" s="564"/>
      <c r="Q29" s="564"/>
      <c r="R29" s="564">
        <f t="shared" si="1"/>
        <v>2032</v>
      </c>
      <c r="S29" s="564"/>
      <c r="T29" s="564"/>
      <c r="U29" s="564"/>
      <c r="V29" s="564"/>
      <c r="W29" s="564"/>
      <c r="X29" s="566">
        <f t="shared" si="4"/>
        <v>0</v>
      </c>
      <c r="Y29" s="567">
        <f t="shared" si="5"/>
        <v>2032</v>
      </c>
      <c r="Z29" s="568"/>
      <c r="AA29" s="31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9"/>
    </row>
    <row r="30" spans="1:42" ht="24.95" hidden="1" customHeight="1" x14ac:dyDescent="0.25">
      <c r="A30" s="79">
        <v>13</v>
      </c>
      <c r="B30" s="559" t="s">
        <v>235</v>
      </c>
      <c r="C30" s="28" t="s">
        <v>236</v>
      </c>
      <c r="D30" s="564"/>
      <c r="E30" s="564"/>
      <c r="F30" s="564"/>
      <c r="G30" s="564"/>
      <c r="H30" s="564"/>
      <c r="I30" s="564"/>
      <c r="J30" s="564"/>
      <c r="K30" s="564"/>
      <c r="L30" s="564"/>
      <c r="M30" s="564">
        <f>748+202</f>
        <v>950</v>
      </c>
      <c r="N30" s="564"/>
      <c r="O30" s="564"/>
      <c r="P30" s="564"/>
      <c r="Q30" s="564"/>
      <c r="R30" s="564">
        <f t="shared" si="1"/>
        <v>950</v>
      </c>
      <c r="S30" s="564"/>
      <c r="T30" s="564"/>
      <c r="U30" s="564"/>
      <c r="V30" s="564"/>
      <c r="W30" s="564"/>
      <c r="X30" s="566">
        <f t="shared" si="4"/>
        <v>0</v>
      </c>
      <c r="Y30" s="567">
        <f t="shared" si="5"/>
        <v>950</v>
      </c>
      <c r="Z30" s="568"/>
      <c r="AA30" s="31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</row>
    <row r="31" spans="1:42" ht="24.95" hidden="1" customHeight="1" x14ac:dyDescent="0.25">
      <c r="A31" s="79">
        <v>14</v>
      </c>
      <c r="B31" s="559" t="s">
        <v>237</v>
      </c>
      <c r="C31" s="28" t="s">
        <v>238</v>
      </c>
      <c r="D31" s="564"/>
      <c r="E31" s="564"/>
      <c r="F31" s="564">
        <f>690+997</f>
        <v>1687</v>
      </c>
      <c r="G31" s="564"/>
      <c r="H31" s="564"/>
      <c r="I31" s="564"/>
      <c r="J31" s="564"/>
      <c r="K31" s="564">
        <f>-3488</f>
        <v>-3488</v>
      </c>
      <c r="L31" s="564"/>
      <c r="M31" s="564"/>
      <c r="N31" s="564"/>
      <c r="O31" s="564"/>
      <c r="P31" s="564"/>
      <c r="Q31" s="564"/>
      <c r="R31" s="564">
        <f t="shared" si="1"/>
        <v>-1801</v>
      </c>
      <c r="S31" s="564"/>
      <c r="T31" s="564"/>
      <c r="U31" s="564"/>
      <c r="V31" s="564"/>
      <c r="W31" s="564"/>
      <c r="X31" s="566">
        <f t="shared" si="4"/>
        <v>0</v>
      </c>
      <c r="Y31" s="567">
        <f t="shared" si="5"/>
        <v>-1801</v>
      </c>
      <c r="Z31" s="568">
        <f>1801</f>
        <v>1801</v>
      </c>
      <c r="AA31" s="31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9"/>
    </row>
    <row r="32" spans="1:42" ht="24.95" hidden="1" customHeight="1" x14ac:dyDescent="0.25">
      <c r="A32" s="79">
        <v>15</v>
      </c>
      <c r="B32" s="559" t="s">
        <v>242</v>
      </c>
      <c r="C32" s="28" t="s">
        <v>241</v>
      </c>
      <c r="D32" s="564">
        <f>91</f>
        <v>91</v>
      </c>
      <c r="E32" s="564">
        <f>16</f>
        <v>16</v>
      </c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>
        <f t="shared" si="1"/>
        <v>107</v>
      </c>
      <c r="S32" s="564"/>
      <c r="T32" s="564"/>
      <c r="U32" s="564"/>
      <c r="V32" s="564"/>
      <c r="W32" s="564"/>
      <c r="X32" s="566">
        <f t="shared" si="2"/>
        <v>0</v>
      </c>
      <c r="Y32" s="567">
        <f t="shared" si="3"/>
        <v>107</v>
      </c>
      <c r="Z32" s="568">
        <f>-107</f>
        <v>-107</v>
      </c>
      <c r="AA32" s="31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9"/>
    </row>
    <row r="33" spans="1:42" ht="24.95" hidden="1" customHeight="1" x14ac:dyDescent="0.25">
      <c r="A33" s="79">
        <v>16</v>
      </c>
      <c r="B33" s="559" t="s">
        <v>243</v>
      </c>
      <c r="C33" s="28" t="s">
        <v>244</v>
      </c>
      <c r="D33" s="564"/>
      <c r="E33" s="564"/>
      <c r="F33" s="564"/>
      <c r="G33" s="564"/>
      <c r="H33" s="564"/>
      <c r="I33" s="564"/>
      <c r="J33" s="564">
        <f>50</f>
        <v>50</v>
      </c>
      <c r="K33" s="564">
        <f>-50</f>
        <v>-50</v>
      </c>
      <c r="L33" s="564"/>
      <c r="M33" s="564"/>
      <c r="N33" s="564"/>
      <c r="O33" s="564"/>
      <c r="P33" s="564"/>
      <c r="Q33" s="564"/>
      <c r="R33" s="564">
        <f t="shared" si="1"/>
        <v>0</v>
      </c>
      <c r="S33" s="564"/>
      <c r="T33" s="564"/>
      <c r="U33" s="564"/>
      <c r="V33" s="564"/>
      <c r="W33" s="564"/>
      <c r="X33" s="566">
        <f t="shared" si="2"/>
        <v>0</v>
      </c>
      <c r="Y33" s="567">
        <f t="shared" si="3"/>
        <v>0</v>
      </c>
      <c r="Z33" s="568"/>
      <c r="AA33" s="31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</row>
    <row r="34" spans="1:42" ht="24.95" hidden="1" customHeight="1" x14ac:dyDescent="0.25">
      <c r="A34" s="79">
        <v>17</v>
      </c>
      <c r="B34" s="559" t="s">
        <v>264</v>
      </c>
      <c r="C34" s="28" t="s">
        <v>265</v>
      </c>
      <c r="D34" s="564"/>
      <c r="E34" s="564"/>
      <c r="F34" s="564"/>
      <c r="G34" s="564"/>
      <c r="H34" s="564"/>
      <c r="I34" s="564"/>
      <c r="J34" s="564"/>
      <c r="K34" s="564"/>
      <c r="L34" s="564">
        <f>-8000-2160</f>
        <v>-10160</v>
      </c>
      <c r="M34" s="564"/>
      <c r="N34" s="564"/>
      <c r="O34" s="564"/>
      <c r="P34" s="564"/>
      <c r="Q34" s="564"/>
      <c r="R34" s="564">
        <f t="shared" si="1"/>
        <v>-10160</v>
      </c>
      <c r="S34" s="564"/>
      <c r="T34" s="564"/>
      <c r="U34" s="564"/>
      <c r="V34" s="564"/>
      <c r="W34" s="564"/>
      <c r="X34" s="566">
        <f t="shared" si="2"/>
        <v>0</v>
      </c>
      <c r="Y34" s="567">
        <f t="shared" si="3"/>
        <v>-10160</v>
      </c>
      <c r="Z34" s="568">
        <f>10160</f>
        <v>10160</v>
      </c>
      <c r="AA34" s="31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</row>
    <row r="35" spans="1:42" ht="24.95" hidden="1" customHeight="1" x14ac:dyDescent="0.25">
      <c r="A35" s="79">
        <v>18</v>
      </c>
      <c r="B35" s="559" t="s">
        <v>267</v>
      </c>
      <c r="C35" s="28" t="s">
        <v>268</v>
      </c>
      <c r="D35" s="564">
        <f>158</f>
        <v>158</v>
      </c>
      <c r="E35" s="564">
        <f>42+28</f>
        <v>70</v>
      </c>
      <c r="F35" s="564">
        <f>-180-48</f>
        <v>-228</v>
      </c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>
        <f t="shared" si="1"/>
        <v>0</v>
      </c>
      <c r="S35" s="564"/>
      <c r="T35" s="564"/>
      <c r="U35" s="564"/>
      <c r="V35" s="564"/>
      <c r="W35" s="564"/>
      <c r="X35" s="566">
        <f t="shared" si="2"/>
        <v>0</v>
      </c>
      <c r="Y35" s="567">
        <f t="shared" si="3"/>
        <v>0</v>
      </c>
      <c r="Z35" s="568"/>
      <c r="AA35" s="31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9"/>
    </row>
    <row r="36" spans="1:42" ht="24.95" hidden="1" customHeight="1" x14ac:dyDescent="0.25">
      <c r="A36" s="79">
        <v>19</v>
      </c>
      <c r="B36" s="559" t="s">
        <v>249</v>
      </c>
      <c r="C36" s="28" t="s">
        <v>255</v>
      </c>
      <c r="D36" s="564"/>
      <c r="E36" s="564"/>
      <c r="F36" s="564">
        <f>-1440.21</f>
        <v>-1440.21</v>
      </c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>
        <f t="shared" si="1"/>
        <v>-1440.21</v>
      </c>
      <c r="S36" s="564"/>
      <c r="T36" s="564"/>
      <c r="U36" s="564"/>
      <c r="V36" s="564"/>
      <c r="W36" s="564"/>
      <c r="X36" s="566">
        <f t="shared" si="2"/>
        <v>0</v>
      </c>
      <c r="Y36" s="567">
        <f t="shared" si="3"/>
        <v>-1440.21</v>
      </c>
      <c r="Z36" s="568">
        <f>1440.21</f>
        <v>1440.21</v>
      </c>
      <c r="AA36" s="31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9"/>
    </row>
    <row r="37" spans="1:42" ht="24.95" hidden="1" customHeight="1" x14ac:dyDescent="0.25">
      <c r="A37" s="79">
        <v>20</v>
      </c>
      <c r="B37" s="134" t="s">
        <v>249</v>
      </c>
      <c r="C37" s="28" t="s">
        <v>256</v>
      </c>
      <c r="D37" s="564"/>
      <c r="E37" s="564"/>
      <c r="F37" s="564">
        <f>-1178.886</f>
        <v>-1178.886</v>
      </c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>
        <f t="shared" si="1"/>
        <v>-1178.886</v>
      </c>
      <c r="S37" s="564"/>
      <c r="T37" s="564"/>
      <c r="U37" s="564"/>
      <c r="V37" s="564"/>
      <c r="W37" s="564"/>
      <c r="X37" s="566">
        <f t="shared" si="2"/>
        <v>0</v>
      </c>
      <c r="Y37" s="567">
        <f t="shared" si="3"/>
        <v>-1178.886</v>
      </c>
      <c r="Z37" s="568">
        <f>1178.886</f>
        <v>1178.886</v>
      </c>
      <c r="AA37" s="31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/>
    </row>
    <row r="38" spans="1:42" ht="24.95" hidden="1" customHeight="1" x14ac:dyDescent="0.25">
      <c r="A38" s="79">
        <v>21</v>
      </c>
      <c r="B38" s="134" t="s">
        <v>249</v>
      </c>
      <c r="C38" s="28" t="s">
        <v>250</v>
      </c>
      <c r="D38" s="564"/>
      <c r="E38" s="564"/>
      <c r="F38" s="564">
        <f>-235.948</f>
        <v>-235.94800000000001</v>
      </c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>
        <f t="shared" si="1"/>
        <v>-235.94800000000001</v>
      </c>
      <c r="S38" s="564"/>
      <c r="T38" s="564"/>
      <c r="U38" s="564"/>
      <c r="V38" s="564"/>
      <c r="W38" s="564"/>
      <c r="X38" s="566">
        <f t="shared" si="2"/>
        <v>0</v>
      </c>
      <c r="Y38" s="567">
        <f t="shared" si="3"/>
        <v>-235.94800000000001</v>
      </c>
      <c r="Z38" s="568">
        <f>235.948</f>
        <v>235.94800000000001</v>
      </c>
      <c r="AA38" s="31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9"/>
    </row>
    <row r="39" spans="1:42" ht="24.95" hidden="1" customHeight="1" x14ac:dyDescent="0.25">
      <c r="A39" s="79">
        <v>22</v>
      </c>
      <c r="B39" s="134" t="s">
        <v>251</v>
      </c>
      <c r="C39" s="28" t="s">
        <v>257</v>
      </c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>
        <f t="shared" si="1"/>
        <v>0</v>
      </c>
      <c r="S39" s="564"/>
      <c r="T39" s="564"/>
      <c r="U39" s="564"/>
      <c r="V39" s="564"/>
      <c r="W39" s="564"/>
      <c r="X39" s="566">
        <f t="shared" si="2"/>
        <v>0</v>
      </c>
      <c r="Y39" s="567">
        <f t="shared" si="3"/>
        <v>0</v>
      </c>
      <c r="Z39" s="568">
        <f>2989.619</f>
        <v>2989.6190000000001</v>
      </c>
      <c r="AA39" s="31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/>
    </row>
    <row r="40" spans="1:42" ht="24.95" hidden="1" customHeight="1" x14ac:dyDescent="0.25">
      <c r="A40" s="79">
        <v>23</v>
      </c>
      <c r="B40" s="134" t="s">
        <v>251</v>
      </c>
      <c r="C40" s="28" t="s">
        <v>258</v>
      </c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>
        <f t="shared" si="1"/>
        <v>0</v>
      </c>
      <c r="S40" s="564"/>
      <c r="T40" s="564"/>
      <c r="U40" s="564"/>
      <c r="V40" s="564"/>
      <c r="W40" s="564"/>
      <c r="X40" s="566">
        <f t="shared" si="2"/>
        <v>0</v>
      </c>
      <c r="Y40" s="567">
        <f t="shared" si="3"/>
        <v>0</v>
      </c>
      <c r="Z40" s="568">
        <f>3433.406</f>
        <v>3433.4059999999999</v>
      </c>
      <c r="AA40" s="31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9"/>
    </row>
    <row r="41" spans="1:42" ht="24.95" hidden="1" customHeight="1" x14ac:dyDescent="0.25">
      <c r="A41" s="79">
        <v>24</v>
      </c>
      <c r="B41" s="134" t="s">
        <v>251</v>
      </c>
      <c r="C41" s="28" t="s">
        <v>252</v>
      </c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>
        <f t="shared" si="1"/>
        <v>0</v>
      </c>
      <c r="S41" s="564"/>
      <c r="T41" s="564"/>
      <c r="U41" s="564"/>
      <c r="V41" s="564"/>
      <c r="W41" s="564"/>
      <c r="X41" s="566">
        <f t="shared" si="2"/>
        <v>0</v>
      </c>
      <c r="Y41" s="567">
        <f t="shared" si="3"/>
        <v>0</v>
      </c>
      <c r="Z41" s="568">
        <f>578.62</f>
        <v>578.62</v>
      </c>
      <c r="AA41" s="31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9"/>
    </row>
    <row r="42" spans="1:42" ht="24.95" hidden="1" customHeight="1" x14ac:dyDescent="0.25">
      <c r="A42" s="79">
        <v>25</v>
      </c>
      <c r="B42" s="134" t="s">
        <v>259</v>
      </c>
      <c r="C42" s="28" t="s">
        <v>261</v>
      </c>
      <c r="D42" s="564"/>
      <c r="E42" s="564"/>
      <c r="F42" s="564">
        <f>-7337.331</f>
        <v>-7337.3310000000001</v>
      </c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>
        <f t="shared" si="1"/>
        <v>-7337.3310000000001</v>
      </c>
      <c r="S42" s="564"/>
      <c r="T42" s="564"/>
      <c r="U42" s="564"/>
      <c r="V42" s="564"/>
      <c r="W42" s="564"/>
      <c r="X42" s="566">
        <f t="shared" si="2"/>
        <v>0</v>
      </c>
      <c r="Y42" s="567">
        <f t="shared" si="3"/>
        <v>-7337.3310000000001</v>
      </c>
      <c r="Z42" s="568">
        <f>7337.331</f>
        <v>7337.3310000000001</v>
      </c>
      <c r="AA42" s="31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</row>
    <row r="43" spans="1:42" ht="24.95" hidden="1" customHeight="1" x14ac:dyDescent="0.25">
      <c r="A43" s="79">
        <v>26</v>
      </c>
      <c r="B43" s="221" t="s">
        <v>260</v>
      </c>
      <c r="C43" s="28" t="s">
        <v>262</v>
      </c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>
        <f t="shared" si="1"/>
        <v>0</v>
      </c>
      <c r="S43" s="564"/>
      <c r="T43" s="564"/>
      <c r="U43" s="564"/>
      <c r="V43" s="564"/>
      <c r="W43" s="564"/>
      <c r="X43" s="566">
        <f t="shared" si="2"/>
        <v>0</v>
      </c>
      <c r="Y43" s="567">
        <f t="shared" si="3"/>
        <v>0</v>
      </c>
      <c r="Z43" s="568">
        <f>15336.021</f>
        <v>15336.021000000001</v>
      </c>
      <c r="AA43" s="31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</row>
    <row r="44" spans="1:42" ht="24.95" hidden="1" customHeight="1" x14ac:dyDescent="0.25">
      <c r="A44" s="79">
        <v>27</v>
      </c>
      <c r="B44" s="221" t="s">
        <v>270</v>
      </c>
      <c r="C44" s="28" t="s">
        <v>269</v>
      </c>
      <c r="D44" s="564"/>
      <c r="E44" s="564"/>
      <c r="F44" s="564"/>
      <c r="G44" s="564"/>
      <c r="H44" s="564">
        <v>33877.31</v>
      </c>
      <c r="I44" s="564"/>
      <c r="J44" s="564"/>
      <c r="K44" s="564"/>
      <c r="L44" s="564"/>
      <c r="M44" s="564"/>
      <c r="N44" s="564"/>
      <c r="O44" s="564"/>
      <c r="P44" s="564"/>
      <c r="Q44" s="564"/>
      <c r="R44" s="564">
        <f t="shared" si="1"/>
        <v>33877.31</v>
      </c>
      <c r="S44" s="564"/>
      <c r="T44" s="564"/>
      <c r="U44" s="564"/>
      <c r="V44" s="564">
        <f>-33877.31</f>
        <v>-33877.31</v>
      </c>
      <c r="W44" s="564"/>
      <c r="X44" s="566">
        <f t="shared" si="2"/>
        <v>-33877.31</v>
      </c>
      <c r="Y44" s="567">
        <f t="shared" si="3"/>
        <v>0</v>
      </c>
      <c r="Z44" s="568"/>
      <c r="AA44" s="31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9"/>
    </row>
    <row r="45" spans="1:42" ht="24.95" hidden="1" customHeight="1" x14ac:dyDescent="0.25">
      <c r="A45" s="79">
        <v>28</v>
      </c>
      <c r="B45" s="134" t="s">
        <v>272</v>
      </c>
      <c r="C45" s="28" t="s">
        <v>271</v>
      </c>
      <c r="D45" s="564"/>
      <c r="E45" s="564">
        <f>7+5</f>
        <v>12</v>
      </c>
      <c r="F45" s="564">
        <f>-345+100+33+100+100</f>
        <v>-12</v>
      </c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>
        <f t="shared" si="1"/>
        <v>0</v>
      </c>
      <c r="S45" s="564"/>
      <c r="T45" s="564"/>
      <c r="U45" s="564"/>
      <c r="V45" s="564"/>
      <c r="W45" s="564"/>
      <c r="X45" s="566">
        <f t="shared" si="2"/>
        <v>0</v>
      </c>
      <c r="Y45" s="567">
        <f t="shared" si="3"/>
        <v>0</v>
      </c>
      <c r="Z45" s="568"/>
      <c r="AA45" s="31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/>
    </row>
    <row r="46" spans="1:42" ht="24.95" hidden="1" customHeight="1" x14ac:dyDescent="0.25">
      <c r="A46" s="79">
        <v>29</v>
      </c>
      <c r="B46" s="134" t="s">
        <v>273</v>
      </c>
      <c r="C46" s="28" t="s">
        <v>274</v>
      </c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>
        <f t="shared" si="1"/>
        <v>0</v>
      </c>
      <c r="S46" s="564"/>
      <c r="T46" s="564"/>
      <c r="U46" s="564">
        <v>3850000</v>
      </c>
      <c r="V46" s="564"/>
      <c r="W46" s="564"/>
      <c r="X46" s="566">
        <f t="shared" si="2"/>
        <v>3850000</v>
      </c>
      <c r="Y46" s="567">
        <f t="shared" si="3"/>
        <v>3850000</v>
      </c>
      <c r="Z46" s="568"/>
      <c r="AA46" s="31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9"/>
    </row>
    <row r="47" spans="1:42" ht="24.95" hidden="1" customHeight="1" x14ac:dyDescent="0.25">
      <c r="A47" s="79"/>
      <c r="B47" s="134" t="s">
        <v>275</v>
      </c>
      <c r="C47" s="28" t="s">
        <v>278</v>
      </c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>
        <f t="shared" si="1"/>
        <v>0</v>
      </c>
      <c r="S47" s="564"/>
      <c r="T47" s="564"/>
      <c r="U47" s="564"/>
      <c r="V47" s="564"/>
      <c r="W47" s="564"/>
      <c r="X47" s="566">
        <f>SUM(T47:W47)</f>
        <v>0</v>
      </c>
      <c r="Y47" s="567">
        <f>R47+X47</f>
        <v>0</v>
      </c>
      <c r="Z47" s="568"/>
      <c r="AA47" s="31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9"/>
    </row>
    <row r="48" spans="1:42" ht="24.95" hidden="1" customHeight="1" x14ac:dyDescent="0.25">
      <c r="A48" s="613"/>
      <c r="B48" s="614" t="s">
        <v>276</v>
      </c>
      <c r="C48" s="615" t="s">
        <v>277</v>
      </c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>
        <f t="shared" si="1"/>
        <v>0</v>
      </c>
      <c r="S48" s="564"/>
      <c r="T48" s="564"/>
      <c r="U48" s="564"/>
      <c r="V48" s="564"/>
      <c r="W48" s="564"/>
      <c r="X48" s="566">
        <f t="shared" si="2"/>
        <v>0</v>
      </c>
      <c r="Y48" s="567">
        <f t="shared" si="3"/>
        <v>0</v>
      </c>
      <c r="Z48" s="568"/>
      <c r="AA48" s="31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9"/>
    </row>
    <row r="49" spans="1:42" ht="24.95" hidden="1" customHeight="1" x14ac:dyDescent="0.25">
      <c r="A49" s="79">
        <v>30</v>
      </c>
      <c r="B49" s="134" t="s">
        <v>279</v>
      </c>
      <c r="C49" s="28" t="s">
        <v>280</v>
      </c>
      <c r="D49" s="564"/>
      <c r="E49" s="564"/>
      <c r="F49" s="564"/>
      <c r="G49" s="564"/>
      <c r="H49" s="564"/>
      <c r="I49" s="564"/>
      <c r="J49" s="564"/>
      <c r="K49" s="564">
        <f>-24450</f>
        <v>-24450</v>
      </c>
      <c r="L49" s="564"/>
      <c r="M49" s="564"/>
      <c r="N49" s="564"/>
      <c r="O49" s="564"/>
      <c r="P49" s="564"/>
      <c r="Q49" s="564"/>
      <c r="R49" s="564">
        <f t="shared" si="1"/>
        <v>-24450</v>
      </c>
      <c r="S49" s="564"/>
      <c r="T49" s="564"/>
      <c r="U49" s="564"/>
      <c r="V49" s="565"/>
      <c r="W49" s="564"/>
      <c r="X49" s="566">
        <f t="shared" si="2"/>
        <v>0</v>
      </c>
      <c r="Y49" s="567">
        <f t="shared" si="3"/>
        <v>-24450</v>
      </c>
      <c r="Z49" s="568">
        <f>24450</f>
        <v>24450</v>
      </c>
      <c r="AA49" s="31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9"/>
    </row>
    <row r="50" spans="1:42" ht="24.95" hidden="1" customHeight="1" x14ac:dyDescent="0.25">
      <c r="A50" s="79">
        <v>31</v>
      </c>
      <c r="B50" s="134" t="s">
        <v>281</v>
      </c>
      <c r="C50" s="28" t="s">
        <v>282</v>
      </c>
      <c r="D50" s="564"/>
      <c r="E50" s="564"/>
      <c r="F50" s="564">
        <f>-150-792</f>
        <v>-942</v>
      </c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>
        <f t="shared" si="1"/>
        <v>-942</v>
      </c>
      <c r="S50" s="564"/>
      <c r="T50" s="564"/>
      <c r="U50" s="564"/>
      <c r="V50" s="564"/>
      <c r="W50" s="564"/>
      <c r="X50" s="566">
        <f t="shared" si="2"/>
        <v>0</v>
      </c>
      <c r="Y50" s="567">
        <f t="shared" si="3"/>
        <v>-942</v>
      </c>
      <c r="Z50" s="568">
        <f>942</f>
        <v>942</v>
      </c>
      <c r="AA50" s="31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9"/>
    </row>
    <row r="51" spans="1:42" ht="24.95" hidden="1" customHeight="1" x14ac:dyDescent="0.25">
      <c r="A51" s="79">
        <v>32</v>
      </c>
      <c r="B51" s="134" t="s">
        <v>285</v>
      </c>
      <c r="C51" s="28" t="s">
        <v>234</v>
      </c>
      <c r="D51" s="564"/>
      <c r="E51" s="564"/>
      <c r="F51" s="564">
        <f>324</f>
        <v>324</v>
      </c>
      <c r="G51" s="564"/>
      <c r="H51" s="564"/>
      <c r="I51" s="564"/>
      <c r="J51" s="564"/>
      <c r="K51" s="564">
        <f>1200</f>
        <v>1200</v>
      </c>
      <c r="L51" s="564"/>
      <c r="M51" s="564"/>
      <c r="N51" s="564"/>
      <c r="O51" s="564"/>
      <c r="P51" s="564"/>
      <c r="Q51" s="564"/>
      <c r="R51" s="564">
        <f t="shared" si="1"/>
        <v>1524</v>
      </c>
      <c r="S51" s="564"/>
      <c r="T51" s="564"/>
      <c r="U51" s="564"/>
      <c r="V51" s="564"/>
      <c r="W51" s="564"/>
      <c r="X51" s="566">
        <f t="shared" si="2"/>
        <v>0</v>
      </c>
      <c r="Y51" s="567">
        <f t="shared" si="3"/>
        <v>1524</v>
      </c>
      <c r="Z51" s="568"/>
      <c r="AA51" s="31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</row>
    <row r="52" spans="1:42" ht="24.95" hidden="1" customHeight="1" x14ac:dyDescent="0.25">
      <c r="A52" s="79">
        <v>33</v>
      </c>
      <c r="B52" s="134" t="s">
        <v>286</v>
      </c>
      <c r="C52" s="28" t="s">
        <v>287</v>
      </c>
      <c r="D52" s="564"/>
      <c r="E52" s="564"/>
      <c r="F52" s="564"/>
      <c r="G52" s="564"/>
      <c r="H52" s="564"/>
      <c r="I52" s="564"/>
      <c r="J52" s="564"/>
      <c r="K52" s="564">
        <f>-11256</f>
        <v>-11256</v>
      </c>
      <c r="L52" s="564"/>
      <c r="M52" s="564"/>
      <c r="N52" s="564"/>
      <c r="O52" s="564"/>
      <c r="P52" s="564"/>
      <c r="Q52" s="564"/>
      <c r="R52" s="564">
        <f t="shared" si="1"/>
        <v>-11256</v>
      </c>
      <c r="S52" s="564"/>
      <c r="T52" s="564"/>
      <c r="U52" s="564"/>
      <c r="V52" s="564"/>
      <c r="W52" s="564"/>
      <c r="X52" s="566">
        <f t="shared" si="2"/>
        <v>0</v>
      </c>
      <c r="Y52" s="567">
        <f t="shared" si="3"/>
        <v>-11256</v>
      </c>
      <c r="Z52" s="568">
        <f>11256</f>
        <v>11256</v>
      </c>
      <c r="AA52" s="31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9"/>
    </row>
    <row r="53" spans="1:42" ht="24.95" hidden="1" customHeight="1" x14ac:dyDescent="0.25">
      <c r="A53" s="79">
        <v>34</v>
      </c>
      <c r="B53" s="134" t="s">
        <v>288</v>
      </c>
      <c r="C53" s="28" t="s">
        <v>234</v>
      </c>
      <c r="D53" s="564"/>
      <c r="E53" s="564"/>
      <c r="F53" s="564">
        <f>378</f>
        <v>378</v>
      </c>
      <c r="G53" s="564"/>
      <c r="H53" s="564"/>
      <c r="I53" s="564"/>
      <c r="J53" s="564"/>
      <c r="K53" s="564">
        <v>1400</v>
      </c>
      <c r="L53" s="564"/>
      <c r="M53" s="564"/>
      <c r="N53" s="564"/>
      <c r="O53" s="564"/>
      <c r="P53" s="564"/>
      <c r="Q53" s="564"/>
      <c r="R53" s="564">
        <f t="shared" si="1"/>
        <v>1778</v>
      </c>
      <c r="S53" s="564"/>
      <c r="T53" s="564"/>
      <c r="U53" s="564"/>
      <c r="V53" s="564"/>
      <c r="W53" s="564"/>
      <c r="X53" s="566">
        <f t="shared" si="2"/>
        <v>0</v>
      </c>
      <c r="Y53" s="567">
        <f t="shared" si="3"/>
        <v>1778</v>
      </c>
      <c r="Z53" s="568"/>
      <c r="AA53" s="31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9"/>
    </row>
    <row r="54" spans="1:42" ht="24.95" hidden="1" customHeight="1" x14ac:dyDescent="0.25">
      <c r="A54" s="79">
        <v>35</v>
      </c>
      <c r="B54" s="221" t="s">
        <v>283</v>
      </c>
      <c r="C54" s="38" t="s">
        <v>284</v>
      </c>
      <c r="D54" s="564"/>
      <c r="E54" s="564"/>
      <c r="F54" s="564">
        <f>-105.976-18.714</f>
        <v>-124.69</v>
      </c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>
        <f t="shared" si="1"/>
        <v>-124.69</v>
      </c>
      <c r="S54" s="564"/>
      <c r="T54" s="564"/>
      <c r="U54" s="564"/>
      <c r="V54" s="564"/>
      <c r="W54" s="564"/>
      <c r="X54" s="566">
        <f t="shared" si="2"/>
        <v>0</v>
      </c>
      <c r="Y54" s="567">
        <f t="shared" si="3"/>
        <v>-124.69</v>
      </c>
      <c r="Z54" s="568">
        <f>124.69</f>
        <v>124.69</v>
      </c>
      <c r="AA54" s="31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9"/>
    </row>
    <row r="55" spans="1:42" ht="24.95" hidden="1" customHeight="1" x14ac:dyDescent="0.25">
      <c r="A55" s="79">
        <v>36</v>
      </c>
      <c r="B55" s="221" t="s">
        <v>291</v>
      </c>
      <c r="C55" s="28" t="s">
        <v>290</v>
      </c>
      <c r="D55" s="564"/>
      <c r="E55" s="564"/>
      <c r="F55" s="564"/>
      <c r="G55" s="564"/>
      <c r="H55" s="564"/>
      <c r="I55" s="564"/>
      <c r="J55" s="564">
        <f>1800</f>
        <v>1800</v>
      </c>
      <c r="K55" s="564"/>
      <c r="L55" s="564"/>
      <c r="M55" s="564"/>
      <c r="N55" s="564"/>
      <c r="O55" s="564"/>
      <c r="P55" s="564"/>
      <c r="Q55" s="564"/>
      <c r="R55" s="564">
        <f t="shared" si="1"/>
        <v>1800</v>
      </c>
      <c r="S55" s="564"/>
      <c r="T55" s="564"/>
      <c r="U55" s="564"/>
      <c r="V55" s="564"/>
      <c r="W55" s="564"/>
      <c r="X55" s="566">
        <f>SUM(T55:W55)</f>
        <v>0</v>
      </c>
      <c r="Y55" s="567">
        <f>R55+X55</f>
        <v>1800</v>
      </c>
      <c r="Z55" s="568"/>
      <c r="AA55" s="31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9"/>
    </row>
    <row r="56" spans="1:42" ht="24.95" hidden="1" customHeight="1" x14ac:dyDescent="0.25">
      <c r="A56" s="79"/>
      <c r="B56" s="221" t="s">
        <v>302</v>
      </c>
      <c r="C56" s="38" t="s">
        <v>301</v>
      </c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>
        <f t="shared" si="1"/>
        <v>0</v>
      </c>
      <c r="S56" s="564"/>
      <c r="T56" s="564"/>
      <c r="U56" s="564"/>
      <c r="V56" s="564"/>
      <c r="W56" s="564"/>
      <c r="X56" s="566">
        <f>SUM(T56:W56)</f>
        <v>0</v>
      </c>
      <c r="Y56" s="567">
        <f>R56+X56</f>
        <v>0</v>
      </c>
      <c r="Z56" s="568"/>
      <c r="AA56" s="31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9"/>
    </row>
    <row r="57" spans="1:42" ht="24.95" hidden="1" customHeight="1" x14ac:dyDescent="0.25">
      <c r="A57" s="79"/>
      <c r="B57" s="221" t="s">
        <v>303</v>
      </c>
      <c r="C57" s="38" t="s">
        <v>305</v>
      </c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>
        <f t="shared" si="1"/>
        <v>0</v>
      </c>
      <c r="S57" s="564"/>
      <c r="T57" s="564"/>
      <c r="U57" s="564"/>
      <c r="V57" s="564"/>
      <c r="W57" s="564"/>
      <c r="X57" s="566">
        <f t="shared" ref="X57:X80" si="6">SUM(T57:W57)</f>
        <v>0</v>
      </c>
      <c r="Y57" s="567">
        <f t="shared" ref="Y57:Y86" si="7">R57+X57</f>
        <v>0</v>
      </c>
      <c r="Z57" s="568"/>
      <c r="AA57" s="31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9"/>
    </row>
    <row r="58" spans="1:42" ht="24.95" hidden="1" customHeight="1" x14ac:dyDescent="0.25">
      <c r="A58" s="79"/>
      <c r="B58" s="617" t="s">
        <v>304</v>
      </c>
      <c r="C58" s="38" t="s">
        <v>306</v>
      </c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>
        <f t="shared" si="1"/>
        <v>0</v>
      </c>
      <c r="S58" s="564"/>
      <c r="T58" s="564"/>
      <c r="U58" s="564"/>
      <c r="V58" s="564"/>
      <c r="W58" s="564"/>
      <c r="X58" s="566">
        <f t="shared" si="6"/>
        <v>0</v>
      </c>
      <c r="Y58" s="567">
        <f t="shared" si="7"/>
        <v>0</v>
      </c>
      <c r="Z58" s="568"/>
      <c r="AA58" s="31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9"/>
    </row>
    <row r="59" spans="1:42" ht="24.95" hidden="1" customHeight="1" x14ac:dyDescent="0.25">
      <c r="A59" s="79"/>
      <c r="B59" s="221"/>
      <c r="C59" s="38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>
        <f t="shared" si="1"/>
        <v>0</v>
      </c>
      <c r="S59" s="564"/>
      <c r="T59" s="564"/>
      <c r="U59" s="564"/>
      <c r="V59" s="564"/>
      <c r="W59" s="564"/>
      <c r="X59" s="566">
        <f t="shared" si="6"/>
        <v>0</v>
      </c>
      <c r="Y59" s="567">
        <f t="shared" si="7"/>
        <v>0</v>
      </c>
      <c r="Z59" s="568"/>
      <c r="AA59" s="31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/>
    </row>
    <row r="60" spans="1:42" ht="24.95" hidden="1" customHeight="1" x14ac:dyDescent="0.25">
      <c r="A60" s="79"/>
      <c r="B60" s="221"/>
      <c r="C60" s="38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>
        <f t="shared" si="1"/>
        <v>0</v>
      </c>
      <c r="S60" s="564"/>
      <c r="T60" s="564"/>
      <c r="U60" s="564"/>
      <c r="V60" s="564"/>
      <c r="W60" s="564"/>
      <c r="X60" s="566">
        <f t="shared" si="6"/>
        <v>0</v>
      </c>
      <c r="Y60" s="567">
        <f t="shared" si="7"/>
        <v>0</v>
      </c>
      <c r="Z60" s="568"/>
      <c r="AA60" s="31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9"/>
    </row>
    <row r="61" spans="1:42" ht="24.95" hidden="1" customHeight="1" x14ac:dyDescent="0.25">
      <c r="A61" s="79"/>
      <c r="B61" s="221"/>
      <c r="C61" s="38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>
        <f t="shared" si="1"/>
        <v>0</v>
      </c>
      <c r="S61" s="564"/>
      <c r="T61" s="564"/>
      <c r="U61" s="564"/>
      <c r="V61" s="564"/>
      <c r="W61" s="564"/>
      <c r="X61" s="566">
        <f t="shared" si="6"/>
        <v>0</v>
      </c>
      <c r="Y61" s="567">
        <f t="shared" si="7"/>
        <v>0</v>
      </c>
      <c r="Z61" s="568"/>
      <c r="AA61" s="31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9"/>
    </row>
    <row r="62" spans="1:42" ht="24.95" hidden="1" customHeight="1" x14ac:dyDescent="0.25">
      <c r="A62" s="79"/>
      <c r="B62" s="221"/>
      <c r="C62" s="38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>
        <f t="shared" si="1"/>
        <v>0</v>
      </c>
      <c r="S62" s="564"/>
      <c r="T62" s="564"/>
      <c r="U62" s="564"/>
      <c r="V62" s="564"/>
      <c r="W62" s="564"/>
      <c r="X62" s="566">
        <f t="shared" si="6"/>
        <v>0</v>
      </c>
      <c r="Y62" s="567">
        <f t="shared" si="7"/>
        <v>0</v>
      </c>
      <c r="Z62" s="568"/>
      <c r="AA62" s="31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9"/>
    </row>
    <row r="63" spans="1:42" ht="24.95" hidden="1" customHeight="1" x14ac:dyDescent="0.25">
      <c r="A63" s="79"/>
      <c r="B63" s="221"/>
      <c r="C63" s="38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>
        <f t="shared" si="1"/>
        <v>0</v>
      </c>
      <c r="S63" s="564"/>
      <c r="T63" s="564"/>
      <c r="U63" s="564"/>
      <c r="V63" s="564"/>
      <c r="W63" s="564"/>
      <c r="X63" s="566">
        <f t="shared" si="6"/>
        <v>0</v>
      </c>
      <c r="Y63" s="567">
        <f t="shared" si="7"/>
        <v>0</v>
      </c>
      <c r="Z63" s="568"/>
      <c r="AA63" s="31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9"/>
    </row>
    <row r="64" spans="1:42" ht="24.95" hidden="1" customHeight="1" x14ac:dyDescent="0.25">
      <c r="A64" s="79"/>
      <c r="B64" s="221"/>
      <c r="C64" s="38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>
        <f t="shared" si="1"/>
        <v>0</v>
      </c>
      <c r="S64" s="564"/>
      <c r="T64" s="564"/>
      <c r="U64" s="564"/>
      <c r="V64" s="564"/>
      <c r="W64" s="564"/>
      <c r="X64" s="566">
        <f t="shared" si="6"/>
        <v>0</v>
      </c>
      <c r="Y64" s="567">
        <f t="shared" si="7"/>
        <v>0</v>
      </c>
      <c r="Z64" s="568"/>
      <c r="AA64" s="31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9"/>
    </row>
    <row r="65" spans="1:42" ht="24.95" hidden="1" customHeight="1" x14ac:dyDescent="0.25">
      <c r="A65" s="79"/>
      <c r="B65" s="221"/>
      <c r="C65" s="38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>
        <f t="shared" si="1"/>
        <v>0</v>
      </c>
      <c r="S65" s="564"/>
      <c r="T65" s="564"/>
      <c r="U65" s="564"/>
      <c r="V65" s="564"/>
      <c r="W65" s="564"/>
      <c r="X65" s="566">
        <f t="shared" si="6"/>
        <v>0</v>
      </c>
      <c r="Y65" s="567">
        <f t="shared" si="7"/>
        <v>0</v>
      </c>
      <c r="Z65" s="568"/>
      <c r="AA65" s="31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</row>
    <row r="66" spans="1:42" ht="24.95" hidden="1" customHeight="1" x14ac:dyDescent="0.25">
      <c r="A66" s="79"/>
      <c r="B66" s="221"/>
      <c r="C66" s="38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564"/>
      <c r="R66" s="564">
        <f t="shared" si="1"/>
        <v>0</v>
      </c>
      <c r="S66" s="564"/>
      <c r="T66" s="564"/>
      <c r="U66" s="564"/>
      <c r="V66" s="564"/>
      <c r="W66" s="564"/>
      <c r="X66" s="566">
        <f t="shared" si="6"/>
        <v>0</v>
      </c>
      <c r="Y66" s="567">
        <f t="shared" si="7"/>
        <v>0</v>
      </c>
      <c r="Z66" s="568"/>
      <c r="AA66" s="31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</row>
    <row r="67" spans="1:42" ht="24.95" hidden="1" customHeight="1" x14ac:dyDescent="0.25">
      <c r="A67" s="79"/>
      <c r="B67" s="221"/>
      <c r="C67" s="38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4">
        <f t="shared" si="1"/>
        <v>0</v>
      </c>
      <c r="S67" s="564"/>
      <c r="T67" s="564"/>
      <c r="U67" s="564"/>
      <c r="V67" s="564"/>
      <c r="W67" s="564"/>
      <c r="X67" s="566">
        <f t="shared" si="6"/>
        <v>0</v>
      </c>
      <c r="Y67" s="567">
        <f t="shared" si="7"/>
        <v>0</v>
      </c>
      <c r="Z67" s="568"/>
      <c r="AA67" s="31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</row>
    <row r="68" spans="1:42" ht="24.95" hidden="1" customHeight="1" x14ac:dyDescent="0.25">
      <c r="A68" s="79"/>
      <c r="B68" s="221"/>
      <c r="C68" s="38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>
        <f t="shared" si="1"/>
        <v>0</v>
      </c>
      <c r="S68" s="564"/>
      <c r="T68" s="564"/>
      <c r="U68" s="564"/>
      <c r="V68" s="564"/>
      <c r="W68" s="564"/>
      <c r="X68" s="566">
        <f t="shared" ref="X68:X76" si="8">SUM(T68:W68)</f>
        <v>0</v>
      </c>
      <c r="Y68" s="567">
        <f t="shared" ref="Y68:Y76" si="9">R68+X68</f>
        <v>0</v>
      </c>
      <c r="Z68" s="568"/>
      <c r="AA68" s="31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9"/>
    </row>
    <row r="69" spans="1:42" ht="24.95" hidden="1" customHeight="1" x14ac:dyDescent="0.25">
      <c r="A69" s="79"/>
      <c r="B69" s="221"/>
      <c r="C69" s="38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>
        <f t="shared" si="1"/>
        <v>0</v>
      </c>
      <c r="S69" s="564"/>
      <c r="T69" s="564"/>
      <c r="U69" s="564"/>
      <c r="V69" s="564"/>
      <c r="W69" s="564"/>
      <c r="X69" s="566">
        <f t="shared" si="8"/>
        <v>0</v>
      </c>
      <c r="Y69" s="567">
        <f t="shared" si="9"/>
        <v>0</v>
      </c>
      <c r="Z69" s="568"/>
      <c r="AA69" s="31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</row>
    <row r="70" spans="1:42" ht="24.95" hidden="1" customHeight="1" x14ac:dyDescent="0.25">
      <c r="A70" s="79"/>
      <c r="B70" s="221"/>
      <c r="C70" s="38"/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>
        <f t="shared" si="1"/>
        <v>0</v>
      </c>
      <c r="S70" s="564"/>
      <c r="T70" s="564"/>
      <c r="U70" s="564"/>
      <c r="V70" s="564"/>
      <c r="W70" s="564"/>
      <c r="X70" s="566">
        <f t="shared" si="8"/>
        <v>0</v>
      </c>
      <c r="Y70" s="567">
        <f t="shared" si="9"/>
        <v>0</v>
      </c>
      <c r="Z70" s="568"/>
      <c r="AA70" s="31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</row>
    <row r="71" spans="1:42" ht="24.95" hidden="1" customHeight="1" x14ac:dyDescent="0.25">
      <c r="A71" s="79"/>
      <c r="B71" s="221"/>
      <c r="C71" s="38"/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>
        <f t="shared" si="1"/>
        <v>0</v>
      </c>
      <c r="S71" s="564"/>
      <c r="T71" s="564"/>
      <c r="U71" s="564"/>
      <c r="V71" s="564"/>
      <c r="W71" s="564"/>
      <c r="X71" s="566">
        <f t="shared" si="8"/>
        <v>0</v>
      </c>
      <c r="Y71" s="567">
        <f t="shared" si="9"/>
        <v>0</v>
      </c>
      <c r="Z71" s="568"/>
      <c r="AA71" s="31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</row>
    <row r="72" spans="1:42" ht="24.95" hidden="1" customHeight="1" x14ac:dyDescent="0.25">
      <c r="A72" s="79"/>
      <c r="B72" s="221"/>
      <c r="C72" s="38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>
        <f t="shared" si="1"/>
        <v>0</v>
      </c>
      <c r="S72" s="564"/>
      <c r="T72" s="564"/>
      <c r="U72" s="564"/>
      <c r="V72" s="564"/>
      <c r="W72" s="564"/>
      <c r="X72" s="566">
        <f t="shared" si="8"/>
        <v>0</v>
      </c>
      <c r="Y72" s="567">
        <f t="shared" si="9"/>
        <v>0</v>
      </c>
      <c r="Z72" s="568"/>
      <c r="AA72" s="31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9"/>
    </row>
    <row r="73" spans="1:42" ht="24.95" hidden="1" customHeight="1" x14ac:dyDescent="0.25">
      <c r="A73" s="79"/>
      <c r="B73" s="585"/>
      <c r="C73" s="38"/>
      <c r="D73" s="564"/>
      <c r="E73" s="564"/>
      <c r="F73" s="564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564"/>
      <c r="R73" s="564">
        <f t="shared" si="1"/>
        <v>0</v>
      </c>
      <c r="S73" s="564"/>
      <c r="T73" s="564"/>
      <c r="U73" s="564"/>
      <c r="V73" s="564"/>
      <c r="W73" s="564"/>
      <c r="X73" s="566">
        <f t="shared" si="8"/>
        <v>0</v>
      </c>
      <c r="Y73" s="567">
        <f t="shared" si="9"/>
        <v>0</v>
      </c>
      <c r="Z73" s="568"/>
      <c r="AA73" s="31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9"/>
    </row>
    <row r="74" spans="1:42" ht="24.95" hidden="1" customHeight="1" x14ac:dyDescent="0.25">
      <c r="A74" s="79"/>
      <c r="B74" s="221"/>
      <c r="C74" s="38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  <c r="R74" s="564">
        <f t="shared" si="1"/>
        <v>0</v>
      </c>
      <c r="S74" s="564"/>
      <c r="T74" s="564"/>
      <c r="U74" s="564"/>
      <c r="V74" s="564"/>
      <c r="W74" s="564"/>
      <c r="X74" s="566">
        <f t="shared" si="8"/>
        <v>0</v>
      </c>
      <c r="Y74" s="567">
        <f t="shared" si="9"/>
        <v>0</v>
      </c>
      <c r="Z74" s="568"/>
      <c r="AA74" s="31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9"/>
    </row>
    <row r="75" spans="1:42" ht="24.95" hidden="1" customHeight="1" x14ac:dyDescent="0.25">
      <c r="A75" s="79"/>
      <c r="B75" s="221"/>
      <c r="C75" s="38"/>
      <c r="D75" s="564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564"/>
      <c r="R75" s="564">
        <f t="shared" si="1"/>
        <v>0</v>
      </c>
      <c r="S75" s="564"/>
      <c r="T75" s="564"/>
      <c r="U75" s="564"/>
      <c r="V75" s="564"/>
      <c r="W75" s="564"/>
      <c r="X75" s="566">
        <f t="shared" si="8"/>
        <v>0</v>
      </c>
      <c r="Y75" s="567">
        <f t="shared" si="9"/>
        <v>0</v>
      </c>
      <c r="Z75" s="568"/>
      <c r="AA75" s="31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9"/>
    </row>
    <row r="76" spans="1:42" ht="24.95" hidden="1" customHeight="1" x14ac:dyDescent="0.25">
      <c r="A76" s="79"/>
      <c r="B76" s="221"/>
      <c r="C76" s="38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>
        <f t="shared" si="1"/>
        <v>0</v>
      </c>
      <c r="S76" s="564"/>
      <c r="T76" s="564"/>
      <c r="U76" s="564"/>
      <c r="V76" s="564"/>
      <c r="W76" s="564"/>
      <c r="X76" s="566">
        <f t="shared" si="8"/>
        <v>0</v>
      </c>
      <c r="Y76" s="567">
        <f t="shared" si="9"/>
        <v>0</v>
      </c>
      <c r="Z76" s="568"/>
      <c r="AA76" s="31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9"/>
    </row>
    <row r="77" spans="1:42" ht="24.95" hidden="1" customHeight="1" x14ac:dyDescent="0.25">
      <c r="A77" s="79"/>
      <c r="B77" s="221"/>
      <c r="C77" s="38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>
        <f t="shared" si="1"/>
        <v>0</v>
      </c>
      <c r="S77" s="564"/>
      <c r="T77" s="564"/>
      <c r="U77" s="564"/>
      <c r="V77" s="564"/>
      <c r="W77" s="564"/>
      <c r="X77" s="566">
        <f t="shared" si="6"/>
        <v>0</v>
      </c>
      <c r="Y77" s="567">
        <f t="shared" si="7"/>
        <v>0</v>
      </c>
      <c r="Z77" s="568"/>
      <c r="AA77" s="31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9"/>
    </row>
    <row r="78" spans="1:42" ht="24.95" hidden="1" customHeight="1" x14ac:dyDescent="0.25">
      <c r="A78" s="79"/>
      <c r="B78" s="221"/>
      <c r="C78" s="38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>
        <f t="shared" si="1"/>
        <v>0</v>
      </c>
      <c r="S78" s="564"/>
      <c r="T78" s="564"/>
      <c r="U78" s="564"/>
      <c r="V78" s="564"/>
      <c r="W78" s="564"/>
      <c r="X78" s="566">
        <f t="shared" si="6"/>
        <v>0</v>
      </c>
      <c r="Y78" s="567">
        <f t="shared" si="7"/>
        <v>0</v>
      </c>
      <c r="Z78" s="568"/>
      <c r="AA78" s="31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9"/>
    </row>
    <row r="79" spans="1:42" ht="24.95" hidden="1" customHeight="1" x14ac:dyDescent="0.25">
      <c r="A79" s="79"/>
      <c r="B79" s="221"/>
      <c r="C79" s="38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>
        <f t="shared" si="1"/>
        <v>0</v>
      </c>
      <c r="S79" s="564"/>
      <c r="T79" s="564"/>
      <c r="U79" s="564"/>
      <c r="V79" s="564"/>
      <c r="W79" s="564"/>
      <c r="X79" s="566">
        <f t="shared" si="6"/>
        <v>0</v>
      </c>
      <c r="Y79" s="567">
        <f t="shared" si="7"/>
        <v>0</v>
      </c>
      <c r="Z79" s="568"/>
      <c r="AA79" s="31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9"/>
    </row>
    <row r="80" spans="1:42" ht="24.95" hidden="1" customHeight="1" x14ac:dyDescent="0.25">
      <c r="A80" s="79"/>
      <c r="B80" s="221"/>
      <c r="C80" s="38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>
        <f t="shared" si="1"/>
        <v>0</v>
      </c>
      <c r="S80" s="564"/>
      <c r="T80" s="564"/>
      <c r="U80" s="564"/>
      <c r="V80" s="564"/>
      <c r="W80" s="564"/>
      <c r="X80" s="566">
        <f t="shared" si="6"/>
        <v>0</v>
      </c>
      <c r="Y80" s="567">
        <f t="shared" si="7"/>
        <v>0</v>
      </c>
      <c r="Z80" s="568"/>
      <c r="AA80" s="31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9"/>
    </row>
    <row r="81" spans="1:42" ht="24.95" hidden="1" customHeight="1" x14ac:dyDescent="0.25">
      <c r="A81" s="79"/>
      <c r="B81" s="221"/>
      <c r="C81" s="38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>
        <f t="shared" si="1"/>
        <v>0</v>
      </c>
      <c r="S81" s="564"/>
      <c r="T81" s="564"/>
      <c r="U81" s="564"/>
      <c r="V81" s="564"/>
      <c r="W81" s="564"/>
      <c r="X81" s="566">
        <f t="shared" si="2"/>
        <v>0</v>
      </c>
      <c r="Y81" s="567">
        <f t="shared" si="7"/>
        <v>0</v>
      </c>
      <c r="Z81" s="568"/>
      <c r="AA81" s="31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9"/>
    </row>
    <row r="82" spans="1:42" ht="29.45" hidden="1" customHeight="1" x14ac:dyDescent="0.25">
      <c r="A82" s="79"/>
      <c r="B82" s="221"/>
      <c r="C82" s="38"/>
      <c r="D82" s="564"/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>
        <f t="shared" si="1"/>
        <v>0</v>
      </c>
      <c r="S82" s="564"/>
      <c r="T82" s="564"/>
      <c r="U82" s="564"/>
      <c r="V82" s="564"/>
      <c r="W82" s="564"/>
      <c r="X82" s="566">
        <f t="shared" ref="X82:X96" si="10">SUM(T82:W82)</f>
        <v>0</v>
      </c>
      <c r="Y82" s="567">
        <f t="shared" si="7"/>
        <v>0</v>
      </c>
      <c r="Z82" s="568"/>
      <c r="AA82" s="31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9"/>
    </row>
    <row r="83" spans="1:42" ht="24.95" hidden="1" customHeight="1" x14ac:dyDescent="0.25">
      <c r="A83" s="79"/>
      <c r="B83" s="221"/>
      <c r="C83" s="38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>
        <f t="shared" si="1"/>
        <v>0</v>
      </c>
      <c r="S83" s="564"/>
      <c r="T83" s="564"/>
      <c r="U83" s="564"/>
      <c r="V83" s="564"/>
      <c r="W83" s="564"/>
      <c r="X83" s="566">
        <f t="shared" si="10"/>
        <v>0</v>
      </c>
      <c r="Y83" s="567">
        <f t="shared" si="7"/>
        <v>0</v>
      </c>
      <c r="Z83" s="568"/>
      <c r="AA83" s="31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9"/>
    </row>
    <row r="84" spans="1:42" ht="24.95" hidden="1" customHeight="1" x14ac:dyDescent="0.25">
      <c r="A84" s="79"/>
      <c r="B84" s="221"/>
      <c r="C84" s="38"/>
      <c r="D84" s="564"/>
      <c r="E84" s="564"/>
      <c r="F84" s="564"/>
      <c r="G84" s="564"/>
      <c r="H84" s="564"/>
      <c r="I84" s="564"/>
      <c r="J84" s="564"/>
      <c r="K84" s="564"/>
      <c r="L84" s="564"/>
      <c r="M84" s="564"/>
      <c r="N84" s="564"/>
      <c r="O84" s="564"/>
      <c r="P84" s="564"/>
      <c r="Q84" s="564"/>
      <c r="R84" s="564">
        <f t="shared" si="1"/>
        <v>0</v>
      </c>
      <c r="S84" s="564"/>
      <c r="T84" s="564"/>
      <c r="U84" s="564"/>
      <c r="V84" s="564"/>
      <c r="W84" s="564"/>
      <c r="X84" s="566">
        <f t="shared" si="10"/>
        <v>0</v>
      </c>
      <c r="Y84" s="567">
        <f t="shared" si="7"/>
        <v>0</v>
      </c>
      <c r="Z84" s="568"/>
      <c r="AA84" s="31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9"/>
    </row>
    <row r="85" spans="1:42" ht="24.95" hidden="1" customHeight="1" x14ac:dyDescent="0.25">
      <c r="A85" s="79"/>
      <c r="B85" s="221"/>
      <c r="C85" s="38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>
        <f t="shared" si="1"/>
        <v>0</v>
      </c>
      <c r="S85" s="564"/>
      <c r="T85" s="564"/>
      <c r="U85" s="564"/>
      <c r="V85" s="564"/>
      <c r="W85" s="564"/>
      <c r="X85" s="566">
        <f>SUM(T85:W85)</f>
        <v>0</v>
      </c>
      <c r="Y85" s="567">
        <f>R85+X85</f>
        <v>0</v>
      </c>
      <c r="Z85" s="568"/>
      <c r="AA85" s="31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9"/>
    </row>
    <row r="86" spans="1:42" ht="24.95" hidden="1" customHeight="1" x14ac:dyDescent="0.25">
      <c r="A86" s="79"/>
      <c r="B86" s="221"/>
      <c r="C86" s="38"/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>
        <f t="shared" si="1"/>
        <v>0</v>
      </c>
      <c r="S86" s="564"/>
      <c r="T86" s="564"/>
      <c r="U86" s="564"/>
      <c r="V86" s="564"/>
      <c r="W86" s="564"/>
      <c r="X86" s="566">
        <f t="shared" si="10"/>
        <v>0</v>
      </c>
      <c r="Y86" s="567">
        <f t="shared" si="7"/>
        <v>0</v>
      </c>
      <c r="Z86" s="568"/>
      <c r="AA86" s="31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9"/>
    </row>
    <row r="87" spans="1:42" ht="24.95" hidden="1" customHeight="1" x14ac:dyDescent="0.25">
      <c r="A87" s="79"/>
      <c r="B87" s="221"/>
      <c r="C87" s="38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>
        <f t="shared" si="1"/>
        <v>0</v>
      </c>
      <c r="S87" s="564"/>
      <c r="T87" s="564"/>
      <c r="U87" s="564"/>
      <c r="V87" s="564"/>
      <c r="W87" s="564"/>
      <c r="X87" s="566">
        <f t="shared" si="10"/>
        <v>0</v>
      </c>
      <c r="Y87" s="567">
        <f t="shared" ref="Y87:Y96" si="11">R87+X87</f>
        <v>0</v>
      </c>
      <c r="Z87" s="568"/>
      <c r="AA87" s="31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9"/>
    </row>
    <row r="88" spans="1:42" ht="24.95" hidden="1" customHeight="1" x14ac:dyDescent="0.25">
      <c r="A88" s="79"/>
      <c r="B88" s="221"/>
      <c r="C88" s="38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4"/>
      <c r="O88" s="564"/>
      <c r="P88" s="564"/>
      <c r="Q88" s="564"/>
      <c r="R88" s="564">
        <f t="shared" si="1"/>
        <v>0</v>
      </c>
      <c r="S88" s="564"/>
      <c r="T88" s="564"/>
      <c r="U88" s="564"/>
      <c r="V88" s="564"/>
      <c r="W88" s="564"/>
      <c r="X88" s="566">
        <f t="shared" si="10"/>
        <v>0</v>
      </c>
      <c r="Y88" s="567">
        <f t="shared" si="11"/>
        <v>0</v>
      </c>
      <c r="Z88" s="568"/>
      <c r="AA88" s="31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9"/>
    </row>
    <row r="89" spans="1:42" ht="24.95" hidden="1" customHeight="1" x14ac:dyDescent="0.25">
      <c r="A89" s="220"/>
      <c r="B89" s="221"/>
      <c r="C89" s="38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4"/>
      <c r="Q89" s="564"/>
      <c r="R89" s="564">
        <f t="shared" si="1"/>
        <v>0</v>
      </c>
      <c r="S89" s="564"/>
      <c r="T89" s="564"/>
      <c r="U89" s="564"/>
      <c r="V89" s="564"/>
      <c r="W89" s="564"/>
      <c r="X89" s="566">
        <f t="shared" si="10"/>
        <v>0</v>
      </c>
      <c r="Y89" s="567">
        <f t="shared" si="11"/>
        <v>0</v>
      </c>
      <c r="Z89" s="568"/>
      <c r="AA89" s="31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9"/>
    </row>
    <row r="90" spans="1:42" ht="24.95" hidden="1" customHeight="1" x14ac:dyDescent="0.25">
      <c r="A90" s="79"/>
      <c r="C90" s="38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>
        <f t="shared" si="1"/>
        <v>0</v>
      </c>
      <c r="S90" s="564"/>
      <c r="T90" s="564"/>
      <c r="U90" s="564"/>
      <c r="V90" s="564"/>
      <c r="W90" s="564"/>
      <c r="X90" s="566">
        <f t="shared" si="10"/>
        <v>0</v>
      </c>
      <c r="Y90" s="567">
        <f t="shared" si="11"/>
        <v>0</v>
      </c>
      <c r="Z90" s="568"/>
      <c r="AA90" s="31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9"/>
    </row>
    <row r="91" spans="1:42" ht="24.95" hidden="1" customHeight="1" x14ac:dyDescent="0.25">
      <c r="A91" s="79"/>
      <c r="C91" s="134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>
        <f t="shared" si="1"/>
        <v>0</v>
      </c>
      <c r="S91" s="564"/>
      <c r="T91" s="564"/>
      <c r="U91" s="564"/>
      <c r="V91" s="564"/>
      <c r="W91" s="564"/>
      <c r="X91" s="566">
        <f t="shared" si="10"/>
        <v>0</v>
      </c>
      <c r="Y91" s="567">
        <f t="shared" si="11"/>
        <v>0</v>
      </c>
      <c r="Z91" s="568"/>
      <c r="AA91" s="31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9"/>
    </row>
    <row r="92" spans="1:42" ht="24.95" hidden="1" customHeight="1" x14ac:dyDescent="0.25">
      <c r="A92" s="79"/>
      <c r="B92" s="134"/>
      <c r="C92" s="38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>
        <f t="shared" si="1"/>
        <v>0</v>
      </c>
      <c r="S92" s="564"/>
      <c r="T92" s="564"/>
      <c r="U92" s="564"/>
      <c r="V92" s="564"/>
      <c r="W92" s="564"/>
      <c r="X92" s="566">
        <f t="shared" si="10"/>
        <v>0</v>
      </c>
      <c r="Y92" s="567">
        <f t="shared" si="11"/>
        <v>0</v>
      </c>
      <c r="Z92" s="568"/>
      <c r="AA92" s="31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9"/>
    </row>
    <row r="93" spans="1:42" ht="24.95" hidden="1" customHeight="1" x14ac:dyDescent="0.25">
      <c r="A93" s="79"/>
      <c r="B93" s="134"/>
      <c r="C93" s="38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564"/>
      <c r="O93" s="564"/>
      <c r="P93" s="564"/>
      <c r="Q93" s="564"/>
      <c r="R93" s="564">
        <f t="shared" si="1"/>
        <v>0</v>
      </c>
      <c r="S93" s="564"/>
      <c r="T93" s="564"/>
      <c r="U93" s="564"/>
      <c r="V93" s="564"/>
      <c r="W93" s="564"/>
      <c r="X93" s="566">
        <f t="shared" si="10"/>
        <v>0</v>
      </c>
      <c r="Y93" s="567">
        <f t="shared" si="11"/>
        <v>0</v>
      </c>
      <c r="Z93" s="568"/>
      <c r="AA93" s="31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9"/>
    </row>
    <row r="94" spans="1:42" ht="24.95" hidden="1" customHeight="1" x14ac:dyDescent="0.25">
      <c r="A94" s="79"/>
      <c r="B94" s="134"/>
      <c r="C94" s="38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>
        <f t="shared" si="1"/>
        <v>0</v>
      </c>
      <c r="S94" s="564"/>
      <c r="T94" s="564"/>
      <c r="U94" s="564"/>
      <c r="V94" s="564"/>
      <c r="W94" s="564"/>
      <c r="X94" s="566">
        <f t="shared" si="10"/>
        <v>0</v>
      </c>
      <c r="Y94" s="567">
        <f t="shared" si="11"/>
        <v>0</v>
      </c>
      <c r="Z94" s="568"/>
      <c r="AA94" s="31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9"/>
    </row>
    <row r="95" spans="1:42" ht="24.95" hidden="1" customHeight="1" x14ac:dyDescent="0.25">
      <c r="A95" s="79"/>
      <c r="B95" s="134"/>
      <c r="C95" s="38"/>
      <c r="D95" s="564"/>
      <c r="E95" s="564"/>
      <c r="F95" s="564"/>
      <c r="G95" s="564"/>
      <c r="H95" s="564"/>
      <c r="I95" s="564"/>
      <c r="J95" s="564"/>
      <c r="K95" s="564"/>
      <c r="L95" s="564"/>
      <c r="M95" s="564"/>
      <c r="N95" s="564"/>
      <c r="O95" s="564"/>
      <c r="P95" s="564"/>
      <c r="Q95" s="564"/>
      <c r="R95" s="564">
        <f t="shared" si="1"/>
        <v>0</v>
      </c>
      <c r="S95" s="564"/>
      <c r="T95" s="564"/>
      <c r="U95" s="564"/>
      <c r="V95" s="564"/>
      <c r="W95" s="564"/>
      <c r="X95" s="566">
        <f t="shared" si="10"/>
        <v>0</v>
      </c>
      <c r="Y95" s="567">
        <f t="shared" si="11"/>
        <v>0</v>
      </c>
      <c r="Z95" s="568"/>
      <c r="AA95" s="31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9"/>
    </row>
    <row r="96" spans="1:42" ht="24.95" hidden="1" customHeight="1" x14ac:dyDescent="0.25">
      <c r="A96" s="79"/>
      <c r="B96" s="134"/>
      <c r="C96" s="38"/>
      <c r="D96" s="564"/>
      <c r="E96" s="564"/>
      <c r="F96" s="564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>
        <f t="shared" si="1"/>
        <v>0</v>
      </c>
      <c r="S96" s="564"/>
      <c r="T96" s="564"/>
      <c r="U96" s="564"/>
      <c r="V96" s="564"/>
      <c r="W96" s="564"/>
      <c r="X96" s="566">
        <f t="shared" si="10"/>
        <v>0</v>
      </c>
      <c r="Y96" s="567">
        <f t="shared" si="11"/>
        <v>0</v>
      </c>
      <c r="Z96" s="568"/>
      <c r="AA96" s="31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9"/>
    </row>
    <row r="97" spans="1:74" ht="30" hidden="1" customHeight="1" x14ac:dyDescent="0.25">
      <c r="A97" s="79"/>
      <c r="B97" s="134"/>
      <c r="C97" s="28"/>
      <c r="D97" s="564"/>
      <c r="E97" s="564"/>
      <c r="F97" s="564"/>
      <c r="G97" s="564"/>
      <c r="H97" s="564"/>
      <c r="I97" s="564"/>
      <c r="J97" s="564"/>
      <c r="K97" s="564"/>
      <c r="L97" s="564"/>
      <c r="M97" s="564"/>
      <c r="N97" s="564"/>
      <c r="O97" s="564"/>
      <c r="P97" s="564"/>
      <c r="Q97" s="564"/>
      <c r="R97" s="564">
        <f t="shared" si="1"/>
        <v>0</v>
      </c>
      <c r="S97" s="564"/>
      <c r="T97" s="564"/>
      <c r="U97" s="564"/>
      <c r="V97" s="564"/>
      <c r="W97" s="564"/>
      <c r="X97" s="566">
        <f t="shared" si="2"/>
        <v>0</v>
      </c>
      <c r="Y97" s="567">
        <f t="shared" si="3"/>
        <v>0</v>
      </c>
      <c r="Z97" s="568"/>
      <c r="AA97" s="31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9"/>
    </row>
    <row r="98" spans="1:74" ht="17.25" hidden="1" customHeight="1" thickBot="1" x14ac:dyDescent="0.25">
      <c r="A98" s="79"/>
      <c r="B98" s="122"/>
      <c r="C98" s="156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70"/>
      <c r="Y98" s="586"/>
      <c r="Z98" s="571"/>
      <c r="AA98" s="318"/>
    </row>
    <row r="99" spans="1:74" ht="35.1" hidden="1" customHeight="1" thickTop="1" thickBot="1" x14ac:dyDescent="0.25">
      <c r="A99" s="131"/>
      <c r="B99" s="87"/>
      <c r="C99" s="43" t="s">
        <v>19</v>
      </c>
      <c r="D99" s="453">
        <f t="shared" ref="D99:Q99" si="12">SUM(D18:D98)</f>
        <v>3487</v>
      </c>
      <c r="E99" s="453">
        <f t="shared" si="12"/>
        <v>752</v>
      </c>
      <c r="F99" s="453">
        <f t="shared" si="12"/>
        <v>-5660.0649999999996</v>
      </c>
      <c r="G99" s="453">
        <f t="shared" si="12"/>
        <v>0</v>
      </c>
      <c r="H99" s="453">
        <f t="shared" si="12"/>
        <v>33877.31</v>
      </c>
      <c r="I99" s="453">
        <f t="shared" si="12"/>
        <v>0</v>
      </c>
      <c r="J99" s="453">
        <f t="shared" si="12"/>
        <v>2350</v>
      </c>
      <c r="K99" s="453">
        <f t="shared" si="12"/>
        <v>-58326.25</v>
      </c>
      <c r="L99" s="453">
        <f t="shared" si="12"/>
        <v>-7315</v>
      </c>
      <c r="M99" s="453">
        <f t="shared" si="12"/>
        <v>2845</v>
      </c>
      <c r="N99" s="453">
        <f t="shared" si="12"/>
        <v>0</v>
      </c>
      <c r="O99" s="453">
        <f t="shared" si="12"/>
        <v>0</v>
      </c>
      <c r="P99" s="453">
        <f t="shared" si="12"/>
        <v>0</v>
      </c>
      <c r="Q99" s="453">
        <f t="shared" si="12"/>
        <v>0</v>
      </c>
      <c r="R99" s="453">
        <f>SUM(D99:Q99)</f>
        <v>-27990.005000000005</v>
      </c>
      <c r="S99" s="453"/>
      <c r="T99" s="453">
        <f>SUM(T18:T98)</f>
        <v>0</v>
      </c>
      <c r="U99" s="453">
        <f>SUM(U18:U98)</f>
        <v>3850000</v>
      </c>
      <c r="V99" s="453">
        <f>SUM(V18:V98)</f>
        <v>-33877.31</v>
      </c>
      <c r="W99" s="453">
        <f>SUM(W18:W98)</f>
        <v>0</v>
      </c>
      <c r="X99" s="453">
        <f>SUM(X18:X98)</f>
        <v>3816122.69</v>
      </c>
      <c r="Y99" s="454">
        <f t="shared" si="3"/>
        <v>3788132.6850000001</v>
      </c>
      <c r="Z99" s="455">
        <f>SUM(Z18:Z98)</f>
        <v>93886.731</v>
      </c>
      <c r="AA99" s="319"/>
    </row>
    <row r="100" spans="1:74" ht="9.9499999999999993" hidden="1" customHeight="1" thickTop="1" thickBot="1" x14ac:dyDescent="0.25">
      <c r="A100" s="588"/>
      <c r="B100" s="182"/>
      <c r="C100" s="183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90"/>
      <c r="Y100" s="590"/>
      <c r="Z100" s="591"/>
      <c r="AA100" s="319"/>
    </row>
    <row r="101" spans="1:74" ht="24.95" hidden="1" customHeight="1" x14ac:dyDescent="0.2">
      <c r="A101" s="592"/>
      <c r="B101" s="223"/>
      <c r="C101" s="593"/>
      <c r="D101" s="594"/>
      <c r="E101" s="594"/>
      <c r="F101" s="594"/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  <c r="Q101" s="594"/>
      <c r="R101" s="594">
        <f>SUM(D101:Q101)</f>
        <v>0</v>
      </c>
      <c r="S101" s="594"/>
      <c r="T101" s="594"/>
      <c r="U101" s="594"/>
      <c r="V101" s="594"/>
      <c r="W101" s="594"/>
      <c r="X101" s="595">
        <f>SUM(T101:W101)</f>
        <v>0</v>
      </c>
      <c r="Y101" s="596">
        <f>R101+X101</f>
        <v>0</v>
      </c>
      <c r="Z101" s="597"/>
      <c r="AA101" s="319"/>
    </row>
    <row r="102" spans="1:74" ht="9.9499999999999993" hidden="1" customHeight="1" thickBot="1" x14ac:dyDescent="0.25">
      <c r="A102" s="598"/>
      <c r="B102" s="191"/>
      <c r="C102" s="192"/>
      <c r="D102" s="599"/>
      <c r="E102" s="599"/>
      <c r="F102" s="599"/>
      <c r="G102" s="599"/>
      <c r="H102" s="599"/>
      <c r="I102" s="599"/>
      <c r="J102" s="599"/>
      <c r="K102" s="599"/>
      <c r="L102" s="599"/>
      <c r="M102" s="599"/>
      <c r="N102" s="599"/>
      <c r="O102" s="599"/>
      <c r="P102" s="599"/>
      <c r="Q102" s="599"/>
      <c r="R102" s="599"/>
      <c r="S102" s="599"/>
      <c r="T102" s="599"/>
      <c r="U102" s="599"/>
      <c r="V102" s="599"/>
      <c r="W102" s="599"/>
      <c r="X102" s="600"/>
      <c r="Y102" s="600"/>
      <c r="Z102" s="601"/>
      <c r="AA102" s="319"/>
    </row>
    <row r="103" spans="1:74" ht="35.1" hidden="1" customHeight="1" thickTop="1" thickBot="1" x14ac:dyDescent="0.25">
      <c r="A103" s="131"/>
      <c r="B103" s="87"/>
      <c r="C103" s="43" t="s">
        <v>124</v>
      </c>
      <c r="D103" s="561">
        <f t="shared" ref="D103:K103" si="13">D17+D99</f>
        <v>146551</v>
      </c>
      <c r="E103" s="561">
        <f t="shared" si="13"/>
        <v>32816</v>
      </c>
      <c r="F103" s="561">
        <f t="shared" si="13"/>
        <v>4128163.2179999999</v>
      </c>
      <c r="G103" s="561">
        <f t="shared" si="13"/>
        <v>190272</v>
      </c>
      <c r="H103" s="561">
        <f t="shared" si="13"/>
        <v>300942.027</v>
      </c>
      <c r="I103" s="561">
        <f t="shared" si="13"/>
        <v>59640</v>
      </c>
      <c r="J103" s="561">
        <f t="shared" si="13"/>
        <v>689807</v>
      </c>
      <c r="K103" s="561">
        <f t="shared" si="13"/>
        <v>1509673.75</v>
      </c>
      <c r="L103" s="561">
        <f>L17+L99+L101</f>
        <v>4213937</v>
      </c>
      <c r="M103" s="561">
        <f>M17+M99</f>
        <v>21349</v>
      </c>
      <c r="N103" s="561">
        <f>N17+N99</f>
        <v>0</v>
      </c>
      <c r="O103" s="561">
        <f>O17+O99</f>
        <v>3000</v>
      </c>
      <c r="P103" s="561">
        <f>P17+P99</f>
        <v>0</v>
      </c>
      <c r="Q103" s="561">
        <f>Q17+Q99</f>
        <v>93189</v>
      </c>
      <c r="R103" s="561">
        <f>SUM(D103:Q103)</f>
        <v>11389339.995000001</v>
      </c>
      <c r="S103" s="561"/>
      <c r="T103" s="561">
        <f>T17+T99</f>
        <v>0</v>
      </c>
      <c r="U103" s="561">
        <f>U17+U99</f>
        <v>3850000</v>
      </c>
      <c r="V103" s="561">
        <f>V17+V99</f>
        <v>39440.69</v>
      </c>
      <c r="W103" s="561">
        <f>W17+W99</f>
        <v>0</v>
      </c>
      <c r="X103" s="562">
        <f t="shared" si="2"/>
        <v>3889440.69</v>
      </c>
      <c r="Y103" s="562">
        <f>R103+X103</f>
        <v>15278780.685000001</v>
      </c>
      <c r="Z103" s="563">
        <f>Z17+Z99+Z101</f>
        <v>7676080.7309999997</v>
      </c>
      <c r="AA103" s="320"/>
      <c r="AB103" s="82">
        <f>Y103+Z103</f>
        <v>22954861.416000001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</row>
    <row r="104" spans="1:74" ht="17.25" hidden="1" customHeight="1" thickTop="1" x14ac:dyDescent="0.2">
      <c r="A104" s="26"/>
      <c r="B104" s="132" t="s">
        <v>316</v>
      </c>
      <c r="C104" s="90" t="s">
        <v>117</v>
      </c>
      <c r="D104" s="630"/>
      <c r="E104" s="630"/>
      <c r="F104" s="630"/>
      <c r="G104" s="630"/>
      <c r="H104" s="630"/>
      <c r="I104" s="630"/>
      <c r="J104" s="630"/>
      <c r="K104" s="630">
        <f>30000+173902</f>
        <v>203902</v>
      </c>
      <c r="L104" s="630"/>
      <c r="M104" s="630"/>
      <c r="N104" s="630"/>
      <c r="O104" s="630"/>
      <c r="P104" s="630"/>
      <c r="Q104" s="630"/>
      <c r="R104" s="630">
        <f t="shared" ref="R104:R149" si="14">SUM(D104:Q104)</f>
        <v>203902</v>
      </c>
      <c r="S104" s="91"/>
      <c r="T104" s="91"/>
      <c r="U104" s="91"/>
      <c r="V104" s="91"/>
      <c r="W104" s="91"/>
      <c r="X104" s="95">
        <f t="shared" si="2"/>
        <v>0</v>
      </c>
      <c r="Y104" s="628">
        <f t="shared" si="3"/>
        <v>203902</v>
      </c>
      <c r="Z104" s="641">
        <v>26424</v>
      </c>
      <c r="AA104" s="321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</row>
    <row r="105" spans="1:74" ht="16.5" hidden="1" customHeight="1" x14ac:dyDescent="0.2">
      <c r="A105" s="26"/>
      <c r="B105" s="73" t="s">
        <v>50</v>
      </c>
      <c r="C105" s="92" t="s">
        <v>117</v>
      </c>
      <c r="D105" s="631"/>
      <c r="E105" s="631"/>
      <c r="F105" s="631"/>
      <c r="G105" s="631"/>
      <c r="H105" s="631"/>
      <c r="I105" s="631"/>
      <c r="J105" s="631"/>
      <c r="K105" s="631"/>
      <c r="L105" s="631"/>
      <c r="M105" s="631"/>
      <c r="N105" s="631"/>
      <c r="O105" s="631"/>
      <c r="P105" s="631"/>
      <c r="Q105" s="631"/>
      <c r="R105" s="631">
        <f t="shared" si="14"/>
        <v>0</v>
      </c>
      <c r="S105" s="126"/>
      <c r="T105" s="126"/>
      <c r="U105" s="126"/>
      <c r="V105" s="126"/>
      <c r="W105" s="126"/>
      <c r="X105" s="429">
        <f t="shared" si="2"/>
        <v>0</v>
      </c>
      <c r="Y105" s="629">
        <f t="shared" si="3"/>
        <v>0</v>
      </c>
      <c r="Z105" s="347"/>
      <c r="AA105" s="321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</row>
    <row r="106" spans="1:74" ht="16.5" hidden="1" customHeight="1" x14ac:dyDescent="0.2">
      <c r="A106" s="26"/>
      <c r="B106" s="73" t="s">
        <v>317</v>
      </c>
      <c r="C106" s="92" t="s">
        <v>117</v>
      </c>
      <c r="D106" s="632"/>
      <c r="E106" s="632"/>
      <c r="F106" s="632">
        <f>20000+4999.729+20814</f>
        <v>45813.728999999999</v>
      </c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>
        <f t="shared" si="14"/>
        <v>45813.728999999999</v>
      </c>
      <c r="S106" s="93"/>
      <c r="T106" s="93"/>
      <c r="U106" s="93">
        <f>1000000</f>
        <v>1000000</v>
      </c>
      <c r="V106" s="93"/>
      <c r="W106" s="93"/>
      <c r="X106" s="96">
        <f t="shared" si="2"/>
        <v>1000000</v>
      </c>
      <c r="Y106" s="629">
        <f t="shared" si="3"/>
        <v>1045813.7290000001</v>
      </c>
      <c r="Z106" s="348"/>
      <c r="AA106" s="321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</row>
    <row r="107" spans="1:74" ht="16.5" hidden="1" customHeight="1" x14ac:dyDescent="0.25">
      <c r="A107" s="26"/>
      <c r="B107" s="73" t="s">
        <v>48</v>
      </c>
      <c r="C107" s="92" t="s">
        <v>117</v>
      </c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3"/>
      <c r="O107" s="632"/>
      <c r="P107" s="632"/>
      <c r="Q107" s="632"/>
      <c r="R107" s="632">
        <f t="shared" si="14"/>
        <v>0</v>
      </c>
      <c r="S107" s="93"/>
      <c r="T107" s="93"/>
      <c r="U107" s="93"/>
      <c r="V107" s="93"/>
      <c r="W107" s="93"/>
      <c r="X107" s="96">
        <f t="shared" si="2"/>
        <v>0</v>
      </c>
      <c r="Y107" s="629">
        <f t="shared" si="3"/>
        <v>0</v>
      </c>
      <c r="Z107" s="348"/>
      <c r="AA107" s="321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</row>
    <row r="108" spans="1:74" ht="16.5" hidden="1" customHeight="1" x14ac:dyDescent="0.25">
      <c r="A108" s="26"/>
      <c r="B108" s="73" t="s">
        <v>318</v>
      </c>
      <c r="C108" s="92" t="s">
        <v>117</v>
      </c>
      <c r="D108" s="632"/>
      <c r="E108" s="633"/>
      <c r="F108" s="632">
        <f>3150+850+159</f>
        <v>4159</v>
      </c>
      <c r="G108" s="632"/>
      <c r="H108" s="632"/>
      <c r="I108" s="632"/>
      <c r="J108" s="632"/>
      <c r="K108" s="632"/>
      <c r="L108" s="632"/>
      <c r="M108" s="632"/>
      <c r="N108" s="632"/>
      <c r="O108" s="632"/>
      <c r="P108" s="632"/>
      <c r="Q108" s="632"/>
      <c r="R108" s="632">
        <f t="shared" si="14"/>
        <v>4159</v>
      </c>
      <c r="S108" s="93"/>
      <c r="T108" s="93"/>
      <c r="U108" s="93"/>
      <c r="V108" s="93"/>
      <c r="W108" s="93"/>
      <c r="X108" s="96">
        <f t="shared" si="2"/>
        <v>0</v>
      </c>
      <c r="Y108" s="629">
        <f t="shared" si="3"/>
        <v>4159</v>
      </c>
      <c r="Z108" s="348"/>
      <c r="AA108" s="321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</row>
    <row r="109" spans="1:74" ht="16.5" hidden="1" customHeight="1" x14ac:dyDescent="0.2">
      <c r="A109" s="26"/>
      <c r="B109" s="73" t="s">
        <v>319</v>
      </c>
      <c r="C109" s="92" t="s">
        <v>117</v>
      </c>
      <c r="D109" s="632"/>
      <c r="E109" s="632"/>
      <c r="F109" s="632"/>
      <c r="G109" s="632"/>
      <c r="H109" s="632"/>
      <c r="I109" s="632"/>
      <c r="J109" s="632">
        <f>240+50</f>
        <v>290</v>
      </c>
      <c r="K109" s="632">
        <f>1994</f>
        <v>1994</v>
      </c>
      <c r="L109" s="632"/>
      <c r="M109" s="632"/>
      <c r="N109" s="632">
        <f>635</f>
        <v>635</v>
      </c>
      <c r="O109" s="632"/>
      <c r="P109" s="632"/>
      <c r="Q109" s="632">
        <f>788</f>
        <v>788</v>
      </c>
      <c r="R109" s="632">
        <f t="shared" si="14"/>
        <v>3707</v>
      </c>
      <c r="S109" s="93"/>
      <c r="T109" s="93"/>
      <c r="U109" s="93"/>
      <c r="V109" s="93"/>
      <c r="W109" s="93"/>
      <c r="X109" s="96">
        <f t="shared" si="2"/>
        <v>0</v>
      </c>
      <c r="Y109" s="629">
        <f t="shared" si="3"/>
        <v>3707</v>
      </c>
      <c r="Z109" s="348"/>
      <c r="AA109" s="321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</row>
    <row r="110" spans="1:74" ht="16.5" hidden="1" customHeight="1" x14ac:dyDescent="0.2">
      <c r="A110" s="26"/>
      <c r="B110" s="73" t="s">
        <v>320</v>
      </c>
      <c r="C110" s="92" t="s">
        <v>117</v>
      </c>
      <c r="D110" s="632"/>
      <c r="E110" s="632"/>
      <c r="F110" s="632"/>
      <c r="G110" s="632"/>
      <c r="H110" s="632"/>
      <c r="I110" s="632"/>
      <c r="J110" s="632">
        <f>101</f>
        <v>101</v>
      </c>
      <c r="K110" s="632">
        <f>1844</f>
        <v>1844</v>
      </c>
      <c r="L110" s="632"/>
      <c r="M110" s="632"/>
      <c r="N110" s="632"/>
      <c r="O110" s="632"/>
      <c r="P110" s="632"/>
      <c r="Q110" s="632">
        <f>420</f>
        <v>420</v>
      </c>
      <c r="R110" s="632">
        <f t="shared" si="14"/>
        <v>2365</v>
      </c>
      <c r="S110" s="93"/>
      <c r="T110" s="93"/>
      <c r="U110" s="93"/>
      <c r="V110" s="93"/>
      <c r="W110" s="93"/>
      <c r="X110" s="96">
        <f t="shared" si="2"/>
        <v>0</v>
      </c>
      <c r="Y110" s="629">
        <f t="shared" si="3"/>
        <v>2365</v>
      </c>
      <c r="Z110" s="348"/>
      <c r="AA110" s="321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</row>
    <row r="111" spans="1:74" ht="16.5" hidden="1" customHeight="1" x14ac:dyDescent="0.2">
      <c r="A111" s="26"/>
      <c r="B111" s="73" t="s">
        <v>45</v>
      </c>
      <c r="C111" s="92" t="s">
        <v>117</v>
      </c>
      <c r="D111" s="632"/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>
        <f t="shared" si="14"/>
        <v>0</v>
      </c>
      <c r="S111" s="93"/>
      <c r="T111" s="93"/>
      <c r="U111" s="93"/>
      <c r="V111" s="93"/>
      <c r="W111" s="93"/>
      <c r="X111" s="96">
        <f t="shared" si="2"/>
        <v>0</v>
      </c>
      <c r="Y111" s="629">
        <f t="shared" si="3"/>
        <v>0</v>
      </c>
      <c r="Z111" s="348"/>
      <c r="AA111" s="321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</row>
    <row r="112" spans="1:74" ht="16.5" hidden="1" customHeight="1" x14ac:dyDescent="0.2">
      <c r="A112" s="26"/>
      <c r="B112" s="73" t="s">
        <v>321</v>
      </c>
      <c r="C112" s="92" t="s">
        <v>117</v>
      </c>
      <c r="D112" s="632">
        <f>1013</f>
        <v>1013</v>
      </c>
      <c r="E112" s="632">
        <f>300</f>
        <v>300</v>
      </c>
      <c r="F112" s="632">
        <f>100+524+168</f>
        <v>792</v>
      </c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>
        <f t="shared" si="14"/>
        <v>2105</v>
      </c>
      <c r="S112" s="93"/>
      <c r="T112" s="93"/>
      <c r="U112" s="93"/>
      <c r="V112" s="93"/>
      <c r="W112" s="93"/>
      <c r="X112" s="96">
        <f t="shared" si="2"/>
        <v>0</v>
      </c>
      <c r="Y112" s="629">
        <f t="shared" si="3"/>
        <v>2105</v>
      </c>
      <c r="Z112" s="348"/>
      <c r="AA112" s="321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</row>
    <row r="113" spans="1:74" ht="16.5" hidden="1" customHeight="1" x14ac:dyDescent="0.2">
      <c r="A113" s="26"/>
      <c r="B113" s="73" t="s">
        <v>46</v>
      </c>
      <c r="C113" s="92" t="s">
        <v>117</v>
      </c>
      <c r="D113" s="632"/>
      <c r="E113" s="632"/>
      <c r="F113" s="632"/>
      <c r="G113" s="632"/>
      <c r="H113" s="632"/>
      <c r="I113" s="632"/>
      <c r="J113" s="632"/>
      <c r="K113" s="632"/>
      <c r="L113" s="632"/>
      <c r="M113" s="632"/>
      <c r="N113" s="632"/>
      <c r="O113" s="632"/>
      <c r="P113" s="632"/>
      <c r="Q113" s="632"/>
      <c r="R113" s="632">
        <f t="shared" si="14"/>
        <v>0</v>
      </c>
      <c r="S113" s="93"/>
      <c r="T113" s="93"/>
      <c r="U113" s="93"/>
      <c r="V113" s="93"/>
      <c r="W113" s="93"/>
      <c r="X113" s="96">
        <f t="shared" si="2"/>
        <v>0</v>
      </c>
      <c r="Y113" s="629">
        <f t="shared" si="3"/>
        <v>0</v>
      </c>
      <c r="Z113" s="348"/>
      <c r="AA113" s="321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</row>
    <row r="114" spans="1:74" ht="16.5" hidden="1" customHeight="1" x14ac:dyDescent="0.2">
      <c r="A114" s="26"/>
      <c r="B114" s="73" t="s">
        <v>322</v>
      </c>
      <c r="C114" s="92" t="s">
        <v>117</v>
      </c>
      <c r="D114" s="632">
        <f>20</f>
        <v>20</v>
      </c>
      <c r="E114" s="632"/>
      <c r="F114" s="632">
        <f>15+50+548+166</f>
        <v>779</v>
      </c>
      <c r="G114" s="632"/>
      <c r="H114" s="632"/>
      <c r="I114" s="632"/>
      <c r="J114" s="632"/>
      <c r="K114" s="632"/>
      <c r="L114" s="632">
        <f>63+17</f>
        <v>80</v>
      </c>
      <c r="M114" s="632"/>
      <c r="N114" s="632"/>
      <c r="O114" s="632"/>
      <c r="P114" s="632"/>
      <c r="Q114" s="632"/>
      <c r="R114" s="632">
        <f t="shared" si="14"/>
        <v>879</v>
      </c>
      <c r="S114" s="93"/>
      <c r="T114" s="93"/>
      <c r="U114" s="93"/>
      <c r="V114" s="93"/>
      <c r="W114" s="93"/>
      <c r="X114" s="96">
        <f t="shared" si="2"/>
        <v>0</v>
      </c>
      <c r="Y114" s="629">
        <f t="shared" si="3"/>
        <v>879</v>
      </c>
      <c r="Z114" s="348"/>
      <c r="AA114" s="321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</row>
    <row r="115" spans="1:74" ht="16.5" hidden="1" customHeight="1" x14ac:dyDescent="0.2">
      <c r="A115" s="26"/>
      <c r="B115" s="73" t="s">
        <v>323</v>
      </c>
      <c r="C115" s="92" t="s">
        <v>117</v>
      </c>
      <c r="D115" s="632">
        <f>361</f>
        <v>361</v>
      </c>
      <c r="E115" s="632">
        <f>79</f>
        <v>79</v>
      </c>
      <c r="F115" s="632">
        <f>885+534+144+1313+355+5920+1000+270+1439+29400+7938</f>
        <v>49198</v>
      </c>
      <c r="G115" s="632"/>
      <c r="H115" s="632"/>
      <c r="I115" s="632"/>
      <c r="J115" s="632"/>
      <c r="K115" s="632"/>
      <c r="L115" s="632"/>
      <c r="M115" s="632"/>
      <c r="N115" s="632">
        <f>100000</f>
        <v>100000</v>
      </c>
      <c r="O115" s="632"/>
      <c r="P115" s="632"/>
      <c r="Q115" s="632"/>
      <c r="R115" s="632">
        <f t="shared" si="14"/>
        <v>149638</v>
      </c>
      <c r="S115" s="93"/>
      <c r="T115" s="93"/>
      <c r="U115" s="93"/>
      <c r="V115" s="93"/>
      <c r="W115" s="93"/>
      <c r="X115" s="96">
        <f t="shared" si="2"/>
        <v>0</v>
      </c>
      <c r="Y115" s="629">
        <f t="shared" si="3"/>
        <v>149638</v>
      </c>
      <c r="Z115" s="348"/>
      <c r="AA115" s="321"/>
      <c r="AB115" s="8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</row>
    <row r="116" spans="1:74" ht="16.5" hidden="1" customHeight="1" x14ac:dyDescent="0.2">
      <c r="A116" s="26"/>
      <c r="B116" s="73" t="s">
        <v>324</v>
      </c>
      <c r="C116" s="92" t="s">
        <v>117</v>
      </c>
      <c r="D116" s="632"/>
      <c r="E116" s="632"/>
      <c r="F116" s="632">
        <f>5080+1372+800+162+2100+567+11384+3074+1500+405</f>
        <v>26444</v>
      </c>
      <c r="G116" s="632"/>
      <c r="H116" s="632"/>
      <c r="I116" s="632"/>
      <c r="J116" s="632"/>
      <c r="K116" s="632"/>
      <c r="L116" s="632"/>
      <c r="M116" s="632"/>
      <c r="N116" s="632"/>
      <c r="O116" s="632"/>
      <c r="P116" s="632"/>
      <c r="Q116" s="632"/>
      <c r="R116" s="632">
        <f t="shared" si="14"/>
        <v>26444</v>
      </c>
      <c r="S116" s="93"/>
      <c r="T116" s="93"/>
      <c r="U116" s="93"/>
      <c r="V116" s="93"/>
      <c r="W116" s="93"/>
      <c r="X116" s="96">
        <f t="shared" si="2"/>
        <v>0</v>
      </c>
      <c r="Y116" s="629">
        <f t="shared" si="3"/>
        <v>26444</v>
      </c>
      <c r="Z116" s="348"/>
      <c r="AA116" s="321"/>
      <c r="AB116" s="8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</row>
    <row r="117" spans="1:74" ht="16.5" hidden="1" customHeight="1" x14ac:dyDescent="0.2">
      <c r="A117" s="26"/>
      <c r="B117" s="73" t="s">
        <v>197</v>
      </c>
      <c r="C117" s="92" t="s">
        <v>117</v>
      </c>
      <c r="D117" s="632"/>
      <c r="E117" s="632"/>
      <c r="F117" s="632"/>
      <c r="G117" s="632"/>
      <c r="H117" s="632"/>
      <c r="I117" s="632"/>
      <c r="J117" s="632"/>
      <c r="K117" s="632"/>
      <c r="L117" s="632"/>
      <c r="M117" s="632"/>
      <c r="N117" s="632"/>
      <c r="O117" s="632"/>
      <c r="P117" s="632"/>
      <c r="Q117" s="632"/>
      <c r="R117" s="632">
        <f t="shared" si="14"/>
        <v>0</v>
      </c>
      <c r="S117" s="93"/>
      <c r="T117" s="93"/>
      <c r="U117" s="93"/>
      <c r="V117" s="93"/>
      <c r="W117" s="93"/>
      <c r="X117" s="96">
        <f>SUM(T117:W117)</f>
        <v>0</v>
      </c>
      <c r="Y117" s="629">
        <f>R117+X117</f>
        <v>0</v>
      </c>
      <c r="Z117" s="348"/>
      <c r="AA117" s="321"/>
      <c r="AB117" s="8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</row>
    <row r="118" spans="1:74" ht="16.5" hidden="1" customHeight="1" x14ac:dyDescent="0.2">
      <c r="A118" s="26"/>
      <c r="B118" s="73" t="s">
        <v>325</v>
      </c>
      <c r="C118" s="92" t="s">
        <v>117</v>
      </c>
      <c r="D118" s="632"/>
      <c r="E118" s="632"/>
      <c r="F118" s="632">
        <f>36400+9828+2994+808+3560+961+1600+432</f>
        <v>56583</v>
      </c>
      <c r="G118" s="632"/>
      <c r="H118" s="632"/>
      <c r="I118" s="632"/>
      <c r="J118" s="632"/>
      <c r="K118" s="632"/>
      <c r="L118" s="632"/>
      <c r="M118" s="632"/>
      <c r="N118" s="632"/>
      <c r="O118" s="632"/>
      <c r="P118" s="632"/>
      <c r="Q118" s="632"/>
      <c r="R118" s="632">
        <f t="shared" si="14"/>
        <v>56583</v>
      </c>
      <c r="S118" s="93"/>
      <c r="T118" s="93"/>
      <c r="U118" s="93"/>
      <c r="V118" s="93"/>
      <c r="W118" s="93"/>
      <c r="X118" s="96">
        <f t="shared" si="2"/>
        <v>0</v>
      </c>
      <c r="Y118" s="629">
        <f t="shared" si="3"/>
        <v>56583</v>
      </c>
      <c r="Z118" s="348"/>
      <c r="AA118" s="321"/>
      <c r="AB118" s="8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</row>
    <row r="119" spans="1:74" ht="16.5" hidden="1" customHeight="1" x14ac:dyDescent="0.2">
      <c r="A119" s="26"/>
      <c r="B119" s="73" t="s">
        <v>326</v>
      </c>
      <c r="C119" s="92" t="s">
        <v>117</v>
      </c>
      <c r="D119" s="632">
        <f>854</f>
        <v>854</v>
      </c>
      <c r="E119" s="632">
        <f>180</f>
        <v>180</v>
      </c>
      <c r="F119" s="632">
        <f>495+133+4000+1080</f>
        <v>5708</v>
      </c>
      <c r="G119" s="632"/>
      <c r="H119" s="632"/>
      <c r="I119" s="632"/>
      <c r="J119" s="632"/>
      <c r="K119" s="632">
        <f>732+51500</f>
        <v>52232</v>
      </c>
      <c r="L119" s="632"/>
      <c r="M119" s="632"/>
      <c r="N119" s="632"/>
      <c r="O119" s="632"/>
      <c r="P119" s="632"/>
      <c r="Q119" s="632">
        <f>26483+2881+64118</f>
        <v>93482</v>
      </c>
      <c r="R119" s="632">
        <f t="shared" si="14"/>
        <v>152456</v>
      </c>
      <c r="S119" s="93"/>
      <c r="T119" s="93"/>
      <c r="U119" s="93"/>
      <c r="V119" s="93"/>
      <c r="W119" s="93"/>
      <c r="X119" s="96">
        <f t="shared" ref="X119" si="15">SUM(T119:W119)</f>
        <v>0</v>
      </c>
      <c r="Y119" s="629">
        <f t="shared" ref="Y119" si="16">R119+X119</f>
        <v>152456</v>
      </c>
      <c r="Z119" s="348"/>
      <c r="AA119" s="321"/>
      <c r="AB119" s="8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</row>
    <row r="120" spans="1:74" ht="16.5" hidden="1" customHeight="1" x14ac:dyDescent="0.2">
      <c r="A120" s="26"/>
      <c r="B120" s="74" t="s">
        <v>327</v>
      </c>
      <c r="C120" s="94" t="s">
        <v>117</v>
      </c>
      <c r="D120" s="632">
        <f>262</f>
        <v>262</v>
      </c>
      <c r="E120" s="632">
        <f>58</f>
        <v>58</v>
      </c>
      <c r="F120" s="632">
        <f>6885+4000+660+969</f>
        <v>12514</v>
      </c>
      <c r="G120" s="632"/>
      <c r="H120" s="632"/>
      <c r="I120" s="632"/>
      <c r="J120" s="632">
        <f>1017+4586</f>
        <v>5603</v>
      </c>
      <c r="K120" s="632"/>
      <c r="L120" s="632"/>
      <c r="M120" s="632"/>
      <c r="N120" s="632"/>
      <c r="O120" s="632"/>
      <c r="P120" s="632"/>
      <c r="Q120" s="632"/>
      <c r="R120" s="632">
        <f t="shared" si="14"/>
        <v>18437</v>
      </c>
      <c r="S120" s="93"/>
      <c r="T120" s="93"/>
      <c r="U120" s="93"/>
      <c r="V120" s="93"/>
      <c r="W120" s="93"/>
      <c r="X120" s="96">
        <f t="shared" si="2"/>
        <v>0</v>
      </c>
      <c r="Y120" s="629">
        <f t="shared" si="3"/>
        <v>18437</v>
      </c>
      <c r="Z120" s="348"/>
      <c r="AA120" s="321"/>
      <c r="AB120" s="8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</row>
    <row r="121" spans="1:74" ht="16.5" hidden="1" customHeight="1" x14ac:dyDescent="0.2">
      <c r="A121" s="26"/>
      <c r="B121" s="74" t="s">
        <v>329</v>
      </c>
      <c r="C121" s="94" t="s">
        <v>117</v>
      </c>
      <c r="D121" s="632"/>
      <c r="E121" s="632"/>
      <c r="F121" s="632">
        <f>29068+7849</f>
        <v>36917</v>
      </c>
      <c r="G121" s="632"/>
      <c r="H121" s="632"/>
      <c r="I121" s="632"/>
      <c r="J121" s="632"/>
      <c r="K121" s="632"/>
      <c r="L121" s="632"/>
      <c r="M121" s="632"/>
      <c r="N121" s="632"/>
      <c r="O121" s="632"/>
      <c r="P121" s="632"/>
      <c r="Q121" s="632"/>
      <c r="R121" s="632">
        <f t="shared" si="14"/>
        <v>36917</v>
      </c>
      <c r="S121" s="93"/>
      <c r="T121" s="93"/>
      <c r="U121" s="93"/>
      <c r="V121" s="93"/>
      <c r="W121" s="93"/>
      <c r="X121" s="96">
        <f t="shared" si="2"/>
        <v>0</v>
      </c>
      <c r="Y121" s="629">
        <f t="shared" si="3"/>
        <v>36917</v>
      </c>
      <c r="Z121" s="642">
        <v>69023.486000000004</v>
      </c>
      <c r="AA121" s="321"/>
      <c r="AB121" s="8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</row>
    <row r="122" spans="1:74" ht="16.5" hidden="1" customHeight="1" x14ac:dyDescent="0.2">
      <c r="A122" s="26"/>
      <c r="B122" s="74" t="s">
        <v>328</v>
      </c>
      <c r="C122" s="94" t="s">
        <v>117</v>
      </c>
      <c r="D122" s="632"/>
      <c r="E122" s="632"/>
      <c r="F122" s="632">
        <f>2000+540</f>
        <v>2540</v>
      </c>
      <c r="G122" s="632">
        <f>1073+10000+1000+1600+1000</f>
        <v>14673</v>
      </c>
      <c r="H122" s="632"/>
      <c r="I122" s="632"/>
      <c r="J122" s="632">
        <f>1500+1500+1500</f>
        <v>4500</v>
      </c>
      <c r="K122" s="632"/>
      <c r="L122" s="632"/>
      <c r="M122" s="632"/>
      <c r="N122" s="632"/>
      <c r="O122" s="632">
        <f>2000</f>
        <v>2000</v>
      </c>
      <c r="P122" s="632"/>
      <c r="Q122" s="632">
        <f>1100</f>
        <v>1100</v>
      </c>
      <c r="R122" s="632">
        <f t="shared" si="14"/>
        <v>24813</v>
      </c>
      <c r="S122" s="93"/>
      <c r="T122" s="93"/>
      <c r="U122" s="93"/>
      <c r="V122" s="93"/>
      <c r="W122" s="93"/>
      <c r="X122" s="96">
        <f t="shared" si="2"/>
        <v>0</v>
      </c>
      <c r="Y122" s="629">
        <f t="shared" si="3"/>
        <v>24813</v>
      </c>
      <c r="Z122" s="348"/>
      <c r="AA122" s="321"/>
      <c r="AB122" s="8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</row>
    <row r="123" spans="1:74" ht="16.5" hidden="1" customHeight="1" x14ac:dyDescent="0.2">
      <c r="A123" s="26"/>
      <c r="B123" s="32">
        <v>9101</v>
      </c>
      <c r="C123" s="94" t="s">
        <v>117</v>
      </c>
      <c r="D123" s="632"/>
      <c r="E123" s="632"/>
      <c r="F123" s="632"/>
      <c r="G123" s="632"/>
      <c r="H123" s="632"/>
      <c r="I123" s="632"/>
      <c r="J123" s="632"/>
      <c r="K123" s="632"/>
      <c r="L123" s="632">
        <f>1300+351</f>
        <v>1651</v>
      </c>
      <c r="M123" s="632">
        <f>2598+702</f>
        <v>3300</v>
      </c>
      <c r="N123" s="632"/>
      <c r="O123" s="632"/>
      <c r="P123" s="632"/>
      <c r="Q123" s="632"/>
      <c r="R123" s="632">
        <f t="shared" si="14"/>
        <v>4951</v>
      </c>
      <c r="S123" s="93"/>
      <c r="T123" s="93"/>
      <c r="U123" s="93"/>
      <c r="V123" s="93"/>
      <c r="W123" s="93"/>
      <c r="X123" s="96">
        <f t="shared" si="2"/>
        <v>0</v>
      </c>
      <c r="Y123" s="629">
        <f t="shared" si="3"/>
        <v>4951</v>
      </c>
      <c r="Z123" s="348"/>
      <c r="AA123" s="321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</row>
    <row r="124" spans="1:74" ht="16.5" hidden="1" customHeight="1" x14ac:dyDescent="0.2">
      <c r="A124" s="26"/>
      <c r="B124" s="32">
        <v>9103</v>
      </c>
      <c r="C124" s="94" t="s">
        <v>117</v>
      </c>
      <c r="D124" s="632"/>
      <c r="E124" s="632"/>
      <c r="F124" s="632"/>
      <c r="G124" s="632"/>
      <c r="H124" s="632"/>
      <c r="I124" s="632"/>
      <c r="J124" s="632"/>
      <c r="K124" s="632"/>
      <c r="L124" s="632"/>
      <c r="M124" s="632">
        <f>376+102</f>
        <v>478</v>
      </c>
      <c r="N124" s="632"/>
      <c r="O124" s="632"/>
      <c r="P124" s="632"/>
      <c r="Q124" s="632"/>
      <c r="R124" s="632">
        <f t="shared" si="14"/>
        <v>478</v>
      </c>
      <c r="S124" s="93"/>
      <c r="T124" s="93"/>
      <c r="U124" s="93"/>
      <c r="V124" s="93"/>
      <c r="W124" s="93"/>
      <c r="X124" s="96">
        <f t="shared" si="2"/>
        <v>0</v>
      </c>
      <c r="Y124" s="629">
        <f t="shared" si="3"/>
        <v>478</v>
      </c>
      <c r="Z124" s="348"/>
      <c r="AA124" s="321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</row>
    <row r="125" spans="1:74" ht="16.5" hidden="1" customHeight="1" x14ac:dyDescent="0.2">
      <c r="A125" s="26"/>
      <c r="B125" s="32">
        <v>106</v>
      </c>
      <c r="C125" s="94" t="s">
        <v>117</v>
      </c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>
        <f t="shared" si="14"/>
        <v>0</v>
      </c>
      <c r="S125" s="93"/>
      <c r="T125" s="93"/>
      <c r="U125" s="93"/>
      <c r="V125" s="93"/>
      <c r="W125" s="93"/>
      <c r="X125" s="96">
        <f t="shared" si="2"/>
        <v>0</v>
      </c>
      <c r="Y125" s="629">
        <f t="shared" si="3"/>
        <v>0</v>
      </c>
      <c r="Z125" s="348"/>
      <c r="AA125" s="321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</row>
    <row r="126" spans="1:74" ht="16.5" hidden="1" customHeight="1" x14ac:dyDescent="0.2">
      <c r="A126" s="26"/>
      <c r="B126" s="32">
        <v>111</v>
      </c>
      <c r="C126" s="94" t="s">
        <v>117</v>
      </c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>
        <f t="shared" si="14"/>
        <v>0</v>
      </c>
      <c r="S126" s="93"/>
      <c r="T126" s="93"/>
      <c r="U126" s="93"/>
      <c r="V126" s="93"/>
      <c r="W126" s="93"/>
      <c r="X126" s="96">
        <f t="shared" si="2"/>
        <v>0</v>
      </c>
      <c r="Y126" s="629">
        <f t="shared" si="3"/>
        <v>0</v>
      </c>
      <c r="Z126" s="348"/>
      <c r="AA126" s="321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</row>
    <row r="127" spans="1:74" ht="16.5" hidden="1" customHeight="1" x14ac:dyDescent="0.2">
      <c r="A127" s="26"/>
      <c r="B127" s="32">
        <v>112</v>
      </c>
      <c r="C127" s="94" t="s">
        <v>117</v>
      </c>
      <c r="D127" s="632"/>
      <c r="E127" s="632"/>
      <c r="F127" s="632"/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Q127" s="632"/>
      <c r="R127" s="632">
        <f t="shared" si="14"/>
        <v>0</v>
      </c>
      <c r="S127" s="93"/>
      <c r="T127" s="93"/>
      <c r="U127" s="93"/>
      <c r="V127" s="93"/>
      <c r="W127" s="93"/>
      <c r="X127" s="96">
        <f t="shared" si="2"/>
        <v>0</v>
      </c>
      <c r="Y127" s="629">
        <f t="shared" si="3"/>
        <v>0</v>
      </c>
      <c r="Z127" s="348"/>
      <c r="AA127" s="321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</row>
    <row r="128" spans="1:74" ht="16.5" hidden="1" customHeight="1" x14ac:dyDescent="0.2">
      <c r="A128" s="26"/>
      <c r="B128" s="32">
        <v>120</v>
      </c>
      <c r="C128" s="75" t="s">
        <v>117</v>
      </c>
      <c r="D128" s="634"/>
      <c r="E128" s="634"/>
      <c r="F128" s="634"/>
      <c r="G128" s="634"/>
      <c r="H128" s="634"/>
      <c r="I128" s="634"/>
      <c r="J128" s="634"/>
      <c r="K128" s="634"/>
      <c r="L128" s="634"/>
      <c r="M128" s="634"/>
      <c r="N128" s="634"/>
      <c r="O128" s="634"/>
      <c r="P128" s="634"/>
      <c r="Q128" s="634"/>
      <c r="R128" s="634">
        <f t="shared" si="14"/>
        <v>0</v>
      </c>
      <c r="S128" s="76"/>
      <c r="T128" s="76"/>
      <c r="U128" s="76"/>
      <c r="V128" s="76"/>
      <c r="W128" s="76"/>
      <c r="X128" s="430">
        <f t="shared" si="2"/>
        <v>0</v>
      </c>
      <c r="Y128" s="629">
        <f t="shared" si="3"/>
        <v>0</v>
      </c>
      <c r="Z128" s="349"/>
      <c r="AA128" s="32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</row>
    <row r="129" spans="1:74" ht="16.5" hidden="1" customHeight="1" x14ac:dyDescent="0.2">
      <c r="A129" s="26"/>
      <c r="B129" s="32">
        <v>9121</v>
      </c>
      <c r="C129" s="75" t="s">
        <v>117</v>
      </c>
      <c r="D129" s="634"/>
      <c r="E129" s="634"/>
      <c r="F129" s="632">
        <f>6445+1740+226+61+464+126+436+118+875+221+115+31+2330+630+2506+677</f>
        <v>17001</v>
      </c>
      <c r="G129" s="634"/>
      <c r="H129" s="634"/>
      <c r="I129" s="634"/>
      <c r="J129" s="634"/>
      <c r="K129" s="634"/>
      <c r="L129" s="632">
        <f>50800+13716+150077+40521+37+10+4801+1297+3969+1072+8645+2334</f>
        <v>277279</v>
      </c>
      <c r="M129" s="634"/>
      <c r="N129" s="634"/>
      <c r="O129" s="634"/>
      <c r="P129" s="634"/>
      <c r="Q129" s="634"/>
      <c r="R129" s="634">
        <f t="shared" si="14"/>
        <v>294280</v>
      </c>
      <c r="S129" s="76"/>
      <c r="T129" s="76"/>
      <c r="U129" s="76"/>
      <c r="V129" s="76"/>
      <c r="W129" s="76"/>
      <c r="X129" s="430">
        <f t="shared" si="2"/>
        <v>0</v>
      </c>
      <c r="Y129" s="629">
        <f t="shared" si="3"/>
        <v>294280</v>
      </c>
      <c r="Z129" s="349"/>
      <c r="AA129" s="323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</row>
    <row r="130" spans="1:74" ht="16.5" hidden="1" customHeight="1" x14ac:dyDescent="0.2">
      <c r="A130" s="26"/>
      <c r="B130" s="32">
        <v>9150</v>
      </c>
      <c r="C130" s="75" t="s">
        <v>117</v>
      </c>
      <c r="D130" s="634"/>
      <c r="E130" s="634"/>
      <c r="F130" s="632">
        <f>304</f>
        <v>304</v>
      </c>
      <c r="G130" s="634"/>
      <c r="H130" s="634"/>
      <c r="I130" s="634"/>
      <c r="J130" s="634"/>
      <c r="K130" s="634"/>
      <c r="L130" s="634">
        <f>2687+724+542+147+4773+1289</f>
        <v>10162</v>
      </c>
      <c r="M130" s="634"/>
      <c r="N130" s="634"/>
      <c r="O130" s="634"/>
      <c r="P130" s="634"/>
      <c r="Q130" s="634"/>
      <c r="R130" s="634">
        <f t="shared" si="14"/>
        <v>10466</v>
      </c>
      <c r="S130" s="76"/>
      <c r="T130" s="76"/>
      <c r="U130" s="76"/>
      <c r="V130" s="76"/>
      <c r="W130" s="76"/>
      <c r="X130" s="430">
        <f t="shared" si="2"/>
        <v>0</v>
      </c>
      <c r="Y130" s="629">
        <f t="shared" si="3"/>
        <v>10466</v>
      </c>
      <c r="Z130" s="349"/>
      <c r="AA130" s="32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</row>
    <row r="131" spans="1:74" ht="16.5" hidden="1" customHeight="1" x14ac:dyDescent="0.2">
      <c r="A131" s="26"/>
      <c r="B131" s="32">
        <v>9152</v>
      </c>
      <c r="C131" s="75" t="s">
        <v>117</v>
      </c>
      <c r="D131" s="634"/>
      <c r="E131" s="634"/>
      <c r="F131" s="632">
        <f>48</f>
        <v>48</v>
      </c>
      <c r="G131" s="634"/>
      <c r="H131" s="634"/>
      <c r="I131" s="634"/>
      <c r="J131" s="634"/>
      <c r="K131" s="634"/>
      <c r="L131" s="634"/>
      <c r="M131" s="634"/>
      <c r="N131" s="634"/>
      <c r="O131" s="634"/>
      <c r="P131" s="634"/>
      <c r="Q131" s="634"/>
      <c r="R131" s="634">
        <f t="shared" si="14"/>
        <v>48</v>
      </c>
      <c r="S131" s="76"/>
      <c r="T131" s="76"/>
      <c r="U131" s="76"/>
      <c r="V131" s="76"/>
      <c r="W131" s="76"/>
      <c r="X131" s="430">
        <f t="shared" ref="X131" si="17">SUM(T131:W131)</f>
        <v>0</v>
      </c>
      <c r="Y131" s="629">
        <f t="shared" ref="Y131" si="18">R131+X131</f>
        <v>48</v>
      </c>
      <c r="Z131" s="349"/>
      <c r="AA131" s="32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</row>
    <row r="132" spans="1:74" ht="16.5" hidden="1" customHeight="1" x14ac:dyDescent="0.2">
      <c r="A132" s="26"/>
      <c r="B132" s="32">
        <v>9181</v>
      </c>
      <c r="C132" s="75" t="s">
        <v>117</v>
      </c>
      <c r="D132" s="634"/>
      <c r="E132" s="634"/>
      <c r="F132" s="632">
        <f>7310+1974</f>
        <v>9284</v>
      </c>
      <c r="G132" s="634"/>
      <c r="H132" s="634"/>
      <c r="I132" s="634"/>
      <c r="J132" s="634"/>
      <c r="K132" s="634"/>
      <c r="L132" s="634">
        <f>18200+4914</f>
        <v>23114</v>
      </c>
      <c r="M132" s="634">
        <f>2169+586</f>
        <v>2755</v>
      </c>
      <c r="N132" s="634"/>
      <c r="O132" s="634"/>
      <c r="P132" s="634"/>
      <c r="Q132" s="634">
        <f>10025</f>
        <v>10025</v>
      </c>
      <c r="R132" s="634">
        <f t="shared" si="14"/>
        <v>45178</v>
      </c>
      <c r="S132" s="76"/>
      <c r="T132" s="76"/>
      <c r="U132" s="76"/>
      <c r="V132" s="76"/>
      <c r="W132" s="76"/>
      <c r="X132" s="430">
        <f t="shared" si="2"/>
        <v>0</v>
      </c>
      <c r="Y132" s="629">
        <f t="shared" si="3"/>
        <v>45178</v>
      </c>
      <c r="Z132" s="349"/>
      <c r="AA132" s="323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</row>
    <row r="133" spans="1:74" ht="16.5" hidden="1" customHeight="1" x14ac:dyDescent="0.2">
      <c r="A133" s="26"/>
      <c r="B133" s="32">
        <v>190</v>
      </c>
      <c r="C133" s="75" t="s">
        <v>117</v>
      </c>
      <c r="D133" s="634"/>
      <c r="E133" s="634"/>
      <c r="F133" s="634"/>
      <c r="G133" s="634"/>
      <c r="H133" s="634"/>
      <c r="I133" s="634"/>
      <c r="J133" s="634"/>
      <c r="K133" s="634"/>
      <c r="L133" s="634"/>
      <c r="M133" s="634"/>
      <c r="N133" s="634"/>
      <c r="O133" s="634"/>
      <c r="P133" s="634"/>
      <c r="Q133" s="634"/>
      <c r="R133" s="634">
        <f t="shared" si="14"/>
        <v>0</v>
      </c>
      <c r="S133" s="76"/>
      <c r="T133" s="76"/>
      <c r="U133" s="76"/>
      <c r="V133" s="76"/>
      <c r="W133" s="76"/>
      <c r="X133" s="430">
        <f t="shared" ref="X133:X139" si="19">SUM(T133:W133)</f>
        <v>0</v>
      </c>
      <c r="Y133" s="629">
        <f t="shared" ref="Y133:Y139" si="20">R133+X133</f>
        <v>0</v>
      </c>
      <c r="Z133" s="349"/>
      <c r="AA133" s="323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</row>
    <row r="134" spans="1:74" ht="16.5" hidden="1" customHeight="1" x14ac:dyDescent="0.2">
      <c r="A134" s="26"/>
      <c r="B134" s="32">
        <v>200</v>
      </c>
      <c r="C134" s="75" t="s">
        <v>117</v>
      </c>
      <c r="D134" s="634"/>
      <c r="E134" s="634"/>
      <c r="F134" s="634"/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>
        <f t="shared" si="14"/>
        <v>0</v>
      </c>
      <c r="S134" s="76"/>
      <c r="T134" s="76"/>
      <c r="U134" s="76"/>
      <c r="V134" s="76"/>
      <c r="W134" s="76"/>
      <c r="X134" s="430">
        <f t="shared" si="19"/>
        <v>0</v>
      </c>
      <c r="Y134" s="629">
        <f t="shared" si="20"/>
        <v>0</v>
      </c>
      <c r="Z134" s="349"/>
      <c r="AA134" s="323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</row>
    <row r="135" spans="1:74" ht="16.5" hidden="1" customHeight="1" x14ac:dyDescent="0.2">
      <c r="A135" s="26"/>
      <c r="B135" s="32">
        <v>220</v>
      </c>
      <c r="C135" s="75" t="s">
        <v>117</v>
      </c>
      <c r="D135" s="634"/>
      <c r="E135" s="634"/>
      <c r="F135" s="634"/>
      <c r="G135" s="634"/>
      <c r="H135" s="634"/>
      <c r="I135" s="634"/>
      <c r="J135" s="634"/>
      <c r="K135" s="634"/>
      <c r="L135" s="634"/>
      <c r="M135" s="634"/>
      <c r="N135" s="635"/>
      <c r="O135" s="634"/>
      <c r="P135" s="634"/>
      <c r="Q135" s="634"/>
      <c r="R135" s="634">
        <f t="shared" si="14"/>
        <v>0</v>
      </c>
      <c r="S135" s="76"/>
      <c r="T135" s="76"/>
      <c r="U135" s="76"/>
      <c r="V135" s="76"/>
      <c r="W135" s="76"/>
      <c r="X135" s="430">
        <f t="shared" si="19"/>
        <v>0</v>
      </c>
      <c r="Y135" s="629">
        <f t="shared" si="20"/>
        <v>0</v>
      </c>
      <c r="Z135" s="349"/>
      <c r="AA135" s="323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</row>
    <row r="136" spans="1:74" ht="16.5" hidden="1" customHeight="1" x14ac:dyDescent="0.2">
      <c r="A136" s="26"/>
      <c r="B136" s="32">
        <v>407</v>
      </c>
      <c r="C136" s="75" t="s">
        <v>117</v>
      </c>
      <c r="D136" s="634"/>
      <c r="E136" s="634"/>
      <c r="F136" s="634"/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>
        <f t="shared" si="14"/>
        <v>0</v>
      </c>
      <c r="S136" s="76"/>
      <c r="T136" s="76"/>
      <c r="U136" s="76"/>
      <c r="V136" s="76"/>
      <c r="W136" s="76"/>
      <c r="X136" s="430">
        <f t="shared" si="19"/>
        <v>0</v>
      </c>
      <c r="Y136" s="629">
        <f t="shared" si="20"/>
        <v>0</v>
      </c>
      <c r="Z136" s="349"/>
      <c r="AA136" s="323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</row>
    <row r="137" spans="1:74" ht="16.5" hidden="1" customHeight="1" x14ac:dyDescent="0.2">
      <c r="A137" s="26"/>
      <c r="B137" s="32">
        <v>418</v>
      </c>
      <c r="C137" s="75" t="s">
        <v>117</v>
      </c>
      <c r="D137" s="634"/>
      <c r="E137" s="634"/>
      <c r="F137" s="634"/>
      <c r="G137" s="634"/>
      <c r="H137" s="634"/>
      <c r="I137" s="634"/>
      <c r="J137" s="634"/>
      <c r="K137" s="634"/>
      <c r="L137" s="634"/>
      <c r="M137" s="634"/>
      <c r="N137" s="634"/>
      <c r="O137" s="634"/>
      <c r="P137" s="634"/>
      <c r="Q137" s="634"/>
      <c r="R137" s="634">
        <f t="shared" si="14"/>
        <v>0</v>
      </c>
      <c r="S137" s="76"/>
      <c r="T137" s="76"/>
      <c r="U137" s="76"/>
      <c r="V137" s="76"/>
      <c r="W137" s="76"/>
      <c r="X137" s="430">
        <f t="shared" si="19"/>
        <v>0</v>
      </c>
      <c r="Y137" s="629">
        <f t="shared" si="20"/>
        <v>0</v>
      </c>
      <c r="Z137" s="349"/>
      <c r="AA137" s="323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</row>
    <row r="138" spans="1:74" ht="16.5" hidden="1" customHeight="1" x14ac:dyDescent="0.2">
      <c r="A138" s="26"/>
      <c r="B138" s="32">
        <v>419</v>
      </c>
      <c r="C138" s="75" t="s">
        <v>117</v>
      </c>
      <c r="D138" s="634"/>
      <c r="E138" s="634"/>
      <c r="F138" s="634"/>
      <c r="G138" s="634"/>
      <c r="H138" s="634"/>
      <c r="I138" s="634"/>
      <c r="J138" s="634"/>
      <c r="K138" s="634"/>
      <c r="L138" s="634"/>
      <c r="M138" s="634"/>
      <c r="N138" s="634"/>
      <c r="O138" s="634"/>
      <c r="P138" s="634"/>
      <c r="Q138" s="634"/>
      <c r="R138" s="634">
        <f t="shared" si="14"/>
        <v>0</v>
      </c>
      <c r="S138" s="76"/>
      <c r="T138" s="76"/>
      <c r="U138" s="76"/>
      <c r="V138" s="76"/>
      <c r="W138" s="76"/>
      <c r="X138" s="430">
        <f t="shared" si="19"/>
        <v>0</v>
      </c>
      <c r="Y138" s="629">
        <f t="shared" si="20"/>
        <v>0</v>
      </c>
      <c r="Z138" s="349"/>
      <c r="AA138" s="323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</row>
    <row r="139" spans="1:74" ht="16.5" hidden="1" customHeight="1" x14ac:dyDescent="0.2">
      <c r="A139" s="26"/>
      <c r="B139" s="32">
        <v>9200</v>
      </c>
      <c r="C139" s="75" t="s">
        <v>117</v>
      </c>
      <c r="D139" s="634"/>
      <c r="E139" s="634"/>
      <c r="F139" s="634">
        <f>690+552+149</f>
        <v>1391</v>
      </c>
      <c r="G139" s="634"/>
      <c r="H139" s="634"/>
      <c r="I139" s="634"/>
      <c r="J139" s="634"/>
      <c r="K139" s="634"/>
      <c r="L139" s="634"/>
      <c r="M139" s="634"/>
      <c r="N139" s="634"/>
      <c r="O139" s="634"/>
      <c r="P139" s="634"/>
      <c r="Q139" s="634"/>
      <c r="R139" s="634">
        <f t="shared" si="14"/>
        <v>1391</v>
      </c>
      <c r="S139" s="76"/>
      <c r="T139" s="76"/>
      <c r="U139" s="76"/>
      <c r="V139" s="76"/>
      <c r="W139" s="76"/>
      <c r="X139" s="430">
        <f t="shared" si="19"/>
        <v>0</v>
      </c>
      <c r="Y139" s="629">
        <f t="shared" si="20"/>
        <v>1391</v>
      </c>
      <c r="Z139" s="349"/>
      <c r="AA139" s="323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</row>
    <row r="140" spans="1:74" ht="16.5" hidden="1" customHeight="1" x14ac:dyDescent="0.2">
      <c r="A140" s="26"/>
      <c r="B140" s="32">
        <v>9401</v>
      </c>
      <c r="C140" s="75" t="s">
        <v>117</v>
      </c>
      <c r="D140" s="634"/>
      <c r="E140" s="634"/>
      <c r="F140" s="634">
        <f>2756+744+3000+810+12731+3437+5398+1458+100+844+72698</f>
        <v>103976</v>
      </c>
      <c r="G140" s="634"/>
      <c r="H140" s="634"/>
      <c r="I140" s="634"/>
      <c r="J140" s="634"/>
      <c r="K140" s="634"/>
      <c r="L140" s="634">
        <f>50000+13500+3357+907+3900+1053+8800+2376+21473+5743+39370+10630+3120+843+2910+786+533+144+646+175+269254+5222+1410+20000+5400+5000+1350+8000+2160</f>
        <v>488062</v>
      </c>
      <c r="M140" s="634"/>
      <c r="N140" s="634"/>
      <c r="O140" s="634"/>
      <c r="P140" s="634"/>
      <c r="Q140" s="634"/>
      <c r="R140" s="634">
        <f t="shared" si="14"/>
        <v>592038</v>
      </c>
      <c r="S140" s="76"/>
      <c r="T140" s="76"/>
      <c r="U140" s="76"/>
      <c r="V140" s="76"/>
      <c r="W140" s="76"/>
      <c r="X140" s="430">
        <f t="shared" ref="X140" si="21">SUM(T140:W140)</f>
        <v>0</v>
      </c>
      <c r="Y140" s="629">
        <f t="shared" ref="Y140" si="22">R140+X140</f>
        <v>592038</v>
      </c>
      <c r="Z140" s="349"/>
      <c r="AA140" s="323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</row>
    <row r="141" spans="1:74" ht="16.5" hidden="1" customHeight="1" x14ac:dyDescent="0.2">
      <c r="A141" s="26"/>
      <c r="B141" s="32">
        <v>9420</v>
      </c>
      <c r="C141" s="75" t="s">
        <v>117</v>
      </c>
      <c r="D141" s="634"/>
      <c r="E141" s="634"/>
      <c r="F141" s="634"/>
      <c r="G141" s="634"/>
      <c r="H141" s="634"/>
      <c r="I141" s="634"/>
      <c r="J141" s="634"/>
      <c r="K141" s="634"/>
      <c r="L141" s="634">
        <f>6299+1701</f>
        <v>8000</v>
      </c>
      <c r="M141" s="634"/>
      <c r="N141" s="634"/>
      <c r="O141" s="634"/>
      <c r="P141" s="634"/>
      <c r="Q141" s="634"/>
      <c r="R141" s="634">
        <f t="shared" si="14"/>
        <v>8000</v>
      </c>
      <c r="S141" s="76"/>
      <c r="T141" s="76"/>
      <c r="U141" s="76"/>
      <c r="V141" s="76"/>
      <c r="W141" s="76"/>
      <c r="X141" s="430">
        <f t="shared" si="2"/>
        <v>0</v>
      </c>
      <c r="Y141" s="629">
        <f t="shared" si="3"/>
        <v>8000</v>
      </c>
      <c r="Z141" s="349"/>
      <c r="AA141" s="323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</row>
    <row r="142" spans="1:74" ht="16.5" hidden="1" customHeight="1" x14ac:dyDescent="0.2">
      <c r="A142" s="26"/>
      <c r="B142" s="32">
        <v>423</v>
      </c>
      <c r="C142" s="75" t="s">
        <v>117</v>
      </c>
      <c r="D142" s="634"/>
      <c r="E142" s="634"/>
      <c r="F142" s="634"/>
      <c r="G142" s="634"/>
      <c r="H142" s="634"/>
      <c r="I142" s="634"/>
      <c r="J142" s="634"/>
      <c r="K142" s="634"/>
      <c r="L142" s="634"/>
      <c r="M142" s="634"/>
      <c r="N142" s="634"/>
      <c r="O142" s="634"/>
      <c r="P142" s="634"/>
      <c r="Q142" s="634"/>
      <c r="R142" s="634">
        <f t="shared" si="14"/>
        <v>0</v>
      </c>
      <c r="S142" s="76"/>
      <c r="T142" s="76"/>
      <c r="U142" s="76"/>
      <c r="V142" s="76"/>
      <c r="W142" s="76"/>
      <c r="X142" s="430">
        <f t="shared" si="2"/>
        <v>0</v>
      </c>
      <c r="Y142" s="629">
        <f t="shared" si="3"/>
        <v>0</v>
      </c>
      <c r="Z142" s="349"/>
      <c r="AA142" s="323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</row>
    <row r="143" spans="1:74" ht="16.5" hidden="1" customHeight="1" x14ac:dyDescent="0.2">
      <c r="A143" s="26"/>
      <c r="B143" s="32">
        <v>9424</v>
      </c>
      <c r="C143" s="75" t="s">
        <v>117</v>
      </c>
      <c r="D143" s="634"/>
      <c r="E143" s="634"/>
      <c r="F143" s="634"/>
      <c r="G143" s="634"/>
      <c r="H143" s="634"/>
      <c r="I143" s="634"/>
      <c r="J143" s="634"/>
      <c r="K143" s="634"/>
      <c r="L143" s="634">
        <f>19951+5387</f>
        <v>25338</v>
      </c>
      <c r="M143" s="634"/>
      <c r="N143" s="634"/>
      <c r="O143" s="634"/>
      <c r="P143" s="634"/>
      <c r="Q143" s="634"/>
      <c r="R143" s="634">
        <f t="shared" si="14"/>
        <v>25338</v>
      </c>
      <c r="S143" s="76"/>
      <c r="T143" s="76"/>
      <c r="U143" s="76"/>
      <c r="V143" s="76"/>
      <c r="W143" s="76"/>
      <c r="X143" s="430">
        <f t="shared" si="2"/>
        <v>0</v>
      </c>
      <c r="Y143" s="337">
        <f t="shared" si="3"/>
        <v>25338</v>
      </c>
      <c r="Z143" s="349"/>
      <c r="AA143" s="323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</row>
    <row r="144" spans="1:74" ht="16.5" hidden="1" customHeight="1" x14ac:dyDescent="0.2">
      <c r="A144" s="26"/>
      <c r="B144" s="32">
        <v>9425</v>
      </c>
      <c r="C144" s="75" t="s">
        <v>117</v>
      </c>
      <c r="D144" s="636"/>
      <c r="E144" s="636"/>
      <c r="F144" s="636"/>
      <c r="G144" s="636"/>
      <c r="H144" s="636"/>
      <c r="I144" s="636"/>
      <c r="J144" s="636"/>
      <c r="K144" s="636"/>
      <c r="L144" s="636">
        <f>14890+4021</f>
        <v>18911</v>
      </c>
      <c r="M144" s="636"/>
      <c r="N144" s="636"/>
      <c r="O144" s="636"/>
      <c r="P144" s="636"/>
      <c r="Q144" s="636"/>
      <c r="R144" s="636">
        <f t="shared" si="14"/>
        <v>18911</v>
      </c>
      <c r="S144" s="636"/>
      <c r="T144" s="636"/>
      <c r="U144" s="636"/>
      <c r="V144" s="636"/>
      <c r="W144" s="636"/>
      <c r="X144" s="638">
        <f t="shared" ref="X144:X250" si="23">SUM(T144:W144)</f>
        <v>0</v>
      </c>
      <c r="Y144" s="639">
        <f t="shared" ref="Y144:Y250" si="24">R144+X144</f>
        <v>18911</v>
      </c>
      <c r="Z144" s="349"/>
      <c r="AA144" s="323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</row>
    <row r="145" spans="1:74" ht="16.5" hidden="1" customHeight="1" x14ac:dyDescent="0.2">
      <c r="A145" s="26"/>
      <c r="B145" s="32">
        <v>9426</v>
      </c>
      <c r="C145" s="75" t="s">
        <v>117</v>
      </c>
      <c r="D145" s="636"/>
      <c r="E145" s="636"/>
      <c r="F145" s="636"/>
      <c r="G145" s="636"/>
      <c r="H145" s="636"/>
      <c r="I145" s="636"/>
      <c r="J145" s="636"/>
      <c r="K145" s="636"/>
      <c r="L145" s="636">
        <f>2843+767+1305+352</f>
        <v>5267</v>
      </c>
      <c r="M145" s="636"/>
      <c r="N145" s="636"/>
      <c r="O145" s="636"/>
      <c r="P145" s="636"/>
      <c r="Q145" s="636"/>
      <c r="R145" s="636">
        <f t="shared" si="14"/>
        <v>5267</v>
      </c>
      <c r="S145" s="636"/>
      <c r="T145" s="636"/>
      <c r="U145" s="636"/>
      <c r="V145" s="636"/>
      <c r="W145" s="636"/>
      <c r="X145" s="638">
        <f t="shared" si="23"/>
        <v>0</v>
      </c>
      <c r="Y145" s="639">
        <f t="shared" si="24"/>
        <v>5267</v>
      </c>
      <c r="Z145" s="349"/>
      <c r="AA145" s="323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</row>
    <row r="146" spans="1:74" ht="16.5" hidden="1" customHeight="1" x14ac:dyDescent="0.2">
      <c r="A146" s="26"/>
      <c r="B146" s="32">
        <v>9427</v>
      </c>
      <c r="C146" s="75" t="s">
        <v>117</v>
      </c>
      <c r="D146" s="636"/>
      <c r="E146" s="636"/>
      <c r="F146" s="636"/>
      <c r="G146" s="636"/>
      <c r="H146" s="636"/>
      <c r="I146" s="636"/>
      <c r="J146" s="636"/>
      <c r="K146" s="636"/>
      <c r="L146" s="636">
        <f>14800+3996</f>
        <v>18796</v>
      </c>
      <c r="M146" s="636"/>
      <c r="N146" s="636"/>
      <c r="O146" s="636"/>
      <c r="P146" s="636"/>
      <c r="Q146" s="636"/>
      <c r="R146" s="636">
        <f t="shared" si="14"/>
        <v>18796</v>
      </c>
      <c r="S146" s="636"/>
      <c r="T146" s="636"/>
      <c r="U146" s="636"/>
      <c r="V146" s="636"/>
      <c r="W146" s="636"/>
      <c r="X146" s="638">
        <f t="shared" si="23"/>
        <v>0</v>
      </c>
      <c r="Y146" s="639">
        <f t="shared" si="24"/>
        <v>18796</v>
      </c>
      <c r="Z146" s="349"/>
      <c r="AA146" s="323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</row>
    <row r="147" spans="1:74" ht="16.5" hidden="1" customHeight="1" x14ac:dyDescent="0.2">
      <c r="A147" s="26"/>
      <c r="B147" s="32">
        <v>9428</v>
      </c>
      <c r="C147" s="75" t="s">
        <v>117</v>
      </c>
      <c r="D147" s="636"/>
      <c r="E147" s="636"/>
      <c r="F147" s="636">
        <f>7000+1890+400</f>
        <v>9290</v>
      </c>
      <c r="G147" s="636"/>
      <c r="H147" s="636"/>
      <c r="I147" s="636"/>
      <c r="J147" s="636"/>
      <c r="K147" s="636"/>
      <c r="L147" s="636">
        <f>119900+32373+100000+27000</f>
        <v>279273</v>
      </c>
      <c r="M147" s="636"/>
      <c r="N147" s="636"/>
      <c r="O147" s="636"/>
      <c r="P147" s="636"/>
      <c r="Q147" s="636"/>
      <c r="R147" s="636">
        <f t="shared" si="14"/>
        <v>288563</v>
      </c>
      <c r="S147" s="636"/>
      <c r="T147" s="636"/>
      <c r="U147" s="636"/>
      <c r="V147" s="636"/>
      <c r="W147" s="636"/>
      <c r="X147" s="638">
        <f t="shared" si="23"/>
        <v>0</v>
      </c>
      <c r="Y147" s="639">
        <f t="shared" si="24"/>
        <v>288563</v>
      </c>
      <c r="Z147" s="349"/>
      <c r="AA147" s="323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</row>
    <row r="148" spans="1:74" ht="16.5" hidden="1" customHeight="1" x14ac:dyDescent="0.2">
      <c r="A148" s="26"/>
      <c r="B148" s="32">
        <v>9429</v>
      </c>
      <c r="C148" s="75" t="s">
        <v>117</v>
      </c>
      <c r="D148" s="637"/>
      <c r="E148" s="637"/>
      <c r="F148" s="637"/>
      <c r="G148" s="637"/>
      <c r="H148" s="637"/>
      <c r="I148" s="637"/>
      <c r="J148" s="637"/>
      <c r="K148" s="637"/>
      <c r="L148" s="637">
        <f>19685+5315</f>
        <v>25000</v>
      </c>
      <c r="M148" s="637"/>
      <c r="N148" s="637"/>
      <c r="O148" s="637"/>
      <c r="P148" s="637"/>
      <c r="Q148" s="637"/>
      <c r="R148" s="636">
        <f t="shared" si="14"/>
        <v>25000</v>
      </c>
      <c r="S148" s="637"/>
      <c r="T148" s="637"/>
      <c r="U148" s="637"/>
      <c r="V148" s="637"/>
      <c r="W148" s="637"/>
      <c r="X148" s="640">
        <f t="shared" si="23"/>
        <v>0</v>
      </c>
      <c r="Y148" s="639">
        <f t="shared" si="24"/>
        <v>25000</v>
      </c>
      <c r="Z148" s="350"/>
      <c r="AA148" s="323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</row>
    <row r="149" spans="1:74" ht="16.5" hidden="1" customHeight="1" x14ac:dyDescent="0.2">
      <c r="A149" s="26"/>
      <c r="B149" s="32"/>
      <c r="C149" s="75" t="s">
        <v>117</v>
      </c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6">
        <f t="shared" si="14"/>
        <v>0</v>
      </c>
      <c r="S149" s="637"/>
      <c r="T149" s="637"/>
      <c r="U149" s="637"/>
      <c r="V149" s="637"/>
      <c r="W149" s="637"/>
      <c r="X149" s="640">
        <f t="shared" si="23"/>
        <v>0</v>
      </c>
      <c r="Y149" s="639">
        <f t="shared" si="24"/>
        <v>0</v>
      </c>
      <c r="Z149" s="350"/>
      <c r="AA149" s="323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</row>
    <row r="150" spans="1:74" ht="17.25" hidden="1" customHeight="1" thickTop="1" thickBot="1" x14ac:dyDescent="0.25">
      <c r="A150" s="146"/>
      <c r="B150" s="294"/>
      <c r="C150" s="141"/>
      <c r="D150" s="142"/>
      <c r="E150" s="142"/>
      <c r="F150" s="142"/>
      <c r="G150" s="142"/>
      <c r="H150" s="142"/>
      <c r="I150" s="143"/>
      <c r="J150" s="143"/>
      <c r="K150" s="143"/>
      <c r="L150" s="143"/>
      <c r="M150" s="143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431"/>
      <c r="Y150" s="338"/>
      <c r="Z150" s="351"/>
      <c r="AA150" s="324"/>
      <c r="AB150" s="127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</row>
    <row r="151" spans="1:74" s="78" customFormat="1" ht="30" hidden="1" customHeight="1" thickTop="1" thickBot="1" x14ac:dyDescent="0.25">
      <c r="A151" s="145"/>
      <c r="B151" s="140"/>
      <c r="C151" s="38" t="s">
        <v>198</v>
      </c>
      <c r="D151" s="51">
        <f t="shared" ref="D151:Q151" si="25">SUM(D104:D150)</f>
        <v>2510</v>
      </c>
      <c r="E151" s="51">
        <f t="shared" si="25"/>
        <v>617</v>
      </c>
      <c r="F151" s="51">
        <f t="shared" si="25"/>
        <v>382741.72899999999</v>
      </c>
      <c r="G151" s="51">
        <f t="shared" si="25"/>
        <v>14673</v>
      </c>
      <c r="H151" s="51">
        <f t="shared" si="25"/>
        <v>0</v>
      </c>
      <c r="I151" s="51">
        <f t="shared" si="25"/>
        <v>0</v>
      </c>
      <c r="J151" s="51">
        <f t="shared" si="25"/>
        <v>10494</v>
      </c>
      <c r="K151" s="51">
        <f t="shared" si="25"/>
        <v>259972</v>
      </c>
      <c r="L151" s="51">
        <f t="shared" si="25"/>
        <v>1180933</v>
      </c>
      <c r="M151" s="51">
        <f t="shared" si="25"/>
        <v>6533</v>
      </c>
      <c r="N151" s="51">
        <f t="shared" si="25"/>
        <v>100635</v>
      </c>
      <c r="O151" s="51">
        <f t="shared" si="25"/>
        <v>2000</v>
      </c>
      <c r="P151" s="51">
        <f t="shared" si="25"/>
        <v>0</v>
      </c>
      <c r="Q151" s="51">
        <f t="shared" si="25"/>
        <v>105815</v>
      </c>
      <c r="R151" s="51">
        <f t="shared" ref="R151:R257" si="26">SUM(D151:Q151)</f>
        <v>2066923.7290000001</v>
      </c>
      <c r="S151" s="51"/>
      <c r="T151" s="51">
        <f>SUM(T104:T150)</f>
        <v>0</v>
      </c>
      <c r="U151" s="51">
        <f>SUM(U104:U150)</f>
        <v>1000000</v>
      </c>
      <c r="V151" s="51">
        <f>SUM(V104:V150)</f>
        <v>0</v>
      </c>
      <c r="W151" s="51">
        <f>SUM(W104:W150)</f>
        <v>0</v>
      </c>
      <c r="X151" s="432">
        <f t="shared" si="23"/>
        <v>1000000</v>
      </c>
      <c r="Y151" s="339">
        <f t="shared" si="24"/>
        <v>3066923.7290000003</v>
      </c>
      <c r="Z151" s="352">
        <f>SUM(Z104:Z150)</f>
        <v>95447.486000000004</v>
      </c>
      <c r="AA151" s="319">
        <f>SUM(Y151:Z151)</f>
        <v>3162371.2150000003</v>
      </c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</row>
    <row r="152" spans="1:74" ht="35.1" hidden="1" customHeight="1" thickTop="1" thickBot="1" x14ac:dyDescent="0.35">
      <c r="A152" s="130"/>
      <c r="B152" s="555" t="s">
        <v>144</v>
      </c>
      <c r="C152" s="43" t="s">
        <v>200</v>
      </c>
      <c r="D152" s="83">
        <f t="shared" ref="D152:Q152" si="27">D103+D151</f>
        <v>149061</v>
      </c>
      <c r="E152" s="83">
        <f t="shared" si="27"/>
        <v>33433</v>
      </c>
      <c r="F152" s="124">
        <f t="shared" si="27"/>
        <v>4510904.9469999997</v>
      </c>
      <c r="G152" s="124">
        <f t="shared" si="27"/>
        <v>204945</v>
      </c>
      <c r="H152" s="124">
        <f t="shared" si="27"/>
        <v>300942.027</v>
      </c>
      <c r="I152" s="124">
        <f t="shared" si="27"/>
        <v>59640</v>
      </c>
      <c r="J152" s="83">
        <f t="shared" si="27"/>
        <v>700301</v>
      </c>
      <c r="K152" s="83">
        <f t="shared" si="27"/>
        <v>1769645.75</v>
      </c>
      <c r="L152" s="83">
        <f t="shared" si="27"/>
        <v>5394870</v>
      </c>
      <c r="M152" s="83">
        <f t="shared" si="27"/>
        <v>27882</v>
      </c>
      <c r="N152" s="83">
        <f t="shared" si="27"/>
        <v>100635</v>
      </c>
      <c r="O152" s="124">
        <f t="shared" si="27"/>
        <v>5000</v>
      </c>
      <c r="P152" s="83">
        <f t="shared" si="27"/>
        <v>0</v>
      </c>
      <c r="Q152" s="83">
        <f t="shared" si="27"/>
        <v>199004</v>
      </c>
      <c r="R152" s="83">
        <f t="shared" si="26"/>
        <v>13456263.723999999</v>
      </c>
      <c r="S152" s="83"/>
      <c r="T152" s="83">
        <f>T103+T151</f>
        <v>0</v>
      </c>
      <c r="U152" s="83">
        <f>U103+U151</f>
        <v>4850000</v>
      </c>
      <c r="V152" s="83">
        <f>V103+V151</f>
        <v>39440.69</v>
      </c>
      <c r="W152" s="83">
        <f>W103+W151</f>
        <v>0</v>
      </c>
      <c r="X152" s="84">
        <f t="shared" si="23"/>
        <v>4889440.6900000004</v>
      </c>
      <c r="Y152" s="84">
        <f t="shared" si="24"/>
        <v>18345704.414000001</v>
      </c>
      <c r="Z152" s="258">
        <f>Z103+Z151</f>
        <v>7771528.2169999992</v>
      </c>
      <c r="AA152" s="319"/>
      <c r="AB152" s="82">
        <f>Y152+Z152</f>
        <v>26117232.631000001</v>
      </c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</row>
    <row r="153" spans="1:74" ht="24" hidden="1" customHeight="1" thickTop="1" thickBot="1" x14ac:dyDescent="0.3">
      <c r="A153" s="207"/>
      <c r="B153" s="208"/>
      <c r="C153" s="209" t="s">
        <v>18</v>
      </c>
      <c r="D153" s="296">
        <f t="shared" ref="D153:W153" si="28">D152</f>
        <v>149061</v>
      </c>
      <c r="E153" s="296">
        <f>E152</f>
        <v>33433</v>
      </c>
      <c r="F153" s="296">
        <f>F152</f>
        <v>4510904.9469999997</v>
      </c>
      <c r="G153" s="296">
        <f>G152</f>
        <v>204945</v>
      </c>
      <c r="H153" s="296">
        <f t="shared" si="28"/>
        <v>300942.027</v>
      </c>
      <c r="I153" s="296">
        <f t="shared" si="28"/>
        <v>59640</v>
      </c>
      <c r="J153" s="296">
        <f t="shared" si="28"/>
        <v>700301</v>
      </c>
      <c r="K153" s="296">
        <f>K152</f>
        <v>1769645.75</v>
      </c>
      <c r="L153" s="296">
        <f>L152</f>
        <v>5394870</v>
      </c>
      <c r="M153" s="296">
        <f t="shared" si="28"/>
        <v>27882</v>
      </c>
      <c r="N153" s="296">
        <f t="shared" si="28"/>
        <v>100635</v>
      </c>
      <c r="O153" s="296">
        <f t="shared" si="28"/>
        <v>5000</v>
      </c>
      <c r="P153" s="296">
        <f t="shared" si="28"/>
        <v>0</v>
      </c>
      <c r="Q153" s="296">
        <f t="shared" si="28"/>
        <v>199004</v>
      </c>
      <c r="R153" s="296">
        <f t="shared" si="26"/>
        <v>13456263.723999999</v>
      </c>
      <c r="S153" s="296"/>
      <c r="T153" s="296">
        <f t="shared" si="28"/>
        <v>0</v>
      </c>
      <c r="U153" s="296">
        <f>U152</f>
        <v>4850000</v>
      </c>
      <c r="V153" s="296">
        <f>V152</f>
        <v>39440.69</v>
      </c>
      <c r="W153" s="296">
        <f t="shared" si="28"/>
        <v>0</v>
      </c>
      <c r="X153" s="433">
        <f t="shared" si="23"/>
        <v>4889440.6900000004</v>
      </c>
      <c r="Y153" s="340">
        <f t="shared" si="24"/>
        <v>18345704.414000001</v>
      </c>
      <c r="Z153" s="353">
        <f>Z152</f>
        <v>7771528.2169999992</v>
      </c>
      <c r="AA153" s="325"/>
    </row>
    <row r="154" spans="1:74" ht="24" hidden="1" customHeight="1" x14ac:dyDescent="0.2">
      <c r="A154" s="79">
        <v>1</v>
      </c>
      <c r="B154" s="458" t="s">
        <v>334</v>
      </c>
      <c r="C154" s="28" t="s">
        <v>335</v>
      </c>
      <c r="D154" s="645"/>
      <c r="E154" s="645"/>
      <c r="F154" s="564"/>
      <c r="G154" s="564"/>
      <c r="H154" s="564"/>
      <c r="I154" s="564"/>
      <c r="J154" s="564"/>
      <c r="K154" s="564">
        <f>-9757</f>
        <v>-9757</v>
      </c>
      <c r="L154" s="564"/>
      <c r="M154" s="564"/>
      <c r="N154" s="564"/>
      <c r="O154" s="564"/>
      <c r="P154" s="564"/>
      <c r="Q154" s="564"/>
      <c r="R154" s="152">
        <f>SUM(D154:Q154)</f>
        <v>-9757</v>
      </c>
      <c r="S154" s="152"/>
      <c r="T154" s="152"/>
      <c r="U154" s="152"/>
      <c r="W154" s="152"/>
      <c r="X154" s="158">
        <f>SUM(T154:W154)</f>
        <v>0</v>
      </c>
      <c r="Y154" s="232">
        <f>R154+X154</f>
        <v>-9757</v>
      </c>
      <c r="Z154" s="152">
        <f>9757</f>
        <v>9757</v>
      </c>
      <c r="AA154" s="326"/>
    </row>
    <row r="155" spans="1:74" ht="24" hidden="1" customHeight="1" x14ac:dyDescent="0.2">
      <c r="A155" s="79">
        <v>2</v>
      </c>
      <c r="B155" s="458" t="s">
        <v>331</v>
      </c>
      <c r="C155" s="28" t="s">
        <v>333</v>
      </c>
      <c r="D155" s="645"/>
      <c r="E155" s="645"/>
      <c r="F155" s="564"/>
      <c r="G155" s="564"/>
      <c r="H155" s="564"/>
      <c r="I155" s="564"/>
      <c r="J155" s="564"/>
      <c r="K155" s="564">
        <f>62</f>
        <v>62</v>
      </c>
      <c r="L155" s="564"/>
      <c r="M155" s="564"/>
      <c r="N155" s="564"/>
      <c r="O155" s="564"/>
      <c r="P155" s="564"/>
      <c r="Q155" s="564"/>
      <c r="R155" s="152">
        <f>SUM(D155:Q155)</f>
        <v>62</v>
      </c>
      <c r="S155" s="152"/>
      <c r="T155" s="152"/>
      <c r="U155" s="152"/>
      <c r="W155" s="152"/>
      <c r="X155" s="158">
        <f>SUM(T155:W155)</f>
        <v>0</v>
      </c>
      <c r="Y155" s="232">
        <f>R155+X155</f>
        <v>62</v>
      </c>
      <c r="Z155" s="152"/>
      <c r="AA155" s="326"/>
    </row>
    <row r="156" spans="1:74" ht="24" hidden="1" customHeight="1" x14ac:dyDescent="0.2">
      <c r="A156" s="79">
        <v>3</v>
      </c>
      <c r="B156" s="458" t="s">
        <v>332</v>
      </c>
      <c r="C156" s="28" t="s">
        <v>234</v>
      </c>
      <c r="D156" s="645"/>
      <c r="E156" s="645"/>
      <c r="F156" s="564">
        <v>216</v>
      </c>
      <c r="G156" s="564"/>
      <c r="H156" s="564"/>
      <c r="I156" s="564"/>
      <c r="J156" s="564"/>
      <c r="K156" s="564">
        <v>800</v>
      </c>
      <c r="L156" s="564"/>
      <c r="M156" s="564"/>
      <c r="N156" s="564"/>
      <c r="O156" s="564"/>
      <c r="P156" s="564"/>
      <c r="Q156" s="564"/>
      <c r="R156" s="152">
        <f>SUM(D156:Q156)</f>
        <v>1016</v>
      </c>
      <c r="S156" s="152"/>
      <c r="T156" s="157"/>
      <c r="U156" s="157"/>
      <c r="W156" s="152"/>
      <c r="X156" s="158">
        <f>SUM(T156:W156)</f>
        <v>0</v>
      </c>
      <c r="Y156" s="232">
        <f>R156+X156</f>
        <v>1016</v>
      </c>
      <c r="Z156" s="157"/>
      <c r="AA156" s="326"/>
    </row>
    <row r="157" spans="1:74" ht="24" hidden="1" customHeight="1" x14ac:dyDescent="0.2">
      <c r="A157" s="79">
        <v>4</v>
      </c>
      <c r="B157" s="458" t="s">
        <v>336</v>
      </c>
      <c r="C157" s="28" t="s">
        <v>244</v>
      </c>
      <c r="D157" s="645"/>
      <c r="E157" s="645"/>
      <c r="F157" s="564"/>
      <c r="G157" s="564"/>
      <c r="H157" s="564"/>
      <c r="I157" s="564"/>
      <c r="J157" s="564">
        <f>150+50+100</f>
        <v>300</v>
      </c>
      <c r="K157" s="564">
        <f>-300</f>
        <v>-300</v>
      </c>
      <c r="L157" s="564"/>
      <c r="M157" s="564"/>
      <c r="N157" s="564"/>
      <c r="O157" s="564"/>
      <c r="P157" s="564"/>
      <c r="Q157" s="564"/>
      <c r="R157" s="152">
        <f>SUM(D157:Q157)</f>
        <v>0</v>
      </c>
      <c r="S157" s="152"/>
      <c r="T157" s="157"/>
      <c r="U157" s="157"/>
      <c r="W157" s="152"/>
      <c r="X157" s="158">
        <f>SUM(T157:W157)</f>
        <v>0</v>
      </c>
      <c r="Y157" s="232">
        <f>R157+X157</f>
        <v>0</v>
      </c>
      <c r="Z157" s="157"/>
      <c r="AA157" s="326"/>
    </row>
    <row r="158" spans="1:74" ht="24" hidden="1" customHeight="1" x14ac:dyDescent="0.2">
      <c r="A158" s="79">
        <v>5</v>
      </c>
      <c r="B158" s="458" t="s">
        <v>338</v>
      </c>
      <c r="C158" s="28" t="s">
        <v>337</v>
      </c>
      <c r="D158" s="645"/>
      <c r="E158" s="645"/>
      <c r="F158" s="564">
        <f>358+97</f>
        <v>455</v>
      </c>
      <c r="G158" s="564"/>
      <c r="H158" s="564"/>
      <c r="I158" s="564"/>
      <c r="J158" s="564"/>
      <c r="K158" s="564"/>
      <c r="L158" s="564"/>
      <c r="M158" s="564"/>
      <c r="N158" s="564"/>
      <c r="O158" s="564"/>
      <c r="P158" s="564"/>
      <c r="Q158" s="564"/>
      <c r="R158" s="152">
        <f t="shared" si="26"/>
        <v>455</v>
      </c>
      <c r="S158" s="152"/>
      <c r="T158" s="157"/>
      <c r="U158" s="157"/>
      <c r="W158" s="152"/>
      <c r="X158" s="158">
        <f t="shared" si="23"/>
        <v>0</v>
      </c>
      <c r="Y158" s="232">
        <f t="shared" si="24"/>
        <v>455</v>
      </c>
      <c r="Z158" s="157">
        <f>-455</f>
        <v>-455</v>
      </c>
      <c r="AA158" s="326"/>
    </row>
    <row r="159" spans="1:74" ht="24" hidden="1" customHeight="1" x14ac:dyDescent="0.2">
      <c r="A159" s="79">
        <v>6</v>
      </c>
      <c r="B159" s="458" t="s">
        <v>349</v>
      </c>
      <c r="C159" s="28" t="s">
        <v>366</v>
      </c>
      <c r="D159" s="645"/>
      <c r="E159" s="645"/>
      <c r="F159" s="564"/>
      <c r="G159" s="564"/>
      <c r="H159" s="564"/>
      <c r="I159" s="564"/>
      <c r="J159" s="564">
        <f>-1688</f>
        <v>-1688</v>
      </c>
      <c r="K159" s="564"/>
      <c r="L159" s="564"/>
      <c r="M159" s="564"/>
      <c r="N159" s="564"/>
      <c r="O159" s="564"/>
      <c r="P159" s="564"/>
      <c r="Q159" s="564"/>
      <c r="R159" s="152">
        <f t="shared" si="26"/>
        <v>-1688</v>
      </c>
      <c r="S159" s="152"/>
      <c r="T159" s="157"/>
      <c r="U159" s="157"/>
      <c r="W159" s="152"/>
      <c r="X159" s="158">
        <f t="shared" si="23"/>
        <v>0</v>
      </c>
      <c r="Y159" s="232">
        <f t="shared" si="24"/>
        <v>-1688</v>
      </c>
      <c r="Z159" s="157">
        <f>1688</f>
        <v>1688</v>
      </c>
      <c r="AA159" s="326"/>
    </row>
    <row r="160" spans="1:74" ht="24" hidden="1" customHeight="1" x14ac:dyDescent="0.2">
      <c r="A160" s="79">
        <v>7</v>
      </c>
      <c r="B160" s="459" t="s">
        <v>340</v>
      </c>
      <c r="C160" s="28" t="s">
        <v>341</v>
      </c>
      <c r="D160" s="645"/>
      <c r="E160" s="645"/>
      <c r="F160" s="564"/>
      <c r="G160" s="564"/>
      <c r="H160" s="564"/>
      <c r="I160" s="564"/>
      <c r="J160" s="564">
        <f>100+45+100</f>
        <v>245</v>
      </c>
      <c r="K160" s="564">
        <f>-245</f>
        <v>-245</v>
      </c>
      <c r="L160" s="564"/>
      <c r="M160" s="564"/>
      <c r="N160" s="564"/>
      <c r="O160" s="564"/>
      <c r="P160" s="564"/>
      <c r="Q160" s="564"/>
      <c r="R160" s="152">
        <f t="shared" si="26"/>
        <v>0</v>
      </c>
      <c r="S160" s="152"/>
      <c r="T160" s="157"/>
      <c r="U160" s="157"/>
      <c r="W160" s="152"/>
      <c r="X160" s="158">
        <f t="shared" si="23"/>
        <v>0</v>
      </c>
      <c r="Y160" s="232">
        <f t="shared" si="24"/>
        <v>0</v>
      </c>
      <c r="Z160" s="157"/>
      <c r="AA160" s="326"/>
    </row>
    <row r="161" spans="1:27" ht="24" hidden="1" customHeight="1" x14ac:dyDescent="0.2">
      <c r="A161" s="79">
        <v>8</v>
      </c>
      <c r="B161" s="459" t="s">
        <v>350</v>
      </c>
      <c r="C161" s="40" t="s">
        <v>354</v>
      </c>
      <c r="D161" s="645">
        <f>-3700</f>
        <v>-3700</v>
      </c>
      <c r="E161" s="645">
        <f>-721.5</f>
        <v>-721.5</v>
      </c>
      <c r="F161" s="564"/>
      <c r="G161" s="564"/>
      <c r="H161" s="564"/>
      <c r="I161" s="564"/>
      <c r="J161" s="564"/>
      <c r="K161" s="564"/>
      <c r="L161" s="564"/>
      <c r="M161" s="564"/>
      <c r="N161" s="564"/>
      <c r="O161" s="564"/>
      <c r="P161" s="564"/>
      <c r="Q161" s="564"/>
      <c r="R161" s="152">
        <f t="shared" si="26"/>
        <v>-4421.5</v>
      </c>
      <c r="S161" s="152"/>
      <c r="T161" s="157"/>
      <c r="U161" s="157"/>
      <c r="W161" s="152"/>
      <c r="X161" s="158">
        <f t="shared" si="23"/>
        <v>0</v>
      </c>
      <c r="Y161" s="232">
        <f t="shared" si="24"/>
        <v>-4421.5</v>
      </c>
      <c r="Z161" s="157">
        <f>4421.5</f>
        <v>4421.5</v>
      </c>
      <c r="AA161" s="326"/>
    </row>
    <row r="162" spans="1:27" ht="24" hidden="1" customHeight="1" x14ac:dyDescent="0.2">
      <c r="A162" s="79">
        <v>9</v>
      </c>
      <c r="B162" s="459" t="s">
        <v>351</v>
      </c>
      <c r="C162" s="40" t="s">
        <v>352</v>
      </c>
      <c r="D162" s="645">
        <f>-1500</f>
        <v>-1500</v>
      </c>
      <c r="E162" s="645">
        <f>-292.5</f>
        <v>-292.5</v>
      </c>
      <c r="F162" s="564"/>
      <c r="G162" s="564"/>
      <c r="H162" s="564"/>
      <c r="I162" s="564"/>
      <c r="J162" s="564"/>
      <c r="K162" s="564"/>
      <c r="L162" s="564"/>
      <c r="M162" s="564"/>
      <c r="N162" s="564"/>
      <c r="O162" s="564"/>
      <c r="P162" s="564"/>
      <c r="Q162" s="564"/>
      <c r="R162" s="152">
        <f t="shared" si="26"/>
        <v>-1792.5</v>
      </c>
      <c r="S162" s="152"/>
      <c r="T162" s="157"/>
      <c r="U162" s="157"/>
      <c r="W162" s="152"/>
      <c r="X162" s="158">
        <f t="shared" si="23"/>
        <v>0</v>
      </c>
      <c r="Y162" s="232">
        <f t="shared" si="24"/>
        <v>-1792.5</v>
      </c>
      <c r="Z162" s="157">
        <f>1792.5</f>
        <v>1792.5</v>
      </c>
      <c r="AA162" s="326"/>
    </row>
    <row r="163" spans="1:27" ht="24" hidden="1" customHeight="1" x14ac:dyDescent="0.2">
      <c r="A163" s="79">
        <v>10</v>
      </c>
      <c r="B163" s="459" t="s">
        <v>353</v>
      </c>
      <c r="C163" s="40" t="s">
        <v>355</v>
      </c>
      <c r="D163" s="645">
        <f>-4000</f>
        <v>-4000</v>
      </c>
      <c r="E163" s="645">
        <f>-780</f>
        <v>-780</v>
      </c>
      <c r="F163" s="564"/>
      <c r="G163" s="564"/>
      <c r="H163" s="564"/>
      <c r="I163" s="564"/>
      <c r="J163" s="564"/>
      <c r="K163" s="564"/>
      <c r="L163" s="564"/>
      <c r="M163" s="564"/>
      <c r="N163" s="564"/>
      <c r="O163" s="564"/>
      <c r="P163" s="564"/>
      <c r="Q163" s="564"/>
      <c r="R163" s="152">
        <f t="shared" si="26"/>
        <v>-4780</v>
      </c>
      <c r="S163" s="152"/>
      <c r="T163" s="157"/>
      <c r="U163" s="157"/>
      <c r="W163" s="152"/>
      <c r="X163" s="158">
        <f t="shared" si="23"/>
        <v>0</v>
      </c>
      <c r="Y163" s="232">
        <f t="shared" si="24"/>
        <v>-4780</v>
      </c>
      <c r="Z163" s="157">
        <f>4780</f>
        <v>4780</v>
      </c>
      <c r="AA163" s="326"/>
    </row>
    <row r="164" spans="1:27" ht="24" hidden="1" customHeight="1" x14ac:dyDescent="0.2">
      <c r="A164" s="79">
        <v>11</v>
      </c>
      <c r="B164" s="459" t="s">
        <v>353</v>
      </c>
      <c r="C164" s="40" t="s">
        <v>356</v>
      </c>
      <c r="D164" s="645">
        <f>-200</f>
        <v>-200</v>
      </c>
      <c r="E164" s="645">
        <f>-39</f>
        <v>-39</v>
      </c>
      <c r="F164" s="564"/>
      <c r="G164" s="564"/>
      <c r="H164" s="564"/>
      <c r="I164" s="564"/>
      <c r="J164" s="564"/>
      <c r="K164" s="564"/>
      <c r="L164" s="564"/>
      <c r="M164" s="564"/>
      <c r="N164" s="564"/>
      <c r="O164" s="564"/>
      <c r="P164" s="564"/>
      <c r="Q164" s="564"/>
      <c r="R164" s="152">
        <f t="shared" si="26"/>
        <v>-239</v>
      </c>
      <c r="S164" s="152"/>
      <c r="T164" s="157"/>
      <c r="U164" s="157"/>
      <c r="W164" s="152"/>
      <c r="X164" s="158">
        <f t="shared" si="23"/>
        <v>0</v>
      </c>
      <c r="Y164" s="232">
        <f t="shared" si="24"/>
        <v>-239</v>
      </c>
      <c r="Z164" s="157">
        <f>239</f>
        <v>239</v>
      </c>
      <c r="AA164" s="326"/>
    </row>
    <row r="165" spans="1:27" ht="24" hidden="1" customHeight="1" x14ac:dyDescent="0.2">
      <c r="A165" s="79">
        <v>12</v>
      </c>
      <c r="B165" s="459" t="s">
        <v>357</v>
      </c>
      <c r="C165" s="40" t="s">
        <v>358</v>
      </c>
      <c r="D165" s="645"/>
      <c r="E165" s="645"/>
      <c r="F165" s="564"/>
      <c r="G165" s="564"/>
      <c r="H165" s="564"/>
      <c r="I165" s="564"/>
      <c r="J165" s="564">
        <f>-1640-2000</f>
        <v>-3640</v>
      </c>
      <c r="K165" s="564"/>
      <c r="L165" s="564"/>
      <c r="M165" s="564"/>
      <c r="N165" s="564"/>
      <c r="O165" s="564"/>
      <c r="P165" s="564"/>
      <c r="Q165" s="564"/>
      <c r="R165" s="152">
        <f t="shared" si="26"/>
        <v>-3640</v>
      </c>
      <c r="S165" s="152"/>
      <c r="T165" s="157"/>
      <c r="U165" s="157"/>
      <c r="W165" s="152"/>
      <c r="X165" s="158">
        <f t="shared" si="23"/>
        <v>0</v>
      </c>
      <c r="Y165" s="232">
        <f t="shared" si="24"/>
        <v>-3640</v>
      </c>
      <c r="Z165" s="157">
        <f>3640</f>
        <v>3640</v>
      </c>
      <c r="AA165" s="326"/>
    </row>
    <row r="166" spans="1:27" ht="24" hidden="1" customHeight="1" x14ac:dyDescent="0.2">
      <c r="A166" s="79">
        <v>13</v>
      </c>
      <c r="B166" s="459" t="s">
        <v>359</v>
      </c>
      <c r="C166" s="40" t="s">
        <v>360</v>
      </c>
      <c r="D166" s="645"/>
      <c r="E166" s="645"/>
      <c r="F166" s="564"/>
      <c r="G166" s="564"/>
      <c r="H166" s="564"/>
      <c r="I166" s="564"/>
      <c r="J166" s="564"/>
      <c r="K166" s="564"/>
      <c r="L166" s="564"/>
      <c r="M166" s="564"/>
      <c r="N166" s="564"/>
      <c r="O166" s="564"/>
      <c r="P166" s="564"/>
      <c r="Q166" s="564"/>
      <c r="R166" s="152">
        <f t="shared" si="26"/>
        <v>0</v>
      </c>
      <c r="S166" s="152"/>
      <c r="T166" s="157"/>
      <c r="U166" s="157"/>
      <c r="W166" s="152"/>
      <c r="X166" s="158">
        <f t="shared" si="23"/>
        <v>0</v>
      </c>
      <c r="Y166" s="232">
        <f t="shared" si="24"/>
        <v>0</v>
      </c>
      <c r="Z166" s="157">
        <v>3253.7469999999998</v>
      </c>
      <c r="AA166" s="326"/>
    </row>
    <row r="167" spans="1:27" ht="24" hidden="1" customHeight="1" x14ac:dyDescent="0.2">
      <c r="A167" s="79">
        <v>14</v>
      </c>
      <c r="B167" s="459" t="s">
        <v>359</v>
      </c>
      <c r="C167" s="40" t="s">
        <v>361</v>
      </c>
      <c r="D167" s="645"/>
      <c r="E167" s="645"/>
      <c r="F167" s="564"/>
      <c r="G167" s="564"/>
      <c r="H167" s="564"/>
      <c r="I167" s="564"/>
      <c r="J167" s="564"/>
      <c r="K167" s="564"/>
      <c r="L167" s="564"/>
      <c r="M167" s="564"/>
      <c r="N167" s="564"/>
      <c r="O167" s="564"/>
      <c r="P167" s="564"/>
      <c r="Q167" s="564"/>
      <c r="R167" s="152">
        <f t="shared" si="26"/>
        <v>0</v>
      </c>
      <c r="S167" s="152"/>
      <c r="T167" s="157"/>
      <c r="U167" s="157"/>
      <c r="W167" s="152"/>
      <c r="X167" s="158">
        <f t="shared" si="23"/>
        <v>0</v>
      </c>
      <c r="Y167" s="232">
        <f t="shared" si="24"/>
        <v>0</v>
      </c>
      <c r="Z167" s="157">
        <f>3978.286</f>
        <v>3978.2860000000001</v>
      </c>
      <c r="AA167" s="326"/>
    </row>
    <row r="168" spans="1:27" ht="24" hidden="1" customHeight="1" x14ac:dyDescent="0.2">
      <c r="A168" s="79">
        <v>15</v>
      </c>
      <c r="B168" s="459" t="s">
        <v>359</v>
      </c>
      <c r="C168" s="40" t="s">
        <v>371</v>
      </c>
      <c r="D168" s="645"/>
      <c r="E168" s="645"/>
      <c r="F168" s="564"/>
      <c r="G168" s="564"/>
      <c r="H168" s="564"/>
      <c r="I168" s="564"/>
      <c r="J168" s="564"/>
      <c r="K168" s="564"/>
      <c r="L168" s="564"/>
      <c r="M168" s="564"/>
      <c r="N168" s="564"/>
      <c r="O168" s="564"/>
      <c r="P168" s="564"/>
      <c r="Q168" s="564"/>
      <c r="R168" s="152">
        <f t="shared" si="26"/>
        <v>0</v>
      </c>
      <c r="S168" s="152"/>
      <c r="T168" s="157"/>
      <c r="U168" s="157"/>
      <c r="W168" s="152"/>
      <c r="X168" s="158">
        <f t="shared" ref="X168" si="29">SUM(T168:W168)</f>
        <v>0</v>
      </c>
      <c r="Y168" s="232">
        <f t="shared" ref="Y168" si="30">R168+X168</f>
        <v>0</v>
      </c>
      <c r="Z168" s="157">
        <f>620.085</f>
        <v>620.08500000000004</v>
      </c>
      <c r="AA168" s="326"/>
    </row>
    <row r="169" spans="1:27" ht="24" hidden="1" customHeight="1" x14ac:dyDescent="0.2">
      <c r="A169" s="79">
        <v>16</v>
      </c>
      <c r="B169" s="459" t="s">
        <v>343</v>
      </c>
      <c r="C169" s="40" t="s">
        <v>342</v>
      </c>
      <c r="D169" s="645"/>
      <c r="E169" s="645"/>
      <c r="F169" s="564"/>
      <c r="G169" s="564"/>
      <c r="H169" s="564"/>
      <c r="I169" s="564"/>
      <c r="J169" s="564"/>
      <c r="K169" s="564">
        <f>-88900</f>
        <v>-88900</v>
      </c>
      <c r="L169" s="564">
        <f>70000+18900</f>
        <v>88900</v>
      </c>
      <c r="M169" s="564"/>
      <c r="N169" s="564"/>
      <c r="O169" s="564"/>
      <c r="P169" s="564"/>
      <c r="Q169" s="564"/>
      <c r="R169" s="152">
        <f t="shared" si="26"/>
        <v>0</v>
      </c>
      <c r="S169" s="152"/>
      <c r="T169" s="157"/>
      <c r="U169" s="157"/>
      <c r="W169" s="152"/>
      <c r="X169" s="158">
        <f t="shared" si="23"/>
        <v>0</v>
      </c>
      <c r="Y169" s="232">
        <f t="shared" si="24"/>
        <v>0</v>
      </c>
      <c r="Z169" s="157"/>
      <c r="AA169" s="326"/>
    </row>
    <row r="170" spans="1:27" ht="24" hidden="1" customHeight="1" x14ac:dyDescent="0.2">
      <c r="A170" s="79">
        <v>17</v>
      </c>
      <c r="B170" s="459" t="s">
        <v>344</v>
      </c>
      <c r="C170" s="40" t="s">
        <v>345</v>
      </c>
      <c r="D170" s="645"/>
      <c r="E170" s="645"/>
      <c r="F170" s="564">
        <f>90000+24300</f>
        <v>114300</v>
      </c>
      <c r="G170" s="564"/>
      <c r="H170" s="564"/>
      <c r="I170" s="564"/>
      <c r="J170" s="564"/>
      <c r="K170" s="564">
        <f>-166700</f>
        <v>-166700</v>
      </c>
      <c r="L170" s="564">
        <f>41260+11140</f>
        <v>52400</v>
      </c>
      <c r="M170" s="564"/>
      <c r="N170" s="564"/>
      <c r="O170" s="564"/>
      <c r="P170" s="564"/>
      <c r="Q170" s="564"/>
      <c r="R170" s="152">
        <f t="shared" si="26"/>
        <v>0</v>
      </c>
      <c r="S170" s="152"/>
      <c r="T170" s="157"/>
      <c r="U170" s="157"/>
      <c r="W170" s="152"/>
      <c r="X170" s="158">
        <f t="shared" si="23"/>
        <v>0</v>
      </c>
      <c r="Y170" s="232">
        <f t="shared" si="24"/>
        <v>0</v>
      </c>
      <c r="Z170" s="157"/>
      <c r="AA170" s="326"/>
    </row>
    <row r="171" spans="1:27" ht="24" hidden="1" customHeight="1" x14ac:dyDescent="0.2">
      <c r="A171" s="79">
        <v>18</v>
      </c>
      <c r="B171" s="459" t="s">
        <v>346</v>
      </c>
      <c r="C171" s="28" t="s">
        <v>234</v>
      </c>
      <c r="D171" s="645"/>
      <c r="E171" s="645"/>
      <c r="F171" s="564">
        <f>216</f>
        <v>216</v>
      </c>
      <c r="G171" s="564"/>
      <c r="H171" s="564"/>
      <c r="I171" s="564"/>
      <c r="J171" s="564"/>
      <c r="K171" s="564">
        <f>800</f>
        <v>800</v>
      </c>
      <c r="L171" s="564"/>
      <c r="M171" s="564"/>
      <c r="N171" s="564"/>
      <c r="O171" s="564"/>
      <c r="P171" s="564"/>
      <c r="Q171" s="564"/>
      <c r="R171" s="152">
        <f t="shared" si="26"/>
        <v>1016</v>
      </c>
      <c r="S171" s="152"/>
      <c r="T171" s="157"/>
      <c r="U171" s="157"/>
      <c r="W171" s="152"/>
      <c r="X171" s="158">
        <f t="shared" si="23"/>
        <v>0</v>
      </c>
      <c r="Y171" s="232">
        <f t="shared" si="24"/>
        <v>1016</v>
      </c>
      <c r="Z171" s="157"/>
      <c r="AA171" s="326"/>
    </row>
    <row r="172" spans="1:27" ht="24" hidden="1" customHeight="1" x14ac:dyDescent="0.2">
      <c r="A172" s="79">
        <v>19</v>
      </c>
      <c r="B172" s="459" t="s">
        <v>362</v>
      </c>
      <c r="C172" s="40" t="s">
        <v>363</v>
      </c>
      <c r="D172" s="645"/>
      <c r="E172" s="645"/>
      <c r="F172" s="564"/>
      <c r="G172" s="564"/>
      <c r="H172" s="564"/>
      <c r="I172" s="564"/>
      <c r="J172" s="564"/>
      <c r="K172" s="564"/>
      <c r="L172" s="564"/>
      <c r="M172" s="564"/>
      <c r="N172" s="564"/>
      <c r="O172" s="564"/>
      <c r="P172" s="564"/>
      <c r="Q172" s="564"/>
      <c r="R172" s="152">
        <f t="shared" si="26"/>
        <v>0</v>
      </c>
      <c r="S172" s="152"/>
      <c r="T172" s="157"/>
      <c r="U172" s="157"/>
      <c r="W172" s="152"/>
      <c r="X172" s="158">
        <f t="shared" ref="X172" si="31">SUM(T172:W172)</f>
        <v>0</v>
      </c>
      <c r="Y172" s="232">
        <f t="shared" ref="Y172" si="32">R172+X172</f>
        <v>0</v>
      </c>
      <c r="Z172" s="157">
        <f>23531.8</f>
        <v>23531.8</v>
      </c>
      <c r="AA172" s="326"/>
    </row>
    <row r="173" spans="1:27" ht="24" hidden="1" customHeight="1" x14ac:dyDescent="0.2">
      <c r="A173" s="79">
        <v>20</v>
      </c>
      <c r="B173" s="459" t="s">
        <v>347</v>
      </c>
      <c r="C173" s="40" t="s">
        <v>348</v>
      </c>
      <c r="D173" s="645"/>
      <c r="E173" s="645"/>
      <c r="F173" s="564">
        <f>-709-191</f>
        <v>-900</v>
      </c>
      <c r="G173" s="564"/>
      <c r="H173" s="564"/>
      <c r="I173" s="564">
        <f>900</f>
        <v>900</v>
      </c>
      <c r="J173" s="564"/>
      <c r="K173" s="564"/>
      <c r="L173" s="564"/>
      <c r="M173" s="564"/>
      <c r="N173" s="564"/>
      <c r="O173" s="564"/>
      <c r="P173" s="564"/>
      <c r="Q173" s="564"/>
      <c r="R173" s="152">
        <f t="shared" si="26"/>
        <v>0</v>
      </c>
      <c r="S173" s="152"/>
      <c r="T173" s="157"/>
      <c r="U173" s="157"/>
      <c r="W173" s="152"/>
      <c r="X173" s="158">
        <f t="shared" si="23"/>
        <v>0</v>
      </c>
      <c r="Y173" s="232">
        <f t="shared" si="24"/>
        <v>0</v>
      </c>
      <c r="Z173" s="157"/>
      <c r="AA173" s="326"/>
    </row>
    <row r="174" spans="1:27" ht="24" hidden="1" customHeight="1" x14ac:dyDescent="0.2">
      <c r="A174" s="79">
        <v>21</v>
      </c>
      <c r="B174" s="459" t="s">
        <v>364</v>
      </c>
      <c r="C174" s="40" t="s">
        <v>365</v>
      </c>
      <c r="D174" s="645"/>
      <c r="E174" s="645"/>
      <c r="F174" s="564">
        <f>-795</f>
        <v>-795</v>
      </c>
      <c r="G174" s="564"/>
      <c r="H174" s="564"/>
      <c r="I174" s="564"/>
      <c r="J174" s="564"/>
      <c r="K174" s="564"/>
      <c r="L174" s="564"/>
      <c r="M174" s="564"/>
      <c r="N174" s="564"/>
      <c r="O174" s="564"/>
      <c r="P174" s="564"/>
      <c r="Q174" s="564"/>
      <c r="R174" s="152">
        <f t="shared" si="26"/>
        <v>-795</v>
      </c>
      <c r="S174" s="152"/>
      <c r="T174" s="157"/>
      <c r="U174" s="157"/>
      <c r="W174" s="152"/>
      <c r="X174" s="158">
        <f t="shared" si="23"/>
        <v>0</v>
      </c>
      <c r="Y174" s="232">
        <f t="shared" si="24"/>
        <v>-795</v>
      </c>
      <c r="Z174" s="157">
        <f>795</f>
        <v>795</v>
      </c>
      <c r="AA174" s="326"/>
    </row>
    <row r="175" spans="1:27" ht="24" hidden="1" customHeight="1" x14ac:dyDescent="0.2">
      <c r="A175" s="79">
        <v>22</v>
      </c>
      <c r="B175" s="459" t="s">
        <v>376</v>
      </c>
      <c r="C175" s="40" t="s">
        <v>375</v>
      </c>
      <c r="D175" s="645"/>
      <c r="E175" s="645"/>
      <c r="F175" s="564"/>
      <c r="G175" s="564"/>
      <c r="H175" s="564"/>
      <c r="I175" s="564"/>
      <c r="J175" s="564"/>
      <c r="K175" s="564">
        <f>6478.459</f>
        <v>6478.4589999999998</v>
      </c>
      <c r="L175" s="564"/>
      <c r="M175" s="564"/>
      <c r="N175" s="564"/>
      <c r="O175" s="564"/>
      <c r="P175" s="564"/>
      <c r="Q175" s="564"/>
      <c r="R175" s="152">
        <f t="shared" si="26"/>
        <v>6478.4589999999998</v>
      </c>
      <c r="S175" s="152"/>
      <c r="T175" s="157"/>
      <c r="U175" s="157"/>
      <c r="W175" s="152"/>
      <c r="X175" s="158">
        <f t="shared" ref="X175" si="33">SUM(T175:W175)</f>
        <v>0</v>
      </c>
      <c r="Y175" s="232">
        <f t="shared" ref="Y175" si="34">R175+X175</f>
        <v>6478.4589999999998</v>
      </c>
      <c r="Z175" s="157"/>
      <c r="AA175" s="326"/>
    </row>
    <row r="176" spans="1:27" ht="24" hidden="1" customHeight="1" x14ac:dyDescent="0.2">
      <c r="A176" s="79">
        <v>23</v>
      </c>
      <c r="B176" s="459" t="s">
        <v>372</v>
      </c>
      <c r="C176" s="40" t="s">
        <v>373</v>
      </c>
      <c r="D176" s="645"/>
      <c r="E176" s="645"/>
      <c r="F176" s="564"/>
      <c r="G176" s="564"/>
      <c r="H176" s="564"/>
      <c r="I176" s="564"/>
      <c r="J176" s="564"/>
      <c r="K176" s="564">
        <f>-4620</f>
        <v>-4620</v>
      </c>
      <c r="L176" s="564"/>
      <c r="M176" s="564"/>
      <c r="N176" s="564"/>
      <c r="O176" s="564"/>
      <c r="P176" s="564"/>
      <c r="Q176" s="564"/>
      <c r="R176" s="152">
        <f t="shared" si="26"/>
        <v>-4620</v>
      </c>
      <c r="S176" s="152"/>
      <c r="T176" s="157"/>
      <c r="U176" s="157"/>
      <c r="W176" s="152"/>
      <c r="X176" s="158">
        <f t="shared" si="23"/>
        <v>0</v>
      </c>
      <c r="Y176" s="232">
        <f t="shared" si="24"/>
        <v>-4620</v>
      </c>
      <c r="Z176" s="157">
        <f>4620</f>
        <v>4620</v>
      </c>
      <c r="AA176" s="326"/>
    </row>
    <row r="177" spans="1:27" ht="24" hidden="1" customHeight="1" x14ac:dyDescent="0.2">
      <c r="A177" s="79">
        <v>24</v>
      </c>
      <c r="B177" s="459" t="s">
        <v>378</v>
      </c>
      <c r="C177" s="40" t="s">
        <v>377</v>
      </c>
      <c r="D177" s="645"/>
      <c r="E177" s="645"/>
      <c r="F177" s="564"/>
      <c r="G177" s="564"/>
      <c r="H177" s="564"/>
      <c r="I177" s="564"/>
      <c r="J177" s="564"/>
      <c r="K177" s="564">
        <f>3916</f>
        <v>3916</v>
      </c>
      <c r="L177" s="564"/>
      <c r="M177" s="564"/>
      <c r="N177" s="564"/>
      <c r="O177" s="564"/>
      <c r="P177" s="564"/>
      <c r="Q177" s="564"/>
      <c r="R177" s="152">
        <f t="shared" si="26"/>
        <v>3916</v>
      </c>
      <c r="S177" s="152"/>
      <c r="T177" s="157"/>
      <c r="U177" s="157"/>
      <c r="W177" s="152"/>
      <c r="X177" s="158">
        <f t="shared" si="23"/>
        <v>0</v>
      </c>
      <c r="Y177" s="232">
        <f t="shared" si="24"/>
        <v>3916</v>
      </c>
      <c r="Z177" s="157"/>
      <c r="AA177" s="326"/>
    </row>
    <row r="178" spans="1:27" ht="24" hidden="1" customHeight="1" x14ac:dyDescent="0.2">
      <c r="A178" s="79">
        <v>25</v>
      </c>
      <c r="B178" s="459" t="s">
        <v>379</v>
      </c>
      <c r="C178" s="40" t="s">
        <v>380</v>
      </c>
      <c r="D178" s="645"/>
      <c r="E178" s="645"/>
      <c r="F178" s="564"/>
      <c r="G178" s="564"/>
      <c r="H178" s="564"/>
      <c r="I178" s="564">
        <f>9152</f>
        <v>9152</v>
      </c>
      <c r="J178" s="564"/>
      <c r="K178" s="564">
        <f>-9152</f>
        <v>-9152</v>
      </c>
      <c r="L178" s="564"/>
      <c r="M178" s="564"/>
      <c r="N178" s="564"/>
      <c r="O178" s="564"/>
      <c r="P178" s="564"/>
      <c r="Q178" s="564"/>
      <c r="R178" s="152">
        <f t="shared" si="26"/>
        <v>0</v>
      </c>
      <c r="S178" s="152"/>
      <c r="T178" s="157"/>
      <c r="U178" s="157"/>
      <c r="W178" s="152"/>
      <c r="X178" s="158">
        <f t="shared" si="23"/>
        <v>0</v>
      </c>
      <c r="Y178" s="232">
        <f t="shared" si="24"/>
        <v>0</v>
      </c>
      <c r="Z178" s="157"/>
      <c r="AA178" s="326"/>
    </row>
    <row r="179" spans="1:27" ht="24" hidden="1" customHeight="1" x14ac:dyDescent="0.2">
      <c r="A179" s="79">
        <v>26</v>
      </c>
      <c r="B179" s="459" t="s">
        <v>381</v>
      </c>
      <c r="C179" s="40" t="s">
        <v>382</v>
      </c>
      <c r="D179" s="645">
        <f>-1250</f>
        <v>-1250</v>
      </c>
      <c r="E179" s="645">
        <f>-46</f>
        <v>-46</v>
      </c>
      <c r="F179" s="564">
        <f>1250+46</f>
        <v>1296</v>
      </c>
      <c r="G179" s="564"/>
      <c r="H179" s="564"/>
      <c r="I179" s="564"/>
      <c r="J179" s="564"/>
      <c r="K179" s="564"/>
      <c r="L179" s="564"/>
      <c r="M179" s="564"/>
      <c r="N179" s="564"/>
      <c r="O179" s="564"/>
      <c r="P179" s="564"/>
      <c r="Q179" s="564"/>
      <c r="R179" s="152">
        <f t="shared" si="26"/>
        <v>0</v>
      </c>
      <c r="S179" s="152"/>
      <c r="T179" s="157"/>
      <c r="U179" s="157"/>
      <c r="W179" s="152"/>
      <c r="X179" s="158">
        <f t="shared" si="23"/>
        <v>0</v>
      </c>
      <c r="Y179" s="232">
        <f t="shared" si="24"/>
        <v>0</v>
      </c>
      <c r="Z179" s="157"/>
      <c r="AA179" s="326"/>
    </row>
    <row r="180" spans="1:27" ht="24" hidden="1" customHeight="1" x14ac:dyDescent="0.2">
      <c r="A180" s="79">
        <v>27</v>
      </c>
      <c r="B180" s="459" t="s">
        <v>384</v>
      </c>
      <c r="C180" s="40" t="s">
        <v>383</v>
      </c>
      <c r="D180" s="645"/>
      <c r="E180" s="645"/>
      <c r="F180" s="564">
        <f>1600+432</f>
        <v>2032</v>
      </c>
      <c r="G180" s="564"/>
      <c r="H180" s="564"/>
      <c r="I180" s="564"/>
      <c r="J180" s="564"/>
      <c r="K180" s="564"/>
      <c r="L180" s="564"/>
      <c r="M180" s="564"/>
      <c r="N180" s="564"/>
      <c r="O180" s="564"/>
      <c r="P180" s="564"/>
      <c r="Q180" s="564"/>
      <c r="R180" s="152">
        <f t="shared" si="26"/>
        <v>2032</v>
      </c>
      <c r="S180" s="152"/>
      <c r="T180" s="157"/>
      <c r="U180" s="157"/>
      <c r="W180" s="152"/>
      <c r="X180" s="158">
        <f t="shared" si="23"/>
        <v>0</v>
      </c>
      <c r="Y180" s="232">
        <f t="shared" si="24"/>
        <v>2032</v>
      </c>
      <c r="Z180" s="157"/>
      <c r="AA180" s="326"/>
    </row>
    <row r="181" spans="1:27" ht="24" hidden="1" customHeight="1" x14ac:dyDescent="0.2">
      <c r="A181" s="79">
        <v>28</v>
      </c>
      <c r="B181" s="648" t="s">
        <v>385</v>
      </c>
      <c r="C181" s="40" t="s">
        <v>386</v>
      </c>
      <c r="D181" s="645"/>
      <c r="E181" s="645"/>
      <c r="F181" s="564">
        <f>-754.139</f>
        <v>-754.13900000000001</v>
      </c>
      <c r="G181" s="564"/>
      <c r="H181" s="564"/>
      <c r="I181" s="564"/>
      <c r="J181" s="564"/>
      <c r="K181" s="564"/>
      <c r="L181" s="564"/>
      <c r="M181" s="564"/>
      <c r="N181" s="564"/>
      <c r="O181" s="564"/>
      <c r="P181" s="564"/>
      <c r="Q181" s="564"/>
      <c r="R181" s="152">
        <f t="shared" si="26"/>
        <v>-754.13900000000001</v>
      </c>
      <c r="S181" s="152"/>
      <c r="T181" s="157"/>
      <c r="U181" s="157"/>
      <c r="W181" s="152"/>
      <c r="X181" s="158">
        <f t="shared" si="23"/>
        <v>0</v>
      </c>
      <c r="Y181" s="232">
        <f t="shared" si="24"/>
        <v>-754.13900000000001</v>
      </c>
      <c r="Z181" s="157">
        <f>754.139</f>
        <v>754.13900000000001</v>
      </c>
      <c r="AA181" s="326"/>
    </row>
    <row r="182" spans="1:27" ht="24" hidden="1" customHeight="1" x14ac:dyDescent="0.2">
      <c r="A182" s="79">
        <v>29</v>
      </c>
      <c r="B182" s="459" t="s">
        <v>401</v>
      </c>
      <c r="C182" s="40" t="s">
        <v>409</v>
      </c>
      <c r="D182" s="645">
        <f>-100</f>
        <v>-100</v>
      </c>
      <c r="E182" s="645">
        <f>-19.5</f>
        <v>-19.5</v>
      </c>
      <c r="F182" s="564"/>
      <c r="G182" s="564"/>
      <c r="H182" s="564"/>
      <c r="I182" s="564"/>
      <c r="J182" s="564"/>
      <c r="K182" s="564"/>
      <c r="L182" s="564"/>
      <c r="M182" s="564"/>
      <c r="N182" s="564"/>
      <c r="O182" s="564"/>
      <c r="P182" s="564"/>
      <c r="Q182" s="564"/>
      <c r="R182" s="152">
        <f t="shared" si="26"/>
        <v>-119.5</v>
      </c>
      <c r="S182" s="152"/>
      <c r="T182" s="157"/>
      <c r="U182" s="157"/>
      <c r="W182" s="152"/>
      <c r="X182" s="158">
        <f t="shared" si="23"/>
        <v>0</v>
      </c>
      <c r="Y182" s="232">
        <f t="shared" si="24"/>
        <v>-119.5</v>
      </c>
      <c r="Z182" s="157">
        <f>119.5</f>
        <v>119.5</v>
      </c>
      <c r="AA182" s="326"/>
    </row>
    <row r="183" spans="1:27" ht="24" hidden="1" customHeight="1" x14ac:dyDescent="0.2">
      <c r="A183" s="79">
        <v>30</v>
      </c>
      <c r="B183" s="459" t="s">
        <v>402</v>
      </c>
      <c r="C183" s="40" t="s">
        <v>410</v>
      </c>
      <c r="D183" s="645"/>
      <c r="E183" s="645"/>
      <c r="F183" s="564">
        <f>-381-152.4-958.275-550-640</f>
        <v>-2681.6750000000002</v>
      </c>
      <c r="G183" s="564"/>
      <c r="H183" s="564"/>
      <c r="I183" s="564"/>
      <c r="J183" s="564"/>
      <c r="K183" s="564"/>
      <c r="L183" s="564"/>
      <c r="M183" s="564"/>
      <c r="N183" s="564"/>
      <c r="O183" s="564"/>
      <c r="P183" s="564"/>
      <c r="Q183" s="564"/>
      <c r="R183" s="152">
        <f t="shared" si="26"/>
        <v>-2681.6750000000002</v>
      </c>
      <c r="S183" s="152"/>
      <c r="T183" s="157"/>
      <c r="U183" s="157"/>
      <c r="W183" s="152"/>
      <c r="X183" s="158">
        <f t="shared" si="23"/>
        <v>0</v>
      </c>
      <c r="Y183" s="232">
        <f t="shared" si="24"/>
        <v>-2681.6750000000002</v>
      </c>
      <c r="Z183" s="157">
        <f>2681.675</f>
        <v>2681.6750000000002</v>
      </c>
      <c r="AA183" s="326"/>
    </row>
    <row r="184" spans="1:27" ht="24" hidden="1" customHeight="1" x14ac:dyDescent="0.2">
      <c r="A184" s="79">
        <v>31</v>
      </c>
      <c r="B184" s="457" t="s">
        <v>387</v>
      </c>
      <c r="C184" s="28" t="s">
        <v>388</v>
      </c>
      <c r="D184" s="564"/>
      <c r="E184" s="564"/>
      <c r="F184" s="564"/>
      <c r="G184" s="564"/>
      <c r="H184" s="564"/>
      <c r="I184" s="564"/>
      <c r="J184" s="564"/>
      <c r="K184" s="564">
        <f>-18969</f>
        <v>-18969</v>
      </c>
      <c r="L184" s="564"/>
      <c r="M184" s="564"/>
      <c r="N184" s="564"/>
      <c r="O184" s="564"/>
      <c r="P184" s="564"/>
      <c r="Q184" s="564"/>
      <c r="R184" s="152">
        <f t="shared" si="26"/>
        <v>-18969</v>
      </c>
      <c r="S184" s="152"/>
      <c r="T184" s="152"/>
      <c r="U184" s="152"/>
      <c r="W184" s="152"/>
      <c r="X184" s="158">
        <f t="shared" si="23"/>
        <v>0</v>
      </c>
      <c r="Y184" s="232">
        <f t="shared" si="24"/>
        <v>-18969</v>
      </c>
      <c r="Z184" s="152">
        <f>18969</f>
        <v>18969</v>
      </c>
      <c r="AA184" s="326"/>
    </row>
    <row r="185" spans="1:27" ht="31.5" hidden="1" customHeight="1" x14ac:dyDescent="0.2">
      <c r="A185" s="79">
        <v>32</v>
      </c>
      <c r="B185" s="457" t="s">
        <v>390</v>
      </c>
      <c r="C185" s="28" t="s">
        <v>400</v>
      </c>
      <c r="D185" s="564"/>
      <c r="E185" s="564"/>
      <c r="F185" s="564"/>
      <c r="G185" s="564"/>
      <c r="H185" s="564"/>
      <c r="I185" s="564"/>
      <c r="J185" s="564"/>
      <c r="K185" s="564"/>
      <c r="L185" s="564">
        <f>-191753-51773</f>
        <v>-243526</v>
      </c>
      <c r="M185" s="564"/>
      <c r="N185" s="564"/>
      <c r="O185" s="564"/>
      <c r="P185" s="564"/>
      <c r="Q185" s="564"/>
      <c r="R185" s="152">
        <f t="shared" si="26"/>
        <v>-243526</v>
      </c>
      <c r="S185" s="152"/>
      <c r="T185" s="152"/>
      <c r="U185" s="152"/>
      <c r="W185" s="152"/>
      <c r="X185" s="158">
        <f t="shared" si="23"/>
        <v>0</v>
      </c>
      <c r="Y185" s="232">
        <f t="shared" si="24"/>
        <v>-243526</v>
      </c>
      <c r="Z185" s="152"/>
      <c r="AA185" s="326"/>
    </row>
    <row r="186" spans="1:27" ht="31.5" hidden="1" customHeight="1" x14ac:dyDescent="0.2">
      <c r="A186" s="79">
        <v>33</v>
      </c>
      <c r="B186" s="457" t="s">
        <v>403</v>
      </c>
      <c r="C186" s="28" t="s">
        <v>404</v>
      </c>
      <c r="D186" s="564"/>
      <c r="E186" s="564"/>
      <c r="F186" s="564"/>
      <c r="G186" s="564"/>
      <c r="H186" s="564"/>
      <c r="I186" s="564"/>
      <c r="J186" s="564"/>
      <c r="K186" s="564">
        <f>-100141</f>
        <v>-100141</v>
      </c>
      <c r="L186" s="564"/>
      <c r="M186" s="564"/>
      <c r="N186" s="564"/>
      <c r="O186" s="564"/>
      <c r="P186" s="564"/>
      <c r="Q186" s="564"/>
      <c r="R186" s="152">
        <f t="shared" si="26"/>
        <v>-100141</v>
      </c>
      <c r="S186" s="152"/>
      <c r="T186" s="152"/>
      <c r="U186" s="152"/>
      <c r="W186" s="152"/>
      <c r="X186" s="158">
        <f t="shared" si="23"/>
        <v>0</v>
      </c>
      <c r="Y186" s="232">
        <f t="shared" si="24"/>
        <v>-100141</v>
      </c>
      <c r="Z186" s="152">
        <f>100141</f>
        <v>100141</v>
      </c>
      <c r="AA186" s="326"/>
    </row>
    <row r="187" spans="1:27" ht="24" hidden="1" customHeight="1" x14ac:dyDescent="0.2">
      <c r="A187" s="79">
        <v>34</v>
      </c>
      <c r="B187" s="457" t="s">
        <v>392</v>
      </c>
      <c r="C187" s="28" t="s">
        <v>393</v>
      </c>
      <c r="D187" s="564"/>
      <c r="E187" s="564"/>
      <c r="F187" s="564"/>
      <c r="G187" s="564"/>
      <c r="H187" s="564"/>
      <c r="I187" s="564"/>
      <c r="J187" s="564"/>
      <c r="K187" s="564">
        <f>-18415</f>
        <v>-18415</v>
      </c>
      <c r="L187" s="564"/>
      <c r="M187" s="564"/>
      <c r="N187" s="564"/>
      <c r="O187" s="564"/>
      <c r="P187" s="564"/>
      <c r="Q187" s="564"/>
      <c r="R187" s="152">
        <f t="shared" si="26"/>
        <v>-18415</v>
      </c>
      <c r="S187" s="152"/>
      <c r="T187" s="157"/>
      <c r="U187" s="157"/>
      <c r="W187" s="152"/>
      <c r="X187" s="158">
        <f t="shared" si="23"/>
        <v>0</v>
      </c>
      <c r="Y187" s="232">
        <f t="shared" si="24"/>
        <v>-18415</v>
      </c>
      <c r="Z187" s="157">
        <f>18415</f>
        <v>18415</v>
      </c>
      <c r="AA187" s="326"/>
    </row>
    <row r="188" spans="1:27" ht="24" hidden="1" customHeight="1" x14ac:dyDescent="0.2">
      <c r="A188" s="79">
        <v>35</v>
      </c>
      <c r="B188" s="457" t="s">
        <v>395</v>
      </c>
      <c r="C188" s="28" t="s">
        <v>396</v>
      </c>
      <c r="D188" s="564"/>
      <c r="E188" s="564"/>
      <c r="F188" s="564"/>
      <c r="G188" s="564"/>
      <c r="H188" s="564"/>
      <c r="I188" s="564"/>
      <c r="J188" s="564"/>
      <c r="K188" s="564">
        <f>-12447</f>
        <v>-12447</v>
      </c>
      <c r="L188" s="564"/>
      <c r="M188" s="564"/>
      <c r="N188" s="564"/>
      <c r="O188" s="564"/>
      <c r="P188" s="564"/>
      <c r="Q188" s="564"/>
      <c r="R188" s="152">
        <f t="shared" si="26"/>
        <v>-12447</v>
      </c>
      <c r="S188" s="152"/>
      <c r="T188" s="157"/>
      <c r="U188" s="157"/>
      <c r="W188" s="152"/>
      <c r="X188" s="158">
        <f>SUM(T188:W188)</f>
        <v>0</v>
      </c>
      <c r="Y188" s="232">
        <f>R188+X188</f>
        <v>-12447</v>
      </c>
      <c r="Z188" s="157">
        <f>12447</f>
        <v>12447</v>
      </c>
      <c r="AA188" s="326"/>
    </row>
    <row r="189" spans="1:27" ht="24" hidden="1" customHeight="1" x14ac:dyDescent="0.2">
      <c r="A189" s="79">
        <v>36</v>
      </c>
      <c r="B189" s="457" t="s">
        <v>405</v>
      </c>
      <c r="C189" s="40" t="s">
        <v>411</v>
      </c>
      <c r="D189" s="564"/>
      <c r="E189" s="564"/>
      <c r="F189" s="564">
        <f>-792</f>
        <v>-792</v>
      </c>
      <c r="G189" s="564"/>
      <c r="H189" s="564"/>
      <c r="I189" s="564"/>
      <c r="J189" s="564"/>
      <c r="K189" s="564"/>
      <c r="L189" s="564"/>
      <c r="M189" s="564"/>
      <c r="N189" s="564"/>
      <c r="O189" s="564"/>
      <c r="P189" s="564"/>
      <c r="Q189" s="564"/>
      <c r="R189" s="152">
        <f t="shared" si="26"/>
        <v>-792</v>
      </c>
      <c r="S189" s="152"/>
      <c r="T189" s="157"/>
      <c r="U189" s="157"/>
      <c r="W189" s="152"/>
      <c r="X189" s="158">
        <f>SUM(T189:W189)</f>
        <v>0</v>
      </c>
      <c r="Y189" s="232">
        <f>R189+X189</f>
        <v>-792</v>
      </c>
      <c r="Z189" s="157">
        <f>792</f>
        <v>792</v>
      </c>
      <c r="AA189" s="326"/>
    </row>
    <row r="190" spans="1:27" ht="24" hidden="1" customHeight="1" x14ac:dyDescent="0.2">
      <c r="A190" s="79">
        <v>37</v>
      </c>
      <c r="B190" s="457" t="s">
        <v>398</v>
      </c>
      <c r="C190" s="28" t="s">
        <v>399</v>
      </c>
      <c r="D190" s="564"/>
      <c r="E190" s="564"/>
      <c r="F190" s="564"/>
      <c r="G190" s="564"/>
      <c r="H190" s="564"/>
      <c r="I190" s="564"/>
      <c r="J190" s="564"/>
      <c r="K190" s="564">
        <f>-31750</f>
        <v>-31750</v>
      </c>
      <c r="L190" s="564">
        <f>25000+6750</f>
        <v>31750</v>
      </c>
      <c r="M190" s="564"/>
      <c r="N190" s="564"/>
      <c r="O190" s="564"/>
      <c r="P190" s="564"/>
      <c r="Q190" s="564"/>
      <c r="R190" s="152">
        <f t="shared" si="26"/>
        <v>0</v>
      </c>
      <c r="S190" s="152"/>
      <c r="T190" s="157"/>
      <c r="U190" s="157"/>
      <c r="W190" s="152"/>
      <c r="X190" s="158">
        <f t="shared" si="23"/>
        <v>0</v>
      </c>
      <c r="Y190" s="232">
        <f t="shared" si="24"/>
        <v>0</v>
      </c>
      <c r="Z190" s="157"/>
      <c r="AA190" s="326"/>
    </row>
    <row r="191" spans="1:27" ht="24" hidden="1" customHeight="1" x14ac:dyDescent="0.2">
      <c r="A191" s="79">
        <v>38</v>
      </c>
      <c r="B191" s="457" t="s">
        <v>406</v>
      </c>
      <c r="C191" s="28" t="s">
        <v>407</v>
      </c>
      <c r="D191" s="564">
        <f>-2207.4</f>
        <v>-2207.4</v>
      </c>
      <c r="E191" s="564">
        <f>-430.443</f>
        <v>-430.44299999999998</v>
      </c>
      <c r="F191" s="564"/>
      <c r="G191" s="564"/>
      <c r="H191" s="564"/>
      <c r="I191" s="564"/>
      <c r="J191" s="564"/>
      <c r="K191" s="564"/>
      <c r="L191" s="564"/>
      <c r="M191" s="564"/>
      <c r="N191" s="564"/>
      <c r="O191" s="564"/>
      <c r="P191" s="564"/>
      <c r="Q191" s="564"/>
      <c r="R191" s="152">
        <f t="shared" si="26"/>
        <v>-2637.8429999999998</v>
      </c>
      <c r="S191" s="152"/>
      <c r="T191" s="157"/>
      <c r="U191" s="157"/>
      <c r="W191" s="152"/>
      <c r="X191" s="158">
        <f t="shared" si="23"/>
        <v>0</v>
      </c>
      <c r="Y191" s="232">
        <f t="shared" si="24"/>
        <v>-2637.8429999999998</v>
      </c>
      <c r="Z191" s="157">
        <f>2637.843</f>
        <v>2637.8429999999998</v>
      </c>
      <c r="AA191" s="326"/>
    </row>
    <row r="192" spans="1:27" ht="24" hidden="1" customHeight="1" x14ac:dyDescent="0.2">
      <c r="A192" s="79">
        <v>39</v>
      </c>
      <c r="B192" s="457" t="s">
        <v>408</v>
      </c>
      <c r="C192" s="40" t="s">
        <v>409</v>
      </c>
      <c r="D192" s="564">
        <f>-3268.15</f>
        <v>-3268.15</v>
      </c>
      <c r="E192" s="564">
        <f>-637.289</f>
        <v>-637.28899999999999</v>
      </c>
      <c r="F192" s="564"/>
      <c r="G192" s="564"/>
      <c r="H192" s="564"/>
      <c r="I192" s="564"/>
      <c r="J192" s="564"/>
      <c r="K192" s="564"/>
      <c r="L192" s="564"/>
      <c r="M192" s="564"/>
      <c r="N192" s="564"/>
      <c r="O192" s="564"/>
      <c r="P192" s="564"/>
      <c r="Q192" s="564"/>
      <c r="R192" s="152">
        <f t="shared" si="26"/>
        <v>-3905.4390000000003</v>
      </c>
      <c r="S192" s="152"/>
      <c r="T192" s="152"/>
      <c r="U192" s="152"/>
      <c r="W192" s="152"/>
      <c r="X192" s="158">
        <f t="shared" si="23"/>
        <v>0</v>
      </c>
      <c r="Y192" s="232">
        <f t="shared" si="24"/>
        <v>-3905.4390000000003</v>
      </c>
      <c r="Z192" s="152">
        <f>3905.439</f>
        <v>3905.4389999999999</v>
      </c>
      <c r="AA192" s="326"/>
    </row>
    <row r="193" spans="1:27" ht="24" hidden="1" customHeight="1" x14ac:dyDescent="0.2">
      <c r="A193" s="79">
        <v>40</v>
      </c>
      <c r="B193" s="457" t="s">
        <v>412</v>
      </c>
      <c r="C193" s="28" t="s">
        <v>413</v>
      </c>
      <c r="D193" s="564"/>
      <c r="E193" s="564"/>
      <c r="F193" s="564"/>
      <c r="G193" s="564"/>
      <c r="H193" s="564"/>
      <c r="I193" s="564"/>
      <c r="J193" s="564"/>
      <c r="K193" s="564">
        <f>2010</f>
        <v>2010</v>
      </c>
      <c r="L193" s="564"/>
      <c r="M193" s="564"/>
      <c r="N193" s="564"/>
      <c r="O193" s="564"/>
      <c r="P193" s="564"/>
      <c r="Q193" s="564"/>
      <c r="R193" s="152">
        <f t="shared" si="26"/>
        <v>2010</v>
      </c>
      <c r="S193" s="152"/>
      <c r="T193" s="152"/>
      <c r="U193" s="152"/>
      <c r="W193" s="152"/>
      <c r="X193" s="158">
        <f t="shared" si="23"/>
        <v>0</v>
      </c>
      <c r="Y193" s="232">
        <f t="shared" si="24"/>
        <v>2010</v>
      </c>
      <c r="Z193" s="152">
        <f>-2010</f>
        <v>-2010</v>
      </c>
      <c r="AA193" s="326"/>
    </row>
    <row r="194" spans="1:27" ht="24" hidden="1" customHeight="1" x14ac:dyDescent="0.2">
      <c r="A194" s="79">
        <v>41</v>
      </c>
      <c r="B194" s="457" t="s">
        <v>415</v>
      </c>
      <c r="C194" s="28" t="s">
        <v>416</v>
      </c>
      <c r="D194" s="564"/>
      <c r="E194" s="564"/>
      <c r="F194" s="564">
        <f>-318</f>
        <v>-318</v>
      </c>
      <c r="G194" s="564"/>
      <c r="H194" s="564"/>
      <c r="I194" s="564"/>
      <c r="J194" s="564"/>
      <c r="K194" s="564"/>
      <c r="L194" s="564">
        <f>250+68</f>
        <v>318</v>
      </c>
      <c r="M194" s="564"/>
      <c r="N194" s="564"/>
      <c r="O194" s="564"/>
      <c r="P194" s="564"/>
      <c r="Q194" s="564"/>
      <c r="R194" s="152">
        <f t="shared" si="26"/>
        <v>0</v>
      </c>
      <c r="S194" s="152"/>
      <c r="T194" s="152"/>
      <c r="U194" s="152"/>
      <c r="W194" s="152"/>
      <c r="X194" s="158">
        <f t="shared" si="23"/>
        <v>0</v>
      </c>
      <c r="Y194" s="232">
        <f t="shared" si="24"/>
        <v>0</v>
      </c>
      <c r="Z194" s="152"/>
      <c r="AA194" s="326"/>
    </row>
    <row r="195" spans="1:27" ht="24" hidden="1" customHeight="1" x14ac:dyDescent="0.2">
      <c r="A195" s="79">
        <v>42</v>
      </c>
      <c r="B195" s="457" t="s">
        <v>418</v>
      </c>
      <c r="C195" s="28" t="s">
        <v>420</v>
      </c>
      <c r="D195" s="564"/>
      <c r="E195" s="564"/>
      <c r="F195" s="564">
        <f>4914</f>
        <v>4914</v>
      </c>
      <c r="G195" s="564"/>
      <c r="H195" s="564"/>
      <c r="I195" s="564"/>
      <c r="J195" s="564"/>
      <c r="K195" s="564"/>
      <c r="L195" s="564">
        <f>-4914</f>
        <v>-4914</v>
      </c>
      <c r="M195" s="564"/>
      <c r="N195" s="564"/>
      <c r="O195" s="564"/>
      <c r="P195" s="564"/>
      <c r="Q195" s="564"/>
      <c r="R195" s="152">
        <f t="shared" si="26"/>
        <v>0</v>
      </c>
      <c r="S195" s="152"/>
      <c r="T195" s="152"/>
      <c r="U195" s="152"/>
      <c r="W195" s="152"/>
      <c r="X195" s="158">
        <f t="shared" ref="X195" si="35">SUM(T195:W195)</f>
        <v>0</v>
      </c>
      <c r="Y195" s="232">
        <f t="shared" ref="Y195" si="36">R195+X195</f>
        <v>0</v>
      </c>
      <c r="Z195" s="152"/>
      <c r="AA195" s="326"/>
    </row>
    <row r="196" spans="1:27" ht="24" hidden="1" customHeight="1" x14ac:dyDescent="0.2">
      <c r="A196" s="79">
        <v>43</v>
      </c>
      <c r="B196" s="457" t="s">
        <v>417</v>
      </c>
      <c r="C196" s="28" t="s">
        <v>419</v>
      </c>
      <c r="D196" s="564"/>
      <c r="E196" s="564"/>
      <c r="F196" s="564"/>
      <c r="G196" s="564"/>
      <c r="H196" s="564"/>
      <c r="I196" s="564"/>
      <c r="J196" s="564">
        <f>200</f>
        <v>200</v>
      </c>
      <c r="K196" s="564">
        <f>-200</f>
        <v>-200</v>
      </c>
      <c r="L196" s="564"/>
      <c r="M196" s="564"/>
      <c r="N196" s="564"/>
      <c r="O196" s="564"/>
      <c r="P196" s="564"/>
      <c r="Q196" s="564"/>
      <c r="R196" s="152">
        <f t="shared" si="26"/>
        <v>0</v>
      </c>
      <c r="S196" s="152"/>
      <c r="T196" s="152"/>
      <c r="U196" s="152"/>
      <c r="W196" s="152"/>
      <c r="X196" s="158">
        <f t="shared" si="23"/>
        <v>0</v>
      </c>
      <c r="Y196" s="232">
        <f t="shared" si="24"/>
        <v>0</v>
      </c>
      <c r="Z196" s="152"/>
      <c r="AA196" s="326"/>
    </row>
    <row r="197" spans="1:27" ht="24" hidden="1" customHeight="1" x14ac:dyDescent="0.2">
      <c r="A197" s="79">
        <v>44</v>
      </c>
      <c r="B197" s="457" t="s">
        <v>421</v>
      </c>
      <c r="C197" s="28" t="s">
        <v>422</v>
      </c>
      <c r="D197" s="564"/>
      <c r="E197" s="564"/>
      <c r="F197" s="564">
        <f>70+19</f>
        <v>89</v>
      </c>
      <c r="G197" s="564"/>
      <c r="H197" s="564"/>
      <c r="I197" s="564"/>
      <c r="J197" s="564"/>
      <c r="K197" s="564"/>
      <c r="L197" s="564"/>
      <c r="M197" s="564"/>
      <c r="N197" s="564"/>
      <c r="O197" s="564"/>
      <c r="P197" s="564"/>
      <c r="Q197" s="564"/>
      <c r="R197" s="152">
        <f t="shared" si="26"/>
        <v>89</v>
      </c>
      <c r="S197" s="152"/>
      <c r="T197" s="152"/>
      <c r="U197" s="152"/>
      <c r="W197" s="152"/>
      <c r="X197" s="158">
        <f t="shared" si="23"/>
        <v>0</v>
      </c>
      <c r="Y197" s="232">
        <f t="shared" si="24"/>
        <v>89</v>
      </c>
      <c r="Z197" s="152"/>
      <c r="AA197" s="326"/>
    </row>
    <row r="198" spans="1:27" ht="24" hidden="1" customHeight="1" x14ac:dyDescent="0.2">
      <c r="A198" s="79">
        <v>45</v>
      </c>
      <c r="B198" s="457" t="s">
        <v>423</v>
      </c>
      <c r="C198" s="28" t="s">
        <v>419</v>
      </c>
      <c r="D198" s="564"/>
      <c r="E198" s="564"/>
      <c r="F198" s="564"/>
      <c r="G198" s="564"/>
      <c r="H198" s="564"/>
      <c r="I198" s="564"/>
      <c r="J198" s="564">
        <f>150</f>
        <v>150</v>
      </c>
      <c r="K198" s="564">
        <f>-150</f>
        <v>-150</v>
      </c>
      <c r="L198" s="564"/>
      <c r="M198" s="564"/>
      <c r="N198" s="564"/>
      <c r="O198" s="564"/>
      <c r="P198" s="564"/>
      <c r="Q198" s="564"/>
      <c r="R198" s="152">
        <f t="shared" si="26"/>
        <v>0</v>
      </c>
      <c r="S198" s="152"/>
      <c r="T198" s="152"/>
      <c r="U198" s="152"/>
      <c r="W198" s="152"/>
      <c r="X198" s="158">
        <f t="shared" si="23"/>
        <v>0</v>
      </c>
      <c r="Y198" s="232">
        <f t="shared" si="24"/>
        <v>0</v>
      </c>
      <c r="Z198" s="152"/>
      <c r="AA198" s="326"/>
    </row>
    <row r="199" spans="1:27" ht="24" hidden="1" customHeight="1" x14ac:dyDescent="0.2">
      <c r="A199" s="79">
        <v>46</v>
      </c>
      <c r="B199" s="457" t="s">
        <v>424</v>
      </c>
      <c r="C199" s="40" t="s">
        <v>430</v>
      </c>
      <c r="D199" s="564"/>
      <c r="E199" s="564"/>
      <c r="F199" s="564"/>
      <c r="G199" s="564"/>
      <c r="H199" s="564"/>
      <c r="I199" s="564"/>
      <c r="J199" s="564"/>
      <c r="K199" s="564">
        <f>-17044</f>
        <v>-17044</v>
      </c>
      <c r="L199" s="564"/>
      <c r="M199" s="564"/>
      <c r="N199" s="564"/>
      <c r="O199" s="564"/>
      <c r="P199" s="564"/>
      <c r="Q199" s="564"/>
      <c r="R199" s="152">
        <f t="shared" si="26"/>
        <v>-17044</v>
      </c>
      <c r="S199" s="152"/>
      <c r="T199" s="152"/>
      <c r="U199" s="152"/>
      <c r="W199" s="152"/>
      <c r="X199" s="158">
        <f t="shared" si="23"/>
        <v>0</v>
      </c>
      <c r="Y199" s="232">
        <f t="shared" si="24"/>
        <v>-17044</v>
      </c>
      <c r="Z199" s="152">
        <f>17044</f>
        <v>17044</v>
      </c>
      <c r="AA199" s="326"/>
    </row>
    <row r="200" spans="1:27" ht="24" hidden="1" customHeight="1" x14ac:dyDescent="0.2">
      <c r="A200" s="79">
        <v>47</v>
      </c>
      <c r="B200" s="457" t="s">
        <v>425</v>
      </c>
      <c r="C200" s="28" t="s">
        <v>432</v>
      </c>
      <c r="D200" s="564"/>
      <c r="E200" s="564"/>
      <c r="F200" s="564"/>
      <c r="G200" s="564"/>
      <c r="H200" s="564"/>
      <c r="I200" s="564"/>
      <c r="J200" s="564"/>
      <c r="K200" s="564">
        <f>-3126</f>
        <v>-3126</v>
      </c>
      <c r="L200" s="564"/>
      <c r="M200" s="564"/>
      <c r="N200" s="564"/>
      <c r="O200" s="564"/>
      <c r="P200" s="564"/>
      <c r="Q200" s="564"/>
      <c r="R200" s="152">
        <f t="shared" si="26"/>
        <v>-3126</v>
      </c>
      <c r="S200" s="152"/>
      <c r="T200" s="152"/>
      <c r="U200" s="152"/>
      <c r="W200" s="152"/>
      <c r="X200" s="158">
        <f t="shared" si="23"/>
        <v>0</v>
      </c>
      <c r="Y200" s="232">
        <f t="shared" si="24"/>
        <v>-3126</v>
      </c>
      <c r="Z200" s="152">
        <f>3126</f>
        <v>3126</v>
      </c>
      <c r="AA200" s="326"/>
    </row>
    <row r="201" spans="1:27" ht="24" hidden="1" customHeight="1" x14ac:dyDescent="0.2">
      <c r="A201" s="79">
        <v>48</v>
      </c>
      <c r="B201" s="457" t="s">
        <v>426</v>
      </c>
      <c r="C201" s="28" t="s">
        <v>434</v>
      </c>
      <c r="D201" s="564">
        <f>-200</f>
        <v>-200</v>
      </c>
      <c r="E201" s="564"/>
      <c r="F201" s="564">
        <f>200</f>
        <v>200</v>
      </c>
      <c r="G201" s="564"/>
      <c r="H201" s="564"/>
      <c r="I201" s="564"/>
      <c r="J201" s="564"/>
      <c r="K201" s="564"/>
      <c r="L201" s="564"/>
      <c r="M201" s="564"/>
      <c r="N201" s="564"/>
      <c r="O201" s="564"/>
      <c r="P201" s="564"/>
      <c r="Q201" s="564"/>
      <c r="R201" s="152">
        <f t="shared" si="26"/>
        <v>0</v>
      </c>
      <c r="S201" s="152"/>
      <c r="T201" s="152"/>
      <c r="U201" s="152"/>
      <c r="W201" s="152"/>
      <c r="X201" s="158">
        <f t="shared" si="23"/>
        <v>0</v>
      </c>
      <c r="Y201" s="232">
        <f t="shared" si="24"/>
        <v>0</v>
      </c>
      <c r="Z201" s="152"/>
      <c r="AA201" s="326"/>
    </row>
    <row r="202" spans="1:27" ht="24" hidden="1" customHeight="1" x14ac:dyDescent="0.2">
      <c r="A202" s="79">
        <v>49</v>
      </c>
      <c r="B202" s="457" t="s">
        <v>427</v>
      </c>
      <c r="C202" s="28" t="s">
        <v>435</v>
      </c>
      <c r="D202" s="564"/>
      <c r="E202" s="564"/>
      <c r="F202" s="564"/>
      <c r="G202" s="564"/>
      <c r="H202" s="564"/>
      <c r="I202" s="564">
        <f>85000</f>
        <v>85000</v>
      </c>
      <c r="J202" s="564"/>
      <c r="K202" s="564"/>
      <c r="L202" s="564"/>
      <c r="M202" s="564"/>
      <c r="N202" s="564">
        <f>-100000+15000</f>
        <v>-85000</v>
      </c>
      <c r="O202" s="564"/>
      <c r="P202" s="564"/>
      <c r="Q202" s="564"/>
      <c r="R202" s="152">
        <f t="shared" si="26"/>
        <v>0</v>
      </c>
      <c r="S202" s="152"/>
      <c r="T202" s="157"/>
      <c r="U202" s="157"/>
      <c r="W202" s="152"/>
      <c r="X202" s="158">
        <f t="shared" si="23"/>
        <v>0</v>
      </c>
      <c r="Y202" s="232">
        <f t="shared" si="24"/>
        <v>0</v>
      </c>
      <c r="Z202" s="157"/>
      <c r="AA202" s="326"/>
    </row>
    <row r="203" spans="1:27" ht="24" hidden="1" customHeight="1" x14ac:dyDescent="0.2">
      <c r="A203" s="79">
        <v>50</v>
      </c>
      <c r="B203" s="457" t="s">
        <v>428</v>
      </c>
      <c r="C203" s="40" t="s">
        <v>341</v>
      </c>
      <c r="D203" s="564"/>
      <c r="E203" s="564"/>
      <c r="F203" s="564"/>
      <c r="G203" s="564"/>
      <c r="H203" s="564"/>
      <c r="I203" s="564"/>
      <c r="J203" s="564">
        <f>50</f>
        <v>50</v>
      </c>
      <c r="K203" s="564">
        <f>-50</f>
        <v>-50</v>
      </c>
      <c r="L203" s="564"/>
      <c r="M203" s="564"/>
      <c r="N203" s="564"/>
      <c r="O203" s="564"/>
      <c r="P203" s="564"/>
      <c r="Q203" s="564"/>
      <c r="R203" s="152">
        <f t="shared" si="26"/>
        <v>0</v>
      </c>
      <c r="S203" s="152"/>
      <c r="T203" s="152"/>
      <c r="U203" s="152"/>
      <c r="V203" s="152"/>
      <c r="W203" s="152"/>
      <c r="X203" s="158">
        <f t="shared" si="23"/>
        <v>0</v>
      </c>
      <c r="Y203" s="232">
        <f t="shared" si="24"/>
        <v>0</v>
      </c>
      <c r="Z203" s="304"/>
      <c r="AA203" s="326"/>
    </row>
    <row r="204" spans="1:27" ht="24" hidden="1" customHeight="1" x14ac:dyDescent="0.2">
      <c r="A204" s="79">
        <v>51</v>
      </c>
      <c r="B204" s="457" t="s">
        <v>429</v>
      </c>
      <c r="C204" s="28" t="s">
        <v>234</v>
      </c>
      <c r="D204" s="564"/>
      <c r="E204" s="564"/>
      <c r="F204" s="564">
        <f>648</f>
        <v>648</v>
      </c>
      <c r="G204" s="564"/>
      <c r="H204" s="564"/>
      <c r="I204" s="564"/>
      <c r="J204" s="564"/>
      <c r="K204" s="564">
        <f>2400</f>
        <v>2400</v>
      </c>
      <c r="L204" s="564"/>
      <c r="M204" s="564"/>
      <c r="N204" s="564"/>
      <c r="O204" s="564"/>
      <c r="P204" s="564"/>
      <c r="Q204" s="564"/>
      <c r="R204" s="152">
        <f t="shared" si="26"/>
        <v>3048</v>
      </c>
      <c r="S204" s="152"/>
      <c r="T204" s="152"/>
      <c r="U204" s="152"/>
      <c r="V204" s="152"/>
      <c r="W204" s="152"/>
      <c r="X204" s="158">
        <f t="shared" si="23"/>
        <v>0</v>
      </c>
      <c r="Y204" s="232">
        <f t="shared" si="24"/>
        <v>3048</v>
      </c>
      <c r="Z204" s="304"/>
      <c r="AA204" s="326"/>
    </row>
    <row r="205" spans="1:27" ht="24" hidden="1" customHeight="1" x14ac:dyDescent="0.2">
      <c r="A205" s="79">
        <v>52</v>
      </c>
      <c r="B205" s="457" t="s">
        <v>447</v>
      </c>
      <c r="C205" s="28" t="s">
        <v>448</v>
      </c>
      <c r="D205" s="564"/>
      <c r="E205" s="564"/>
      <c r="F205" s="564">
        <f>-3294.861</f>
        <v>-3294.8609999999999</v>
      </c>
      <c r="G205" s="564"/>
      <c r="H205" s="564"/>
      <c r="I205" s="564"/>
      <c r="J205" s="564"/>
      <c r="K205" s="564"/>
      <c r="L205" s="564"/>
      <c r="M205" s="564"/>
      <c r="N205" s="564"/>
      <c r="O205" s="564"/>
      <c r="P205" s="564"/>
      <c r="Q205" s="564"/>
      <c r="R205" s="152">
        <f t="shared" si="26"/>
        <v>-3294.8609999999999</v>
      </c>
      <c r="S205" s="152"/>
      <c r="T205" s="152"/>
      <c r="U205" s="152"/>
      <c r="V205" s="152"/>
      <c r="W205" s="152"/>
      <c r="X205" s="158">
        <f t="shared" ref="X205" si="37">SUM(T205:W205)</f>
        <v>0</v>
      </c>
      <c r="Y205" s="232">
        <f t="shared" ref="Y205" si="38">R205+X205</f>
        <v>-3294.8609999999999</v>
      </c>
      <c r="Z205" s="304">
        <f>3294.861</f>
        <v>3294.8609999999999</v>
      </c>
      <c r="AA205" s="326"/>
    </row>
    <row r="206" spans="1:27" ht="24" hidden="1" customHeight="1" x14ac:dyDescent="0.2">
      <c r="A206" s="79">
        <v>53</v>
      </c>
      <c r="B206" s="457" t="s">
        <v>449</v>
      </c>
      <c r="C206" s="28" t="s">
        <v>450</v>
      </c>
      <c r="D206" s="564"/>
      <c r="E206" s="564"/>
      <c r="F206" s="564"/>
      <c r="G206" s="564"/>
      <c r="H206" s="564"/>
      <c r="I206" s="564"/>
      <c r="J206" s="564"/>
      <c r="K206" s="564">
        <f>-3100</f>
        <v>-3100</v>
      </c>
      <c r="L206" s="564"/>
      <c r="M206" s="564"/>
      <c r="N206" s="564"/>
      <c r="O206" s="564"/>
      <c r="P206" s="564"/>
      <c r="Q206" s="564"/>
      <c r="R206" s="152">
        <f t="shared" si="26"/>
        <v>-3100</v>
      </c>
      <c r="S206" s="152"/>
      <c r="T206" s="152"/>
      <c r="U206" s="152"/>
      <c r="V206" s="152"/>
      <c r="W206" s="152"/>
      <c r="X206" s="158">
        <f t="shared" ref="X206:X207" si="39">SUM(T206:W206)</f>
        <v>0</v>
      </c>
      <c r="Y206" s="232">
        <f t="shared" ref="Y206:Y207" si="40">R206+X206</f>
        <v>-3100</v>
      </c>
      <c r="Z206" s="304">
        <f>3100</f>
        <v>3100</v>
      </c>
      <c r="AA206" s="326"/>
    </row>
    <row r="207" spans="1:27" ht="24" hidden="1" customHeight="1" x14ac:dyDescent="0.2">
      <c r="A207" s="79">
        <v>54</v>
      </c>
      <c r="B207" s="457" t="s">
        <v>451</v>
      </c>
      <c r="C207" s="28" t="s">
        <v>452</v>
      </c>
      <c r="D207" s="564"/>
      <c r="E207" s="564"/>
      <c r="F207" s="564"/>
      <c r="G207" s="564"/>
      <c r="H207" s="564"/>
      <c r="I207" s="564"/>
      <c r="J207" s="564"/>
      <c r="K207" s="564">
        <f>-5150</f>
        <v>-5150</v>
      </c>
      <c r="L207" s="564"/>
      <c r="M207" s="564"/>
      <c r="N207" s="564"/>
      <c r="O207" s="564"/>
      <c r="P207" s="564"/>
      <c r="Q207" s="564"/>
      <c r="R207" s="152">
        <f t="shared" si="26"/>
        <v>-5150</v>
      </c>
      <c r="S207" s="152"/>
      <c r="T207" s="152"/>
      <c r="U207" s="152"/>
      <c r="V207" s="152"/>
      <c r="W207" s="152"/>
      <c r="X207" s="158">
        <f t="shared" si="39"/>
        <v>0</v>
      </c>
      <c r="Y207" s="232">
        <f t="shared" si="40"/>
        <v>-5150</v>
      </c>
      <c r="Z207" s="304">
        <f>5150</f>
        <v>5150</v>
      </c>
      <c r="AA207" s="326"/>
    </row>
    <row r="208" spans="1:27" ht="24" hidden="1" customHeight="1" x14ac:dyDescent="0.2">
      <c r="A208" s="79">
        <v>55</v>
      </c>
      <c r="B208" s="457" t="s">
        <v>444</v>
      </c>
      <c r="C208" s="40" t="s">
        <v>371</v>
      </c>
      <c r="D208" s="564"/>
      <c r="E208" s="564"/>
      <c r="F208" s="564"/>
      <c r="G208" s="564"/>
      <c r="H208" s="564"/>
      <c r="I208" s="564"/>
      <c r="J208" s="564"/>
      <c r="K208" s="564"/>
      <c r="L208" s="564"/>
      <c r="M208" s="564"/>
      <c r="N208" s="564"/>
      <c r="O208" s="564"/>
      <c r="P208" s="564"/>
      <c r="Q208" s="564"/>
      <c r="R208" s="152">
        <f t="shared" si="26"/>
        <v>0</v>
      </c>
      <c r="S208" s="152"/>
      <c r="T208" s="152"/>
      <c r="U208" s="152"/>
      <c r="V208" s="152"/>
      <c r="W208" s="152"/>
      <c r="X208" s="158">
        <f t="shared" ref="X208:X210" si="41">SUM(T208:W208)</f>
        <v>0</v>
      </c>
      <c r="Y208" s="232">
        <f t="shared" ref="Y208:Y210" si="42">R208+X208</f>
        <v>0</v>
      </c>
      <c r="Z208" s="304">
        <f>586.268</f>
        <v>586.26800000000003</v>
      </c>
      <c r="AA208" s="326"/>
    </row>
    <row r="209" spans="1:27" ht="24" hidden="1" customHeight="1" x14ac:dyDescent="0.2">
      <c r="A209" s="79">
        <v>56</v>
      </c>
      <c r="B209" s="457" t="s">
        <v>444</v>
      </c>
      <c r="C209" s="40" t="s">
        <v>361</v>
      </c>
      <c r="D209" s="564"/>
      <c r="E209" s="564"/>
      <c r="F209" s="564"/>
      <c r="G209" s="564"/>
      <c r="H209" s="564"/>
      <c r="I209" s="564"/>
      <c r="J209" s="564"/>
      <c r="K209" s="564"/>
      <c r="L209" s="564"/>
      <c r="M209" s="564"/>
      <c r="N209" s="564"/>
      <c r="O209" s="564"/>
      <c r="P209" s="564"/>
      <c r="Q209" s="564"/>
      <c r="R209" s="152">
        <f t="shared" si="26"/>
        <v>0</v>
      </c>
      <c r="S209" s="152"/>
      <c r="T209" s="152"/>
      <c r="U209" s="152"/>
      <c r="V209" s="152"/>
      <c r="W209" s="152"/>
      <c r="X209" s="158">
        <f t="shared" si="41"/>
        <v>0</v>
      </c>
      <c r="Y209" s="232">
        <f t="shared" si="42"/>
        <v>0</v>
      </c>
      <c r="Z209" s="304">
        <f>3848.145</f>
        <v>3848.145</v>
      </c>
      <c r="AA209" s="326"/>
    </row>
    <row r="210" spans="1:27" ht="24" hidden="1" customHeight="1" x14ac:dyDescent="0.2">
      <c r="A210" s="79">
        <v>57</v>
      </c>
      <c r="B210" s="457" t="s">
        <v>444</v>
      </c>
      <c r="C210" s="40" t="s">
        <v>360</v>
      </c>
      <c r="D210" s="564"/>
      <c r="E210" s="564"/>
      <c r="F210" s="564"/>
      <c r="G210" s="564"/>
      <c r="H210" s="564"/>
      <c r="I210" s="564"/>
      <c r="J210" s="564"/>
      <c r="K210" s="564"/>
      <c r="L210" s="564"/>
      <c r="M210" s="564"/>
      <c r="N210" s="564"/>
      <c r="O210" s="564"/>
      <c r="P210" s="564"/>
      <c r="Q210" s="564"/>
      <c r="R210" s="152">
        <f t="shared" si="26"/>
        <v>0</v>
      </c>
      <c r="S210" s="152"/>
      <c r="T210" s="152"/>
      <c r="U210" s="152"/>
      <c r="V210" s="152"/>
      <c r="W210" s="152"/>
      <c r="X210" s="158">
        <f t="shared" si="41"/>
        <v>0</v>
      </c>
      <c r="Y210" s="232">
        <f t="shared" si="42"/>
        <v>0</v>
      </c>
      <c r="Z210" s="304">
        <f>2900.756</f>
        <v>2900.7559999999999</v>
      </c>
      <c r="AA210" s="326"/>
    </row>
    <row r="211" spans="1:27" ht="24" hidden="1" customHeight="1" x14ac:dyDescent="0.2">
      <c r="A211" s="79">
        <v>58</v>
      </c>
      <c r="B211" s="457" t="s">
        <v>453</v>
      </c>
      <c r="C211" s="28" t="s">
        <v>363</v>
      </c>
      <c r="D211" s="564"/>
      <c r="E211" s="564"/>
      <c r="F211" s="564"/>
      <c r="G211" s="564"/>
      <c r="H211" s="564"/>
      <c r="I211" s="564"/>
      <c r="J211" s="564"/>
      <c r="K211" s="564"/>
      <c r="L211" s="564"/>
      <c r="M211" s="564"/>
      <c r="N211" s="564"/>
      <c r="O211" s="564"/>
      <c r="P211" s="564"/>
      <c r="Q211" s="564"/>
      <c r="R211" s="152">
        <f t="shared" si="26"/>
        <v>0</v>
      </c>
      <c r="S211" s="152"/>
      <c r="T211" s="152"/>
      <c r="U211" s="152"/>
      <c r="V211" s="152"/>
      <c r="W211" s="152"/>
      <c r="X211" s="158">
        <f t="shared" ref="X211" si="43">SUM(T211:W211)</f>
        <v>0</v>
      </c>
      <c r="Y211" s="232">
        <f t="shared" ref="Y211" si="44">R211+X211</f>
        <v>0</v>
      </c>
      <c r="Z211" s="304">
        <f>23107.741</f>
        <v>23107.741000000002</v>
      </c>
      <c r="AA211" s="326"/>
    </row>
    <row r="212" spans="1:27" ht="24" hidden="1" customHeight="1" x14ac:dyDescent="0.2">
      <c r="A212" s="79">
        <v>59</v>
      </c>
      <c r="B212" s="457" t="s">
        <v>441</v>
      </c>
      <c r="C212" s="28" t="s">
        <v>440</v>
      </c>
      <c r="D212" s="564"/>
      <c r="E212" s="564"/>
      <c r="F212" s="564"/>
      <c r="G212" s="564"/>
      <c r="H212" s="564"/>
      <c r="I212" s="564"/>
      <c r="J212" s="564"/>
      <c r="K212" s="564">
        <f>36094</f>
        <v>36094</v>
      </c>
      <c r="L212" s="564"/>
      <c r="M212" s="564"/>
      <c r="N212" s="564"/>
      <c r="O212" s="564"/>
      <c r="P212" s="564"/>
      <c r="Q212" s="564"/>
      <c r="R212" s="152">
        <f>SUM(D212:Q212)</f>
        <v>36094</v>
      </c>
      <c r="S212" s="152"/>
      <c r="T212" s="152"/>
      <c r="U212" s="152"/>
      <c r="V212" s="152"/>
      <c r="W212" s="152"/>
      <c r="X212" s="158">
        <f t="shared" ref="X212" si="45">SUM(T212:W212)</f>
        <v>0</v>
      </c>
      <c r="Y212" s="232">
        <f t="shared" ref="Y212" si="46">R212+X212</f>
        <v>36094</v>
      </c>
      <c r="Z212" s="304"/>
      <c r="AA212" s="326"/>
    </row>
    <row r="213" spans="1:27" ht="24" hidden="1" customHeight="1" x14ac:dyDescent="0.2">
      <c r="A213" s="79">
        <v>60</v>
      </c>
      <c r="B213" s="457" t="s">
        <v>436</v>
      </c>
      <c r="C213" s="28" t="s">
        <v>437</v>
      </c>
      <c r="D213" s="564"/>
      <c r="E213" s="564"/>
      <c r="F213" s="564">
        <f>-130</f>
        <v>-130</v>
      </c>
      <c r="G213" s="564"/>
      <c r="H213" s="564"/>
      <c r="I213" s="564"/>
      <c r="J213" s="564"/>
      <c r="K213" s="564"/>
      <c r="L213" s="564">
        <f>130</f>
        <v>130</v>
      </c>
      <c r="M213" s="564"/>
      <c r="N213" s="564"/>
      <c r="O213" s="564"/>
      <c r="P213" s="564"/>
      <c r="Q213" s="564"/>
      <c r="R213" s="152">
        <f t="shared" si="26"/>
        <v>0</v>
      </c>
      <c r="S213" s="152"/>
      <c r="T213" s="152"/>
      <c r="U213" s="152"/>
      <c r="V213" s="152"/>
      <c r="W213" s="152"/>
      <c r="X213" s="158">
        <f t="shared" si="23"/>
        <v>0</v>
      </c>
      <c r="Y213" s="232">
        <f t="shared" si="24"/>
        <v>0</v>
      </c>
      <c r="Z213" s="304"/>
      <c r="AA213" s="326"/>
    </row>
    <row r="214" spans="1:27" ht="24" hidden="1" customHeight="1" x14ac:dyDescent="0.2">
      <c r="A214" s="79">
        <v>61</v>
      </c>
      <c r="B214" s="457" t="s">
        <v>438</v>
      </c>
      <c r="C214" s="28" t="s">
        <v>439</v>
      </c>
      <c r="D214" s="564"/>
      <c r="E214" s="564"/>
      <c r="F214" s="564">
        <f>1974+77+21</f>
        <v>2072</v>
      </c>
      <c r="G214" s="564"/>
      <c r="H214" s="564"/>
      <c r="I214" s="564"/>
      <c r="J214" s="564">
        <f>-2072</f>
        <v>-2072</v>
      </c>
      <c r="K214" s="564"/>
      <c r="L214" s="564"/>
      <c r="M214" s="564"/>
      <c r="N214" s="564"/>
      <c r="O214" s="564"/>
      <c r="P214" s="564"/>
      <c r="Q214" s="564"/>
      <c r="R214" s="152">
        <f t="shared" si="26"/>
        <v>0</v>
      </c>
      <c r="S214" s="152"/>
      <c r="T214" s="152"/>
      <c r="U214" s="152"/>
      <c r="V214" s="152"/>
      <c r="W214" s="152"/>
      <c r="X214" s="158">
        <f t="shared" si="23"/>
        <v>0</v>
      </c>
      <c r="Y214" s="456">
        <f t="shared" si="24"/>
        <v>0</v>
      </c>
      <c r="Z214" s="304"/>
      <c r="AA214" s="326"/>
    </row>
    <row r="215" spans="1:27" ht="32.25" hidden="1" customHeight="1" x14ac:dyDescent="0.2">
      <c r="A215" s="79">
        <v>62</v>
      </c>
      <c r="B215" s="457" t="s">
        <v>443</v>
      </c>
      <c r="C215" s="40" t="s">
        <v>442</v>
      </c>
      <c r="D215" s="564"/>
      <c r="E215" s="564"/>
      <c r="F215" s="564"/>
      <c r="G215" s="564"/>
      <c r="H215" s="564"/>
      <c r="I215" s="564"/>
      <c r="J215" s="564"/>
      <c r="K215" s="564">
        <f>297</f>
        <v>297</v>
      </c>
      <c r="L215" s="564"/>
      <c r="M215" s="564"/>
      <c r="N215" s="564"/>
      <c r="O215" s="564"/>
      <c r="P215" s="564"/>
      <c r="Q215" s="564"/>
      <c r="R215" s="152">
        <f t="shared" si="26"/>
        <v>297</v>
      </c>
      <c r="S215" s="152"/>
      <c r="T215" s="152"/>
      <c r="U215" s="152"/>
      <c r="V215" s="152"/>
      <c r="W215" s="152"/>
      <c r="X215" s="158">
        <f t="shared" si="23"/>
        <v>0</v>
      </c>
      <c r="Y215" s="232">
        <f t="shared" si="24"/>
        <v>297</v>
      </c>
      <c r="Z215" s="304"/>
      <c r="AA215" s="326"/>
    </row>
    <row r="216" spans="1:27" ht="24" hidden="1" customHeight="1" x14ac:dyDescent="0.2">
      <c r="A216" s="79">
        <v>63</v>
      </c>
      <c r="B216" s="450" t="s">
        <v>455</v>
      </c>
      <c r="C216" s="28" t="s">
        <v>454</v>
      </c>
      <c r="D216" s="564"/>
      <c r="E216" s="564"/>
      <c r="F216" s="564">
        <f>17959.556</f>
        <v>17959.556</v>
      </c>
      <c r="G216" s="564"/>
      <c r="H216" s="564"/>
      <c r="I216" s="564"/>
      <c r="J216" s="564"/>
      <c r="K216" s="564"/>
      <c r="L216" s="564"/>
      <c r="M216" s="564"/>
      <c r="N216" s="564"/>
      <c r="O216" s="564"/>
      <c r="P216" s="564"/>
      <c r="Q216" s="564"/>
      <c r="R216" s="152">
        <f t="shared" si="26"/>
        <v>17959.556</v>
      </c>
      <c r="S216" s="152"/>
      <c r="T216" s="152"/>
      <c r="U216" s="152">
        <f>-17959.556</f>
        <v>-17959.556</v>
      </c>
      <c r="V216" s="152"/>
      <c r="W216" s="152"/>
      <c r="X216" s="158">
        <f t="shared" si="23"/>
        <v>-17959.556</v>
      </c>
      <c r="Y216" s="232">
        <f t="shared" si="24"/>
        <v>0</v>
      </c>
      <c r="Z216" s="304"/>
      <c r="AA216" s="326"/>
    </row>
    <row r="217" spans="1:27" ht="24" hidden="1" customHeight="1" x14ac:dyDescent="0.2">
      <c r="A217" s="79">
        <v>64</v>
      </c>
      <c r="B217" s="659" t="s">
        <v>456</v>
      </c>
      <c r="C217" s="33" t="s">
        <v>383</v>
      </c>
      <c r="D217" s="564"/>
      <c r="E217" s="564"/>
      <c r="F217" s="564">
        <f>1500+405</f>
        <v>1905</v>
      </c>
      <c r="G217" s="564"/>
      <c r="H217" s="564"/>
      <c r="I217" s="564"/>
      <c r="J217" s="564"/>
      <c r="K217" s="564"/>
      <c r="L217" s="564"/>
      <c r="M217" s="564"/>
      <c r="N217" s="564"/>
      <c r="O217" s="564"/>
      <c r="P217" s="564"/>
      <c r="Q217" s="564"/>
      <c r="R217" s="152">
        <f t="shared" si="26"/>
        <v>1905</v>
      </c>
      <c r="S217" s="152"/>
      <c r="T217" s="152"/>
      <c r="U217" s="152"/>
      <c r="V217" s="152"/>
      <c r="W217" s="152"/>
      <c r="X217" s="158">
        <f t="shared" si="23"/>
        <v>0</v>
      </c>
      <c r="Y217" s="232">
        <f t="shared" si="24"/>
        <v>1905</v>
      </c>
      <c r="Z217" s="304"/>
      <c r="AA217" s="326"/>
    </row>
    <row r="218" spans="1:27" ht="24" hidden="1" customHeight="1" x14ac:dyDescent="0.2">
      <c r="A218" s="79"/>
      <c r="B218" s="451"/>
      <c r="C218" s="40"/>
      <c r="D218" s="564"/>
      <c r="E218" s="564"/>
      <c r="F218" s="564"/>
      <c r="G218" s="564"/>
      <c r="H218" s="564"/>
      <c r="I218" s="564"/>
      <c r="J218" s="564"/>
      <c r="K218" s="564"/>
      <c r="L218" s="564"/>
      <c r="M218" s="564"/>
      <c r="N218" s="564"/>
      <c r="O218" s="564"/>
      <c r="P218" s="564"/>
      <c r="Q218" s="564"/>
      <c r="R218" s="152">
        <f t="shared" si="26"/>
        <v>0</v>
      </c>
      <c r="S218" s="152"/>
      <c r="T218" s="152"/>
      <c r="U218" s="152"/>
      <c r="V218" s="152"/>
      <c r="W218" s="152"/>
      <c r="X218" s="158">
        <f t="shared" si="23"/>
        <v>0</v>
      </c>
      <c r="Y218" s="232">
        <f t="shared" si="24"/>
        <v>0</v>
      </c>
      <c r="Z218" s="304"/>
      <c r="AA218" s="326"/>
    </row>
    <row r="219" spans="1:27" ht="24" hidden="1" customHeight="1" x14ac:dyDescent="0.2">
      <c r="A219" s="79"/>
      <c r="B219" s="449"/>
      <c r="C219" s="40"/>
      <c r="D219" s="564"/>
      <c r="E219" s="564"/>
      <c r="F219" s="564"/>
      <c r="G219" s="564"/>
      <c r="H219" s="564"/>
      <c r="I219" s="564"/>
      <c r="J219" s="564"/>
      <c r="K219" s="564"/>
      <c r="L219" s="564"/>
      <c r="M219" s="564"/>
      <c r="N219" s="564"/>
      <c r="O219" s="564"/>
      <c r="P219" s="564"/>
      <c r="Q219" s="564"/>
      <c r="R219" s="152">
        <f t="shared" si="26"/>
        <v>0</v>
      </c>
      <c r="S219" s="152"/>
      <c r="T219" s="152"/>
      <c r="U219" s="152"/>
      <c r="V219" s="152"/>
      <c r="W219" s="152"/>
      <c r="X219" s="158">
        <f t="shared" si="23"/>
        <v>0</v>
      </c>
      <c r="Y219" s="232">
        <f t="shared" si="24"/>
        <v>0</v>
      </c>
      <c r="Z219" s="304"/>
      <c r="AA219" s="326"/>
    </row>
    <row r="220" spans="1:27" ht="24" hidden="1" customHeight="1" x14ac:dyDescent="0.2">
      <c r="A220" s="79"/>
      <c r="B220" s="449"/>
      <c r="C220" s="28"/>
      <c r="D220" s="564"/>
      <c r="E220" s="564"/>
      <c r="F220" s="564"/>
      <c r="G220" s="564"/>
      <c r="H220" s="564"/>
      <c r="I220" s="564"/>
      <c r="J220" s="564"/>
      <c r="K220" s="564"/>
      <c r="L220" s="564"/>
      <c r="M220" s="564"/>
      <c r="N220" s="564"/>
      <c r="O220" s="564"/>
      <c r="P220" s="564"/>
      <c r="Q220" s="564"/>
      <c r="R220" s="152">
        <f t="shared" si="26"/>
        <v>0</v>
      </c>
      <c r="S220" s="152"/>
      <c r="T220" s="152"/>
      <c r="U220" s="152"/>
      <c r="V220" s="152"/>
      <c r="W220" s="152"/>
      <c r="X220" s="158">
        <f t="shared" si="23"/>
        <v>0</v>
      </c>
      <c r="Y220" s="232">
        <f t="shared" si="24"/>
        <v>0</v>
      </c>
      <c r="Z220" s="304"/>
      <c r="AA220" s="326"/>
    </row>
    <row r="221" spans="1:27" ht="24" hidden="1" customHeight="1" x14ac:dyDescent="0.2">
      <c r="A221" s="79"/>
      <c r="B221" s="449"/>
      <c r="C221" s="28"/>
      <c r="D221" s="564"/>
      <c r="E221" s="564"/>
      <c r="F221" s="564"/>
      <c r="G221" s="564"/>
      <c r="H221" s="564"/>
      <c r="I221" s="564"/>
      <c r="J221" s="564"/>
      <c r="K221" s="564"/>
      <c r="L221" s="564"/>
      <c r="M221" s="564"/>
      <c r="N221" s="564"/>
      <c r="O221" s="564"/>
      <c r="P221" s="564"/>
      <c r="Q221" s="564"/>
      <c r="R221" s="152">
        <f t="shared" si="26"/>
        <v>0</v>
      </c>
      <c r="S221" s="152"/>
      <c r="T221" s="157"/>
      <c r="U221" s="157"/>
      <c r="V221" s="157"/>
      <c r="W221" s="152"/>
      <c r="X221" s="158">
        <f t="shared" si="23"/>
        <v>0</v>
      </c>
      <c r="Y221" s="232">
        <f t="shared" si="24"/>
        <v>0</v>
      </c>
      <c r="Z221" s="304"/>
      <c r="AA221" s="326"/>
    </row>
    <row r="222" spans="1:27" ht="24" hidden="1" customHeight="1" x14ac:dyDescent="0.2">
      <c r="A222" s="79"/>
      <c r="B222" s="449"/>
      <c r="C222" s="40"/>
      <c r="D222" s="564"/>
      <c r="E222" s="564"/>
      <c r="F222" s="564"/>
      <c r="G222" s="564"/>
      <c r="H222" s="564"/>
      <c r="I222" s="564"/>
      <c r="J222" s="564"/>
      <c r="K222" s="564"/>
      <c r="L222" s="564"/>
      <c r="M222" s="564"/>
      <c r="N222" s="564"/>
      <c r="O222" s="564"/>
      <c r="P222" s="564"/>
      <c r="Q222" s="564"/>
      <c r="R222" s="152">
        <f t="shared" si="26"/>
        <v>0</v>
      </c>
      <c r="S222" s="152"/>
      <c r="T222" s="152"/>
      <c r="U222" s="152"/>
      <c r="V222" s="152"/>
      <c r="W222" s="152"/>
      <c r="X222" s="158">
        <f t="shared" si="23"/>
        <v>0</v>
      </c>
      <c r="Y222" s="232">
        <f t="shared" si="24"/>
        <v>0</v>
      </c>
      <c r="Z222" s="304"/>
      <c r="AA222" s="326"/>
    </row>
    <row r="223" spans="1:27" ht="24" hidden="1" customHeight="1" x14ac:dyDescent="0.2">
      <c r="A223" s="79"/>
      <c r="B223" s="449"/>
      <c r="C223" s="40"/>
      <c r="D223" s="564"/>
      <c r="E223" s="564"/>
      <c r="F223" s="564"/>
      <c r="G223" s="564"/>
      <c r="H223" s="564"/>
      <c r="I223" s="564"/>
      <c r="J223" s="564"/>
      <c r="K223" s="564"/>
      <c r="L223" s="564"/>
      <c r="M223" s="564"/>
      <c r="N223" s="564"/>
      <c r="O223" s="564"/>
      <c r="P223" s="564"/>
      <c r="Q223" s="564"/>
      <c r="R223" s="152">
        <f t="shared" si="26"/>
        <v>0</v>
      </c>
      <c r="S223" s="152"/>
      <c r="T223" s="152"/>
      <c r="U223" s="152"/>
      <c r="V223" s="152"/>
      <c r="W223" s="152"/>
      <c r="X223" s="158">
        <f t="shared" si="23"/>
        <v>0</v>
      </c>
      <c r="Y223" s="232">
        <f t="shared" si="24"/>
        <v>0</v>
      </c>
      <c r="Z223" s="304"/>
      <c r="AA223" s="326"/>
    </row>
    <row r="224" spans="1:27" ht="24" hidden="1" customHeight="1" x14ac:dyDescent="0.2">
      <c r="A224" s="79"/>
      <c r="B224" s="449"/>
      <c r="C224" s="28"/>
      <c r="D224" s="564"/>
      <c r="E224" s="564"/>
      <c r="F224" s="564"/>
      <c r="G224" s="564"/>
      <c r="H224" s="564"/>
      <c r="I224" s="564"/>
      <c r="J224" s="564"/>
      <c r="K224" s="564"/>
      <c r="L224" s="564"/>
      <c r="M224" s="564"/>
      <c r="N224" s="564"/>
      <c r="O224" s="564"/>
      <c r="P224" s="564"/>
      <c r="Q224" s="564"/>
      <c r="R224" s="152">
        <f t="shared" si="26"/>
        <v>0</v>
      </c>
      <c r="S224" s="152"/>
      <c r="T224" s="152"/>
      <c r="U224" s="152"/>
      <c r="V224" s="152"/>
      <c r="W224" s="152"/>
      <c r="X224" s="158">
        <f t="shared" si="23"/>
        <v>0</v>
      </c>
      <c r="Y224" s="232">
        <f t="shared" si="24"/>
        <v>0</v>
      </c>
      <c r="Z224" s="304"/>
      <c r="AA224" s="326"/>
    </row>
    <row r="225" spans="1:27" ht="24" hidden="1" customHeight="1" x14ac:dyDescent="0.2">
      <c r="A225" s="79"/>
      <c r="B225" s="449"/>
      <c r="C225" s="28"/>
      <c r="D225" s="564"/>
      <c r="E225" s="564"/>
      <c r="F225" s="564"/>
      <c r="G225" s="564"/>
      <c r="H225" s="564"/>
      <c r="I225" s="564"/>
      <c r="J225" s="564"/>
      <c r="K225" s="564"/>
      <c r="L225" s="564"/>
      <c r="M225" s="564"/>
      <c r="N225" s="564"/>
      <c r="O225" s="564"/>
      <c r="P225" s="564"/>
      <c r="Q225" s="564"/>
      <c r="R225" s="152">
        <f t="shared" si="26"/>
        <v>0</v>
      </c>
      <c r="S225" s="152"/>
      <c r="T225" s="157"/>
      <c r="U225" s="157"/>
      <c r="V225" s="157"/>
      <c r="W225" s="152"/>
      <c r="X225" s="158">
        <f t="shared" si="23"/>
        <v>0</v>
      </c>
      <c r="Y225" s="232">
        <f t="shared" si="24"/>
        <v>0</v>
      </c>
      <c r="Z225" s="304"/>
      <c r="AA225" s="326"/>
    </row>
    <row r="226" spans="1:27" ht="24" hidden="1" customHeight="1" x14ac:dyDescent="0.2">
      <c r="A226" s="79"/>
      <c r="B226" s="449"/>
      <c r="C226" s="28"/>
      <c r="D226" s="564"/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152">
        <f t="shared" si="26"/>
        <v>0</v>
      </c>
      <c r="S226" s="152"/>
      <c r="T226" s="152"/>
      <c r="U226" s="152"/>
      <c r="V226" s="152"/>
      <c r="W226" s="152"/>
      <c r="X226" s="158">
        <f t="shared" si="23"/>
        <v>0</v>
      </c>
      <c r="Y226" s="232">
        <f t="shared" si="24"/>
        <v>0</v>
      </c>
      <c r="Z226" s="304"/>
      <c r="AA226" s="326"/>
    </row>
    <row r="227" spans="1:27" ht="24" hidden="1" customHeight="1" x14ac:dyDescent="0.2">
      <c r="A227" s="79"/>
      <c r="B227" s="449"/>
      <c r="C227" s="40"/>
      <c r="D227" s="564"/>
      <c r="E227" s="564"/>
      <c r="F227" s="564"/>
      <c r="G227" s="564"/>
      <c r="H227" s="564"/>
      <c r="I227" s="564"/>
      <c r="J227" s="564"/>
      <c r="K227" s="564"/>
      <c r="L227" s="564"/>
      <c r="M227" s="564"/>
      <c r="N227" s="564"/>
      <c r="O227" s="564"/>
      <c r="P227" s="564"/>
      <c r="Q227" s="564"/>
      <c r="R227" s="152">
        <f t="shared" si="26"/>
        <v>0</v>
      </c>
      <c r="S227" s="152"/>
      <c r="T227" s="157"/>
      <c r="U227" s="157"/>
      <c r="V227" s="157"/>
      <c r="W227" s="152"/>
      <c r="X227" s="158">
        <f t="shared" si="23"/>
        <v>0</v>
      </c>
      <c r="Y227" s="232">
        <f t="shared" si="24"/>
        <v>0</v>
      </c>
      <c r="Z227" s="304"/>
      <c r="AA227" s="326"/>
    </row>
    <row r="228" spans="1:27" ht="24" hidden="1" customHeight="1" x14ac:dyDescent="0.2">
      <c r="A228" s="79"/>
      <c r="B228" s="449"/>
      <c r="C228" s="28"/>
      <c r="D228" s="564"/>
      <c r="E228" s="564"/>
      <c r="F228" s="564"/>
      <c r="G228" s="564"/>
      <c r="H228" s="564"/>
      <c r="I228" s="564"/>
      <c r="J228" s="564"/>
      <c r="K228" s="564"/>
      <c r="L228" s="564"/>
      <c r="M228" s="564"/>
      <c r="N228" s="564"/>
      <c r="O228" s="564"/>
      <c r="P228" s="564"/>
      <c r="Q228" s="564"/>
      <c r="R228" s="152">
        <f t="shared" si="26"/>
        <v>0</v>
      </c>
      <c r="S228" s="152"/>
      <c r="T228" s="152"/>
      <c r="U228" s="152"/>
      <c r="V228" s="152"/>
      <c r="W228" s="152"/>
      <c r="X228" s="158">
        <f t="shared" si="23"/>
        <v>0</v>
      </c>
      <c r="Y228" s="232">
        <f t="shared" si="24"/>
        <v>0</v>
      </c>
      <c r="Z228" s="304"/>
      <c r="AA228" s="326"/>
    </row>
    <row r="229" spans="1:27" ht="24" hidden="1" customHeight="1" x14ac:dyDescent="0.2">
      <c r="A229" s="79"/>
      <c r="B229" s="450"/>
      <c r="C229" s="33"/>
      <c r="D229" s="564"/>
      <c r="E229" s="564"/>
      <c r="F229" s="564"/>
      <c r="G229" s="564"/>
      <c r="H229" s="564"/>
      <c r="I229" s="564"/>
      <c r="J229" s="564"/>
      <c r="K229" s="564"/>
      <c r="L229" s="564"/>
      <c r="M229" s="564"/>
      <c r="N229" s="564"/>
      <c r="O229" s="564"/>
      <c r="P229" s="564"/>
      <c r="Q229" s="564"/>
      <c r="R229" s="152">
        <f t="shared" si="26"/>
        <v>0</v>
      </c>
      <c r="S229" s="152"/>
      <c r="T229" s="152"/>
      <c r="U229" s="152"/>
      <c r="V229" s="152"/>
      <c r="W229" s="152"/>
      <c r="X229" s="158">
        <f t="shared" si="23"/>
        <v>0</v>
      </c>
      <c r="Y229" s="232">
        <f t="shared" si="24"/>
        <v>0</v>
      </c>
      <c r="Z229" s="304"/>
      <c r="AA229" s="326"/>
    </row>
    <row r="230" spans="1:27" ht="24" hidden="1" customHeight="1" x14ac:dyDescent="0.2">
      <c r="A230" s="220"/>
      <c r="B230" s="225"/>
      <c r="C230" s="28"/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152">
        <f t="shared" si="26"/>
        <v>0</v>
      </c>
      <c r="S230" s="152"/>
      <c r="T230" s="152"/>
      <c r="U230" s="152"/>
      <c r="V230" s="152"/>
      <c r="W230" s="152"/>
      <c r="X230" s="158">
        <f t="shared" si="23"/>
        <v>0</v>
      </c>
      <c r="Y230" s="232">
        <f t="shared" si="24"/>
        <v>0</v>
      </c>
      <c r="Z230" s="304"/>
      <c r="AA230" s="326"/>
    </row>
    <row r="231" spans="1:27" ht="24" hidden="1" customHeight="1" x14ac:dyDescent="0.2">
      <c r="A231" s="220"/>
      <c r="B231" s="225"/>
      <c r="C231" s="28"/>
      <c r="D231" s="564"/>
      <c r="E231" s="564"/>
      <c r="F231" s="564"/>
      <c r="G231" s="564"/>
      <c r="H231" s="564"/>
      <c r="I231" s="564"/>
      <c r="J231" s="564"/>
      <c r="K231" s="564"/>
      <c r="L231" s="564"/>
      <c r="M231" s="564"/>
      <c r="N231" s="564"/>
      <c r="O231" s="564"/>
      <c r="P231" s="564"/>
      <c r="Q231" s="564"/>
      <c r="R231" s="152">
        <f t="shared" si="26"/>
        <v>0</v>
      </c>
      <c r="S231" s="152"/>
      <c r="T231" s="152"/>
      <c r="U231" s="152"/>
      <c r="V231" s="152"/>
      <c r="W231" s="152"/>
      <c r="X231" s="158">
        <f t="shared" si="23"/>
        <v>0</v>
      </c>
      <c r="Y231" s="232">
        <f t="shared" si="24"/>
        <v>0</v>
      </c>
      <c r="Z231" s="304"/>
      <c r="AA231" s="326"/>
    </row>
    <row r="232" spans="1:27" ht="24" hidden="1" customHeight="1" x14ac:dyDescent="0.2">
      <c r="A232" s="79"/>
      <c r="B232" s="44"/>
      <c r="C232" s="33"/>
      <c r="D232" s="564"/>
      <c r="E232" s="564"/>
      <c r="F232" s="564"/>
      <c r="G232" s="564"/>
      <c r="H232" s="564"/>
      <c r="I232" s="564"/>
      <c r="J232" s="564"/>
      <c r="K232" s="564"/>
      <c r="L232" s="564"/>
      <c r="M232" s="564"/>
      <c r="N232" s="564"/>
      <c r="O232" s="564"/>
      <c r="P232" s="564"/>
      <c r="Q232" s="564"/>
      <c r="R232" s="152">
        <f t="shared" si="26"/>
        <v>0</v>
      </c>
      <c r="S232" s="152"/>
      <c r="T232" s="152"/>
      <c r="U232" s="152"/>
      <c r="V232" s="152"/>
      <c r="W232" s="152"/>
      <c r="X232" s="158">
        <f t="shared" si="23"/>
        <v>0</v>
      </c>
      <c r="Y232" s="232">
        <f t="shared" si="24"/>
        <v>0</v>
      </c>
      <c r="Z232" s="304"/>
      <c r="AA232" s="326"/>
    </row>
    <row r="233" spans="1:27" ht="24" hidden="1" customHeight="1" x14ac:dyDescent="0.2">
      <c r="A233" s="79"/>
      <c r="B233" s="44"/>
      <c r="C233" s="33"/>
      <c r="D233" s="564"/>
      <c r="E233" s="564"/>
      <c r="F233" s="564"/>
      <c r="G233" s="564"/>
      <c r="H233" s="564"/>
      <c r="I233" s="564"/>
      <c r="J233" s="564"/>
      <c r="K233" s="564"/>
      <c r="L233" s="564"/>
      <c r="M233" s="564"/>
      <c r="N233" s="564"/>
      <c r="O233" s="564"/>
      <c r="P233" s="564"/>
      <c r="Q233" s="564"/>
      <c r="R233" s="152">
        <f t="shared" si="26"/>
        <v>0</v>
      </c>
      <c r="S233" s="152"/>
      <c r="T233" s="152"/>
      <c r="U233" s="152"/>
      <c r="V233" s="152"/>
      <c r="W233" s="152"/>
      <c r="X233" s="158">
        <f t="shared" si="23"/>
        <v>0</v>
      </c>
      <c r="Y233" s="232">
        <f t="shared" si="24"/>
        <v>0</v>
      </c>
      <c r="Z233" s="304"/>
      <c r="AA233" s="326"/>
    </row>
    <row r="234" spans="1:27" ht="24" hidden="1" customHeight="1" x14ac:dyDescent="0.2">
      <c r="A234" s="79"/>
      <c r="B234" s="44"/>
      <c r="C234" s="28"/>
      <c r="D234" s="564"/>
      <c r="E234" s="564"/>
      <c r="F234" s="564"/>
      <c r="G234" s="564"/>
      <c r="H234" s="564"/>
      <c r="I234" s="564"/>
      <c r="J234" s="564"/>
      <c r="K234" s="564"/>
      <c r="L234" s="564"/>
      <c r="M234" s="564"/>
      <c r="N234" s="564"/>
      <c r="O234" s="564"/>
      <c r="P234" s="564"/>
      <c r="Q234" s="564"/>
      <c r="R234" s="152">
        <f t="shared" si="26"/>
        <v>0</v>
      </c>
      <c r="S234" s="152"/>
      <c r="T234" s="152"/>
      <c r="U234" s="152"/>
      <c r="V234" s="152"/>
      <c r="W234" s="152"/>
      <c r="X234" s="158">
        <f t="shared" si="23"/>
        <v>0</v>
      </c>
      <c r="Y234" s="232">
        <f t="shared" si="24"/>
        <v>0</v>
      </c>
      <c r="Z234" s="304"/>
      <c r="AA234" s="326"/>
    </row>
    <row r="235" spans="1:27" ht="24" hidden="1" customHeight="1" x14ac:dyDescent="0.2">
      <c r="A235" s="79"/>
      <c r="B235" s="32"/>
      <c r="C235" s="3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  <c r="N235" s="564"/>
      <c r="O235" s="564"/>
      <c r="P235" s="564"/>
      <c r="Q235" s="564"/>
      <c r="R235" s="152">
        <f t="shared" si="26"/>
        <v>0</v>
      </c>
      <c r="S235" s="152"/>
      <c r="T235" s="152"/>
      <c r="U235" s="152"/>
      <c r="V235" s="152"/>
      <c r="W235" s="152"/>
      <c r="X235" s="158">
        <f t="shared" si="23"/>
        <v>0</v>
      </c>
      <c r="Y235" s="232">
        <f t="shared" si="24"/>
        <v>0</v>
      </c>
      <c r="Z235" s="304"/>
      <c r="AA235" s="326"/>
    </row>
    <row r="236" spans="1:27" ht="24" hidden="1" customHeight="1" x14ac:dyDescent="0.2">
      <c r="A236" s="79"/>
      <c r="B236" s="32"/>
      <c r="C236" s="34"/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152">
        <f t="shared" si="26"/>
        <v>0</v>
      </c>
      <c r="S236" s="152"/>
      <c r="T236" s="152"/>
      <c r="U236" s="152"/>
      <c r="V236" s="152"/>
      <c r="W236" s="152"/>
      <c r="X236" s="158">
        <f t="shared" si="23"/>
        <v>0</v>
      </c>
      <c r="Y236" s="232">
        <f t="shared" si="24"/>
        <v>0</v>
      </c>
      <c r="Z236" s="304"/>
      <c r="AA236" s="326"/>
    </row>
    <row r="237" spans="1:27" ht="24" hidden="1" customHeight="1" x14ac:dyDescent="0.2">
      <c r="A237" s="79"/>
      <c r="B237" s="32"/>
      <c r="C237" s="34"/>
      <c r="D237" s="564"/>
      <c r="E237" s="564"/>
      <c r="F237" s="564"/>
      <c r="G237" s="564"/>
      <c r="H237" s="564"/>
      <c r="I237" s="564"/>
      <c r="J237" s="564"/>
      <c r="K237" s="564"/>
      <c r="L237" s="564"/>
      <c r="M237" s="564"/>
      <c r="N237" s="564"/>
      <c r="O237" s="564"/>
      <c r="P237" s="564"/>
      <c r="Q237" s="564"/>
      <c r="R237" s="152">
        <f t="shared" si="26"/>
        <v>0</v>
      </c>
      <c r="S237" s="152"/>
      <c r="T237" s="152"/>
      <c r="U237" s="152"/>
      <c r="V237" s="152"/>
      <c r="W237" s="152"/>
      <c r="X237" s="158">
        <f t="shared" si="23"/>
        <v>0</v>
      </c>
      <c r="Y237" s="232">
        <f t="shared" si="24"/>
        <v>0</v>
      </c>
      <c r="Z237" s="304"/>
      <c r="AA237" s="326"/>
    </row>
    <row r="238" spans="1:27" ht="24" hidden="1" customHeight="1" x14ac:dyDescent="0.2">
      <c r="A238" s="79"/>
      <c r="B238" s="32"/>
      <c r="C238" s="34"/>
      <c r="D238" s="564"/>
      <c r="E238" s="564"/>
      <c r="F238" s="564"/>
      <c r="G238" s="564"/>
      <c r="H238" s="564"/>
      <c r="I238" s="564"/>
      <c r="J238" s="564"/>
      <c r="K238" s="564"/>
      <c r="L238" s="564"/>
      <c r="M238" s="564"/>
      <c r="N238" s="564"/>
      <c r="O238" s="564"/>
      <c r="P238" s="564"/>
      <c r="Q238" s="564"/>
      <c r="R238" s="152">
        <f t="shared" si="26"/>
        <v>0</v>
      </c>
      <c r="S238" s="152"/>
      <c r="T238" s="152"/>
      <c r="U238" s="152"/>
      <c r="V238" s="152"/>
      <c r="W238" s="152"/>
      <c r="X238" s="158">
        <f t="shared" si="23"/>
        <v>0</v>
      </c>
      <c r="Y238" s="232">
        <f t="shared" si="24"/>
        <v>0</v>
      </c>
      <c r="Z238" s="304"/>
      <c r="AA238" s="326"/>
    </row>
    <row r="239" spans="1:27" ht="24" hidden="1" customHeight="1" x14ac:dyDescent="0.2">
      <c r="A239" s="79"/>
      <c r="B239" s="31"/>
      <c r="C239" s="40"/>
      <c r="D239" s="645"/>
      <c r="E239" s="645"/>
      <c r="F239" s="564"/>
      <c r="G239" s="564"/>
      <c r="H239" s="564"/>
      <c r="I239" s="564"/>
      <c r="J239" s="564"/>
      <c r="K239" s="564"/>
      <c r="L239" s="564"/>
      <c r="M239" s="564"/>
      <c r="N239" s="564"/>
      <c r="O239" s="564"/>
      <c r="P239" s="564"/>
      <c r="Q239" s="564"/>
      <c r="R239" s="152">
        <f t="shared" si="26"/>
        <v>0</v>
      </c>
      <c r="S239" s="152"/>
      <c r="T239" s="152"/>
      <c r="U239" s="152"/>
      <c r="V239" s="152"/>
      <c r="W239" s="152"/>
      <c r="X239" s="158">
        <f t="shared" si="23"/>
        <v>0</v>
      </c>
      <c r="Y239" s="232">
        <f t="shared" si="24"/>
        <v>0</v>
      </c>
      <c r="Z239" s="304"/>
      <c r="AA239" s="326"/>
    </row>
    <row r="240" spans="1:27" ht="24" hidden="1" customHeight="1" x14ac:dyDescent="0.2">
      <c r="A240" s="79"/>
      <c r="B240" s="31"/>
      <c r="C240" s="40"/>
      <c r="D240" s="564"/>
      <c r="E240" s="564"/>
      <c r="F240" s="564"/>
      <c r="G240" s="564"/>
      <c r="H240" s="564"/>
      <c r="I240" s="564"/>
      <c r="J240" s="564"/>
      <c r="K240" s="564"/>
      <c r="L240" s="564"/>
      <c r="M240" s="564"/>
      <c r="N240" s="564"/>
      <c r="O240" s="564"/>
      <c r="P240" s="564"/>
      <c r="Q240" s="564"/>
      <c r="R240" s="152">
        <f t="shared" si="26"/>
        <v>0</v>
      </c>
      <c r="S240" s="152"/>
      <c r="T240" s="152"/>
      <c r="U240" s="152"/>
      <c r="V240" s="152"/>
      <c r="W240" s="152"/>
      <c r="X240" s="158">
        <f t="shared" si="23"/>
        <v>0</v>
      </c>
      <c r="Y240" s="232">
        <f t="shared" si="24"/>
        <v>0</v>
      </c>
      <c r="Z240" s="304"/>
      <c r="AA240" s="326"/>
    </row>
    <row r="241" spans="1:27" ht="24" hidden="1" customHeight="1" x14ac:dyDescent="0.2">
      <c r="A241" s="79"/>
      <c r="B241" s="31"/>
      <c r="C241" s="40"/>
      <c r="D241" s="564"/>
      <c r="E241" s="564"/>
      <c r="F241" s="564"/>
      <c r="G241" s="564"/>
      <c r="H241" s="564"/>
      <c r="I241" s="564"/>
      <c r="J241" s="564"/>
      <c r="K241" s="564"/>
      <c r="L241" s="564"/>
      <c r="M241" s="564"/>
      <c r="N241" s="564"/>
      <c r="O241" s="564"/>
      <c r="P241" s="564"/>
      <c r="Q241" s="564"/>
      <c r="R241" s="152">
        <f t="shared" si="26"/>
        <v>0</v>
      </c>
      <c r="S241" s="152"/>
      <c r="T241" s="152"/>
      <c r="U241" s="152"/>
      <c r="V241" s="152"/>
      <c r="W241" s="152"/>
      <c r="X241" s="158">
        <f t="shared" si="23"/>
        <v>0</v>
      </c>
      <c r="Y241" s="232">
        <f t="shared" si="24"/>
        <v>0</v>
      </c>
      <c r="Z241" s="304"/>
      <c r="AA241" s="326"/>
    </row>
    <row r="242" spans="1:27" ht="24" hidden="1" customHeight="1" x14ac:dyDescent="0.2">
      <c r="A242" s="79"/>
      <c r="B242" s="31"/>
      <c r="C242" s="40"/>
      <c r="D242" s="564"/>
      <c r="E242" s="564"/>
      <c r="F242" s="564"/>
      <c r="G242" s="564"/>
      <c r="H242" s="564"/>
      <c r="I242" s="564"/>
      <c r="J242" s="564"/>
      <c r="K242" s="564"/>
      <c r="L242" s="564"/>
      <c r="M242" s="564"/>
      <c r="N242" s="564"/>
      <c r="O242" s="564"/>
      <c r="P242" s="564"/>
      <c r="Q242" s="564"/>
      <c r="R242" s="152">
        <f t="shared" si="26"/>
        <v>0</v>
      </c>
      <c r="S242" s="152"/>
      <c r="T242" s="152"/>
      <c r="U242" s="152"/>
      <c r="V242" s="152"/>
      <c r="W242" s="152"/>
      <c r="X242" s="158">
        <f t="shared" si="23"/>
        <v>0</v>
      </c>
      <c r="Y242" s="232">
        <f t="shared" si="24"/>
        <v>0</v>
      </c>
      <c r="Z242" s="304"/>
      <c r="AA242" s="326"/>
    </row>
    <row r="243" spans="1:27" ht="24" hidden="1" customHeight="1" x14ac:dyDescent="0.2">
      <c r="A243" s="79"/>
      <c r="B243" s="100"/>
      <c r="C243" s="28"/>
      <c r="D243" s="564"/>
      <c r="E243" s="564"/>
      <c r="F243" s="564"/>
      <c r="G243" s="564"/>
      <c r="H243" s="564"/>
      <c r="I243" s="564"/>
      <c r="J243" s="564"/>
      <c r="K243" s="564"/>
      <c r="L243" s="564"/>
      <c r="M243" s="564"/>
      <c r="N243" s="564"/>
      <c r="O243" s="564"/>
      <c r="P243" s="564"/>
      <c r="Q243" s="564"/>
      <c r="R243" s="152">
        <f t="shared" si="26"/>
        <v>0</v>
      </c>
      <c r="S243" s="152"/>
      <c r="T243" s="152"/>
      <c r="U243" s="152"/>
      <c r="V243" s="152"/>
      <c r="W243" s="152"/>
      <c r="X243" s="158">
        <f t="shared" si="23"/>
        <v>0</v>
      </c>
      <c r="Y243" s="232">
        <f t="shared" si="24"/>
        <v>0</v>
      </c>
      <c r="Z243" s="304"/>
      <c r="AA243" s="326"/>
    </row>
    <row r="244" spans="1:27" ht="24" hidden="1" customHeight="1" x14ac:dyDescent="0.2">
      <c r="A244" s="79"/>
      <c r="B244" s="81"/>
      <c r="C244" s="40"/>
      <c r="D244" s="564"/>
      <c r="E244" s="564"/>
      <c r="F244" s="564"/>
      <c r="G244" s="564"/>
      <c r="H244" s="564"/>
      <c r="I244" s="564"/>
      <c r="J244" s="564"/>
      <c r="K244" s="564"/>
      <c r="L244" s="564"/>
      <c r="M244" s="564"/>
      <c r="N244" s="564"/>
      <c r="O244" s="564"/>
      <c r="P244" s="564"/>
      <c r="Q244" s="564"/>
      <c r="R244" s="152">
        <f t="shared" si="26"/>
        <v>0</v>
      </c>
      <c r="S244" s="152"/>
      <c r="T244" s="152"/>
      <c r="U244" s="152"/>
      <c r="V244" s="152"/>
      <c r="W244" s="152"/>
      <c r="X244" s="158">
        <f t="shared" si="23"/>
        <v>0</v>
      </c>
      <c r="Y244" s="232">
        <f t="shared" si="24"/>
        <v>0</v>
      </c>
      <c r="Z244" s="304"/>
      <c r="AA244" s="326"/>
    </row>
    <row r="245" spans="1:27" ht="24" hidden="1" customHeight="1" x14ac:dyDescent="0.2">
      <c r="A245" s="79"/>
      <c r="B245" s="31"/>
      <c r="C245" s="40"/>
      <c r="D245" s="564"/>
      <c r="E245" s="564"/>
      <c r="F245" s="564"/>
      <c r="G245" s="564"/>
      <c r="H245" s="564"/>
      <c r="I245" s="564"/>
      <c r="J245" s="564"/>
      <c r="K245" s="564"/>
      <c r="L245" s="564"/>
      <c r="M245" s="564"/>
      <c r="N245" s="564"/>
      <c r="O245" s="564"/>
      <c r="P245" s="564"/>
      <c r="Q245" s="564"/>
      <c r="R245" s="152">
        <f t="shared" si="26"/>
        <v>0</v>
      </c>
      <c r="S245" s="152"/>
      <c r="T245" s="152"/>
      <c r="U245" s="152"/>
      <c r="V245" s="152"/>
      <c r="W245" s="152"/>
      <c r="X245" s="158">
        <f t="shared" si="23"/>
        <v>0</v>
      </c>
      <c r="Y245" s="232">
        <f t="shared" si="24"/>
        <v>0</v>
      </c>
      <c r="Z245" s="304"/>
      <c r="AA245" s="326"/>
    </row>
    <row r="246" spans="1:27" ht="24" hidden="1" customHeight="1" x14ac:dyDescent="0.2">
      <c r="A246" s="79"/>
      <c r="B246" s="31"/>
      <c r="C246" s="40"/>
      <c r="D246" s="564"/>
      <c r="E246" s="564"/>
      <c r="F246" s="564"/>
      <c r="G246" s="564"/>
      <c r="H246" s="564"/>
      <c r="I246" s="564"/>
      <c r="J246" s="564"/>
      <c r="K246" s="564"/>
      <c r="L246" s="564"/>
      <c r="M246" s="564"/>
      <c r="N246" s="564"/>
      <c r="O246" s="564"/>
      <c r="P246" s="564"/>
      <c r="Q246" s="564"/>
      <c r="R246" s="152">
        <f t="shared" si="26"/>
        <v>0</v>
      </c>
      <c r="S246" s="152"/>
      <c r="T246" s="152"/>
      <c r="U246" s="152"/>
      <c r="V246" s="152"/>
      <c r="W246" s="152"/>
      <c r="X246" s="158">
        <f t="shared" si="23"/>
        <v>0</v>
      </c>
      <c r="Y246" s="232">
        <f t="shared" si="24"/>
        <v>0</v>
      </c>
      <c r="Z246" s="304"/>
      <c r="AA246" s="326"/>
    </row>
    <row r="247" spans="1:27" ht="24" hidden="1" customHeight="1" x14ac:dyDescent="0.2">
      <c r="A247" s="79"/>
      <c r="B247" s="31"/>
      <c r="C247" s="40"/>
      <c r="D247" s="564"/>
      <c r="E247" s="564"/>
      <c r="F247" s="564"/>
      <c r="G247" s="564"/>
      <c r="H247" s="564"/>
      <c r="I247" s="564"/>
      <c r="J247" s="564"/>
      <c r="K247" s="564"/>
      <c r="L247" s="564"/>
      <c r="M247" s="564"/>
      <c r="N247" s="564"/>
      <c r="O247" s="564"/>
      <c r="P247" s="564"/>
      <c r="Q247" s="564"/>
      <c r="R247" s="152">
        <f t="shared" si="26"/>
        <v>0</v>
      </c>
      <c r="S247" s="152"/>
      <c r="T247" s="152"/>
      <c r="U247" s="152"/>
      <c r="V247" s="152"/>
      <c r="W247" s="152"/>
      <c r="X247" s="158">
        <f t="shared" si="23"/>
        <v>0</v>
      </c>
      <c r="Y247" s="232">
        <f t="shared" si="24"/>
        <v>0</v>
      </c>
      <c r="Z247" s="304"/>
      <c r="AA247" s="326"/>
    </row>
    <row r="248" spans="1:27" ht="24" hidden="1" customHeight="1" x14ac:dyDescent="0.2">
      <c r="A248" s="79"/>
      <c r="B248" s="30"/>
      <c r="C248" s="28"/>
      <c r="D248" s="564"/>
      <c r="E248" s="564"/>
      <c r="F248" s="564"/>
      <c r="G248" s="564"/>
      <c r="H248" s="564"/>
      <c r="I248" s="564"/>
      <c r="J248" s="564"/>
      <c r="K248" s="564"/>
      <c r="L248" s="564"/>
      <c r="M248" s="564"/>
      <c r="N248" s="564"/>
      <c r="O248" s="564"/>
      <c r="P248" s="564"/>
      <c r="Q248" s="564"/>
      <c r="R248" s="152">
        <f t="shared" si="26"/>
        <v>0</v>
      </c>
      <c r="S248" s="152"/>
      <c r="T248" s="152"/>
      <c r="U248" s="152"/>
      <c r="V248" s="152"/>
      <c r="W248" s="152"/>
      <c r="X248" s="158">
        <f t="shared" si="23"/>
        <v>0</v>
      </c>
      <c r="Y248" s="232">
        <f t="shared" si="24"/>
        <v>0</v>
      </c>
      <c r="Z248" s="304"/>
      <c r="AA248" s="326"/>
    </row>
    <row r="249" spans="1:27" ht="24" hidden="1" customHeight="1" x14ac:dyDescent="0.2">
      <c r="A249" s="123"/>
      <c r="B249" s="100"/>
      <c r="C249" s="101"/>
      <c r="D249" s="646"/>
      <c r="E249" s="646"/>
      <c r="F249" s="646"/>
      <c r="G249" s="646"/>
      <c r="H249" s="646"/>
      <c r="I249" s="646"/>
      <c r="J249" s="646"/>
      <c r="K249" s="646"/>
      <c r="L249" s="646"/>
      <c r="M249" s="646"/>
      <c r="N249" s="646"/>
      <c r="O249" s="646"/>
      <c r="P249" s="646"/>
      <c r="Q249" s="646"/>
      <c r="R249" s="161">
        <f t="shared" si="26"/>
        <v>0</v>
      </c>
      <c r="S249" s="161"/>
      <c r="T249" s="161"/>
      <c r="U249" s="161"/>
      <c r="V249" s="161"/>
      <c r="W249" s="161"/>
      <c r="X249" s="434">
        <f t="shared" si="23"/>
        <v>0</v>
      </c>
      <c r="Y249" s="341">
        <f t="shared" si="24"/>
        <v>0</v>
      </c>
      <c r="Z249" s="354"/>
      <c r="AA249" s="326"/>
    </row>
    <row r="250" spans="1:27" ht="24" hidden="1" customHeight="1" x14ac:dyDescent="0.2">
      <c r="A250" s="79"/>
      <c r="B250" s="81"/>
      <c r="C250" s="40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>
        <f t="shared" si="26"/>
        <v>0</v>
      </c>
      <c r="S250" s="152"/>
      <c r="T250" s="152"/>
      <c r="U250" s="152"/>
      <c r="V250" s="152"/>
      <c r="W250" s="152"/>
      <c r="X250" s="158">
        <f t="shared" si="23"/>
        <v>0</v>
      </c>
      <c r="Y250" s="232">
        <f t="shared" si="24"/>
        <v>0</v>
      </c>
      <c r="Z250" s="304"/>
      <c r="AA250" s="326"/>
    </row>
    <row r="251" spans="1:27" ht="24" hidden="1" customHeight="1" x14ac:dyDescent="0.2">
      <c r="A251" s="79"/>
      <c r="B251" s="31"/>
      <c r="C251" s="40" t="s">
        <v>52</v>
      </c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>
        <f t="shared" si="26"/>
        <v>0</v>
      </c>
      <c r="S251" s="152"/>
      <c r="T251" s="152"/>
      <c r="U251" s="152"/>
      <c r="V251" s="152"/>
      <c r="W251" s="152"/>
      <c r="X251" s="158">
        <f t="shared" ref="X251:X363" si="47">SUM(T251:W251)</f>
        <v>0</v>
      </c>
      <c r="Y251" s="232">
        <f t="shared" ref="Y251:Y363" si="48">R251+X251</f>
        <v>0</v>
      </c>
      <c r="Z251" s="304"/>
      <c r="AA251" s="326"/>
    </row>
    <row r="252" spans="1:27" ht="17.25" hidden="1" customHeight="1" thickBot="1" x14ac:dyDescent="0.25">
      <c r="A252" s="79"/>
      <c r="B252" s="100"/>
      <c r="C252" s="101"/>
      <c r="D252" s="102"/>
      <c r="E252" s="102"/>
      <c r="F252" s="71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>
        <f t="shared" si="26"/>
        <v>0</v>
      </c>
      <c r="S252" s="102"/>
      <c r="T252" s="102"/>
      <c r="U252" s="102"/>
      <c r="V252" s="102"/>
      <c r="W252" s="102"/>
      <c r="X252" s="103">
        <f t="shared" si="47"/>
        <v>0</v>
      </c>
      <c r="Y252" s="342">
        <f t="shared" si="48"/>
        <v>0</v>
      </c>
      <c r="Z252" s="355"/>
      <c r="AA252" s="318"/>
    </row>
    <row r="253" spans="1:27" ht="24" hidden="1" customHeight="1" thickTop="1" thickBot="1" x14ac:dyDescent="0.25">
      <c r="A253" s="41"/>
      <c r="B253" s="105" t="s">
        <v>149</v>
      </c>
      <c r="C253" s="43" t="s">
        <v>19</v>
      </c>
      <c r="D253" s="453">
        <f t="shared" ref="D253:Q253" si="49">SUM(D154:D252)</f>
        <v>-16425.55</v>
      </c>
      <c r="E253" s="453">
        <f t="shared" si="49"/>
        <v>-2966.232</v>
      </c>
      <c r="F253" s="453">
        <f t="shared" si="49"/>
        <v>136636.88099999999</v>
      </c>
      <c r="G253" s="453">
        <f t="shared" si="49"/>
        <v>0</v>
      </c>
      <c r="H253" s="453">
        <f t="shared" si="49"/>
        <v>0</v>
      </c>
      <c r="I253" s="453">
        <f t="shared" si="49"/>
        <v>95052</v>
      </c>
      <c r="J253" s="453">
        <f t="shared" si="49"/>
        <v>-6455</v>
      </c>
      <c r="K253" s="453">
        <f t="shared" si="49"/>
        <v>-437358.54099999997</v>
      </c>
      <c r="L253" s="453">
        <f t="shared" si="49"/>
        <v>-74942</v>
      </c>
      <c r="M253" s="453">
        <f t="shared" si="49"/>
        <v>0</v>
      </c>
      <c r="N253" s="453">
        <f t="shared" si="49"/>
        <v>-85000</v>
      </c>
      <c r="O253" s="453">
        <f t="shared" si="49"/>
        <v>0</v>
      </c>
      <c r="P253" s="453">
        <f t="shared" si="49"/>
        <v>0</v>
      </c>
      <c r="Q253" s="453">
        <f t="shared" si="49"/>
        <v>0</v>
      </c>
      <c r="R253" s="453">
        <f t="shared" si="26"/>
        <v>-391458.44199999998</v>
      </c>
      <c r="S253" s="453"/>
      <c r="T253" s="453">
        <f>SUM(T154:T252)</f>
        <v>0</v>
      </c>
      <c r="U253" s="453">
        <f>SUM(U154:U252)</f>
        <v>-17959.556</v>
      </c>
      <c r="V253" s="453">
        <f>SUM(V154:V252)</f>
        <v>0</v>
      </c>
      <c r="W253" s="453">
        <f>SUM(W154:W252)</f>
        <v>0</v>
      </c>
      <c r="X253" s="454">
        <f t="shared" si="47"/>
        <v>-17959.556</v>
      </c>
      <c r="Y253" s="454">
        <f t="shared" si="48"/>
        <v>-409417.99799999996</v>
      </c>
      <c r="Z253" s="455">
        <f>SUM(Z154:Z252)</f>
        <v>283672.28499999997</v>
      </c>
      <c r="AA253" s="327"/>
    </row>
    <row r="254" spans="1:27" ht="16.5" hidden="1" customHeight="1" thickTop="1" x14ac:dyDescent="0.2">
      <c r="A254" s="79"/>
      <c r="B254" s="31"/>
      <c r="C254" s="40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>
        <f t="shared" si="26"/>
        <v>0</v>
      </c>
      <c r="S254" s="152"/>
      <c r="T254" s="152"/>
      <c r="U254" s="152"/>
      <c r="V254" s="152"/>
      <c r="W254" s="152"/>
      <c r="X254" s="158">
        <f t="shared" si="47"/>
        <v>0</v>
      </c>
      <c r="Y254" s="232">
        <f t="shared" si="48"/>
        <v>0</v>
      </c>
      <c r="Z254" s="304"/>
      <c r="AA254" s="326"/>
    </row>
    <row r="255" spans="1:27" ht="16.5" hidden="1" customHeight="1" x14ac:dyDescent="0.2">
      <c r="A255" s="79"/>
      <c r="B255" s="32"/>
      <c r="C255" s="40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>
        <f t="shared" si="26"/>
        <v>0</v>
      </c>
      <c r="S255" s="152"/>
      <c r="T255" s="152"/>
      <c r="U255" s="152"/>
      <c r="V255" s="152"/>
      <c r="W255" s="152"/>
      <c r="X255" s="158">
        <f t="shared" si="47"/>
        <v>0</v>
      </c>
      <c r="Y255" s="232">
        <f t="shared" si="48"/>
        <v>0</v>
      </c>
      <c r="Z255" s="304"/>
      <c r="AA255" s="326"/>
    </row>
    <row r="256" spans="1:27" ht="16.5" hidden="1" customHeight="1" x14ac:dyDescent="0.2">
      <c r="A256" s="79"/>
      <c r="B256" s="31"/>
      <c r="C256" s="40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>
        <f t="shared" si="26"/>
        <v>0</v>
      </c>
      <c r="S256" s="152"/>
      <c r="T256" s="152"/>
      <c r="U256" s="152"/>
      <c r="V256" s="152"/>
      <c r="W256" s="152"/>
      <c r="X256" s="158">
        <f t="shared" si="47"/>
        <v>0</v>
      </c>
      <c r="Y256" s="232">
        <f t="shared" si="48"/>
        <v>0</v>
      </c>
      <c r="Z256" s="304"/>
      <c r="AA256" s="326"/>
    </row>
    <row r="257" spans="1:28" ht="16.5" hidden="1" customHeight="1" x14ac:dyDescent="0.2">
      <c r="A257" s="79"/>
      <c r="B257" s="31"/>
      <c r="C257" s="40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>
        <f t="shared" si="26"/>
        <v>0</v>
      </c>
      <c r="S257" s="152"/>
      <c r="T257" s="152"/>
      <c r="U257" s="152"/>
      <c r="V257" s="152"/>
      <c r="W257" s="152"/>
      <c r="X257" s="158">
        <f t="shared" si="47"/>
        <v>0</v>
      </c>
      <c r="Y257" s="232">
        <f t="shared" si="48"/>
        <v>0</v>
      </c>
      <c r="Z257" s="304"/>
      <c r="AA257" s="326"/>
    </row>
    <row r="258" spans="1:28" ht="16.5" hidden="1" customHeight="1" x14ac:dyDescent="0.2">
      <c r="A258" s="79"/>
      <c r="B258" s="32"/>
      <c r="C258" s="40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>
        <f t="shared" ref="R258:R363" si="50">SUM(D258:Q258)</f>
        <v>0</v>
      </c>
      <c r="S258" s="152"/>
      <c r="T258" s="152"/>
      <c r="U258" s="152"/>
      <c r="V258" s="152"/>
      <c r="W258" s="152"/>
      <c r="X258" s="158">
        <f t="shared" si="47"/>
        <v>0</v>
      </c>
      <c r="Y258" s="232">
        <f t="shared" si="48"/>
        <v>0</v>
      </c>
      <c r="Z258" s="304"/>
      <c r="AA258" s="326"/>
    </row>
    <row r="259" spans="1:28" ht="16.5" hidden="1" customHeight="1" x14ac:dyDescent="0.2">
      <c r="A259" s="79"/>
      <c r="B259" s="31"/>
      <c r="C259" s="40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>
        <f t="shared" si="50"/>
        <v>0</v>
      </c>
      <c r="S259" s="152"/>
      <c r="T259" s="152"/>
      <c r="U259" s="152"/>
      <c r="V259" s="152"/>
      <c r="W259" s="152"/>
      <c r="X259" s="158">
        <f t="shared" si="47"/>
        <v>0</v>
      </c>
      <c r="Y259" s="232">
        <f t="shared" si="48"/>
        <v>0</v>
      </c>
      <c r="Z259" s="304"/>
      <c r="AA259" s="326"/>
    </row>
    <row r="260" spans="1:28" ht="16.5" hidden="1" customHeight="1" x14ac:dyDescent="0.2">
      <c r="A260" s="79"/>
      <c r="B260" s="31"/>
      <c r="C260" s="40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>
        <f t="shared" si="50"/>
        <v>0</v>
      </c>
      <c r="S260" s="152"/>
      <c r="T260" s="152"/>
      <c r="U260" s="152"/>
      <c r="V260" s="152"/>
      <c r="W260" s="152"/>
      <c r="X260" s="158">
        <f t="shared" si="47"/>
        <v>0</v>
      </c>
      <c r="Y260" s="232">
        <f t="shared" si="48"/>
        <v>0</v>
      </c>
      <c r="Z260" s="304"/>
      <c r="AA260" s="326"/>
    </row>
    <row r="261" spans="1:28" ht="17.25" hidden="1" customHeight="1" thickBot="1" x14ac:dyDescent="0.25">
      <c r="A261" s="79"/>
      <c r="B261" s="31"/>
      <c r="C261" s="40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>
        <f t="shared" si="50"/>
        <v>0</v>
      </c>
      <c r="S261" s="152"/>
      <c r="T261" s="152"/>
      <c r="U261" s="152"/>
      <c r="V261" s="152"/>
      <c r="W261" s="152"/>
      <c r="X261" s="158">
        <f t="shared" si="47"/>
        <v>0</v>
      </c>
      <c r="Y261" s="232">
        <f t="shared" si="48"/>
        <v>0</v>
      </c>
      <c r="Z261" s="304"/>
      <c r="AA261" s="326"/>
    </row>
    <row r="262" spans="1:28" ht="18.75" hidden="1" customHeight="1" thickTop="1" thickBot="1" x14ac:dyDescent="0.25">
      <c r="A262" s="104"/>
      <c r="B262" s="106" t="s">
        <v>47</v>
      </c>
      <c r="C262" s="43"/>
      <c r="D262" s="159">
        <f t="shared" ref="D262:I262" si="51">SUM(D254:D258)</f>
        <v>0</v>
      </c>
      <c r="E262" s="159">
        <f t="shared" si="51"/>
        <v>0</v>
      </c>
      <c r="F262" s="159">
        <f t="shared" si="51"/>
        <v>0</v>
      </c>
      <c r="G262" s="159">
        <f t="shared" si="51"/>
        <v>0</v>
      </c>
      <c r="H262" s="159">
        <f t="shared" si="51"/>
        <v>0</v>
      </c>
      <c r="I262" s="159">
        <f t="shared" si="51"/>
        <v>0</v>
      </c>
      <c r="J262" s="159">
        <f>SUM(J254:J258)</f>
        <v>0</v>
      </c>
      <c r="K262" s="159">
        <f t="shared" ref="K262:W262" si="52">SUM(K254:K258)</f>
        <v>0</v>
      </c>
      <c r="L262" s="159">
        <f t="shared" si="52"/>
        <v>0</v>
      </c>
      <c r="M262" s="159">
        <f t="shared" si="52"/>
        <v>0</v>
      </c>
      <c r="N262" s="159">
        <f t="shared" si="52"/>
        <v>0</v>
      </c>
      <c r="O262" s="159">
        <f t="shared" si="52"/>
        <v>0</v>
      </c>
      <c r="P262" s="159">
        <f t="shared" si="52"/>
        <v>0</v>
      </c>
      <c r="Q262" s="159">
        <f t="shared" si="52"/>
        <v>0</v>
      </c>
      <c r="R262" s="159">
        <f t="shared" si="50"/>
        <v>0</v>
      </c>
      <c r="S262" s="159"/>
      <c r="T262" s="159">
        <f t="shared" si="52"/>
        <v>0</v>
      </c>
      <c r="U262" s="159">
        <f>SUM(U254:U258)</f>
        <v>0</v>
      </c>
      <c r="V262" s="159">
        <f>SUM(V254:V258)</f>
        <v>0</v>
      </c>
      <c r="W262" s="159">
        <f t="shared" si="52"/>
        <v>0</v>
      </c>
      <c r="X262" s="162">
        <f t="shared" si="47"/>
        <v>0</v>
      </c>
      <c r="Y262" s="162">
        <f t="shared" si="48"/>
        <v>0</v>
      </c>
      <c r="Z262" s="260">
        <f>SUM(Z254:Z258)</f>
        <v>0</v>
      </c>
      <c r="AA262" s="327"/>
    </row>
    <row r="263" spans="1:28" ht="24" hidden="1" customHeight="1" thickTop="1" thickBot="1" x14ac:dyDescent="0.25">
      <c r="A263" s="41"/>
      <c r="B263" s="660" t="s">
        <v>457</v>
      </c>
      <c r="C263" s="43" t="s">
        <v>124</v>
      </c>
      <c r="D263" s="248">
        <f t="shared" ref="D263:Q263" si="53">D153+D253+D262</f>
        <v>132635.45000000001</v>
      </c>
      <c r="E263" s="248">
        <f t="shared" si="53"/>
        <v>30466.768</v>
      </c>
      <c r="F263" s="248">
        <f t="shared" si="53"/>
        <v>4647541.8279999997</v>
      </c>
      <c r="G263" s="248">
        <f t="shared" si="53"/>
        <v>204945</v>
      </c>
      <c r="H263" s="248">
        <f t="shared" si="53"/>
        <v>300942.027</v>
      </c>
      <c r="I263" s="248">
        <f t="shared" si="53"/>
        <v>154692</v>
      </c>
      <c r="J263" s="248">
        <f t="shared" si="53"/>
        <v>693846</v>
      </c>
      <c r="K263" s="248">
        <f t="shared" si="53"/>
        <v>1332287.209</v>
      </c>
      <c r="L263" s="248">
        <f t="shared" si="53"/>
        <v>5319928</v>
      </c>
      <c r="M263" s="248">
        <f t="shared" si="53"/>
        <v>27882</v>
      </c>
      <c r="N263" s="248">
        <f t="shared" si="53"/>
        <v>15635</v>
      </c>
      <c r="O263" s="248">
        <f t="shared" si="53"/>
        <v>5000</v>
      </c>
      <c r="P263" s="248">
        <f t="shared" si="53"/>
        <v>0</v>
      </c>
      <c r="Q263" s="248">
        <f t="shared" si="53"/>
        <v>199004</v>
      </c>
      <c r="R263" s="248">
        <f t="shared" si="50"/>
        <v>13064805.282</v>
      </c>
      <c r="S263" s="248"/>
      <c r="T263" s="248">
        <f>T153+T253+T262</f>
        <v>0</v>
      </c>
      <c r="U263" s="248">
        <f>U153+U253+U262</f>
        <v>4832040.4440000001</v>
      </c>
      <c r="V263" s="248">
        <f>V153+V253+V262</f>
        <v>39440.69</v>
      </c>
      <c r="W263" s="248">
        <f>W153+W253+W262</f>
        <v>0</v>
      </c>
      <c r="X263" s="248">
        <f t="shared" si="47"/>
        <v>4871481.1340000005</v>
      </c>
      <c r="Y263" s="248">
        <f t="shared" si="48"/>
        <v>17936286.416000001</v>
      </c>
      <c r="Z263" s="228">
        <f>Z153+Z253+Z262</f>
        <v>8055200.5019999994</v>
      </c>
      <c r="AA263" s="325"/>
      <c r="AB263" s="82">
        <f>Y263+Z263</f>
        <v>25991486.918000001</v>
      </c>
    </row>
    <row r="264" spans="1:28" ht="24.95" hidden="1" customHeight="1" thickTop="1" x14ac:dyDescent="0.2">
      <c r="A264" s="177"/>
      <c r="B264" s="178" t="s">
        <v>151</v>
      </c>
      <c r="C264" s="129" t="s">
        <v>18</v>
      </c>
      <c r="D264" s="229">
        <f t="shared" ref="D264:W264" si="54">D263</f>
        <v>132635.45000000001</v>
      </c>
      <c r="E264" s="229">
        <f t="shared" si="54"/>
        <v>30466.768</v>
      </c>
      <c r="F264" s="229">
        <f t="shared" si="54"/>
        <v>4647541.8279999997</v>
      </c>
      <c r="G264" s="229">
        <f t="shared" si="54"/>
        <v>204945</v>
      </c>
      <c r="H264" s="229">
        <f t="shared" si="54"/>
        <v>300942.027</v>
      </c>
      <c r="I264" s="229">
        <f t="shared" si="54"/>
        <v>154692</v>
      </c>
      <c r="J264" s="229">
        <f t="shared" si="54"/>
        <v>693846</v>
      </c>
      <c r="K264" s="229">
        <f t="shared" si="54"/>
        <v>1332287.209</v>
      </c>
      <c r="L264" s="229">
        <f t="shared" si="54"/>
        <v>5319928</v>
      </c>
      <c r="M264" s="229">
        <f t="shared" si="54"/>
        <v>27882</v>
      </c>
      <c r="N264" s="229">
        <f t="shared" si="54"/>
        <v>15635</v>
      </c>
      <c r="O264" s="229">
        <f t="shared" si="54"/>
        <v>5000</v>
      </c>
      <c r="P264" s="229">
        <f t="shared" si="54"/>
        <v>0</v>
      </c>
      <c r="Q264" s="229">
        <f t="shared" si="54"/>
        <v>199004</v>
      </c>
      <c r="R264" s="229">
        <f t="shared" si="50"/>
        <v>13064805.282</v>
      </c>
      <c r="S264" s="229"/>
      <c r="T264" s="229">
        <f t="shared" si="54"/>
        <v>0</v>
      </c>
      <c r="U264" s="229">
        <f t="shared" si="54"/>
        <v>4832040.4440000001</v>
      </c>
      <c r="V264" s="229">
        <f t="shared" si="54"/>
        <v>39440.69</v>
      </c>
      <c r="W264" s="229">
        <f t="shared" si="54"/>
        <v>0</v>
      </c>
      <c r="X264" s="448">
        <f t="shared" si="47"/>
        <v>4871481.1340000005</v>
      </c>
      <c r="Y264" s="343">
        <f t="shared" si="48"/>
        <v>17936286.416000001</v>
      </c>
      <c r="Z264" s="356">
        <f>Z263</f>
        <v>8055200.5019999994</v>
      </c>
      <c r="AA264" s="319"/>
    </row>
    <row r="265" spans="1:28" ht="24.95" hidden="1" customHeight="1" x14ac:dyDescent="0.2">
      <c r="A265" s="79"/>
      <c r="B265" s="114"/>
      <c r="C265" s="28"/>
      <c r="D265" s="157"/>
      <c r="E265" s="157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8"/>
      <c r="Y265" s="232"/>
      <c r="Z265" s="304"/>
      <c r="AA265" s="326"/>
    </row>
    <row r="266" spans="1:28" ht="24.95" hidden="1" customHeight="1" x14ac:dyDescent="0.2">
      <c r="A266" s="79">
        <v>1</v>
      </c>
      <c r="B266" s="114" t="s">
        <v>460</v>
      </c>
      <c r="C266" s="28" t="s">
        <v>461</v>
      </c>
      <c r="D266" s="157"/>
      <c r="E266" s="157"/>
      <c r="F266" s="152"/>
      <c r="G266" s="152"/>
      <c r="H266" s="152"/>
      <c r="I266" s="152"/>
      <c r="J266" s="152"/>
      <c r="K266" s="152">
        <f>-668</f>
        <v>-668</v>
      </c>
      <c r="L266" s="152"/>
      <c r="M266" s="152"/>
      <c r="N266" s="152"/>
      <c r="O266" s="152"/>
      <c r="P266" s="152"/>
      <c r="Q266" s="152">
        <f>668</f>
        <v>668</v>
      </c>
      <c r="R266" s="152">
        <f t="shared" si="50"/>
        <v>0</v>
      </c>
      <c r="S266" s="152"/>
      <c r="T266" s="152"/>
      <c r="U266" s="152"/>
      <c r="V266" s="152"/>
      <c r="W266" s="152"/>
      <c r="X266" s="158">
        <f t="shared" ref="X266" si="55">SUM(T266:W266)</f>
        <v>0</v>
      </c>
      <c r="Y266" s="232">
        <f t="shared" ref="Y266" si="56">R266+X266</f>
        <v>0</v>
      </c>
      <c r="Z266" s="304"/>
      <c r="AA266" s="326"/>
    </row>
    <row r="267" spans="1:28" ht="24.95" hidden="1" customHeight="1" x14ac:dyDescent="0.2">
      <c r="A267" s="79">
        <v>2</v>
      </c>
      <c r="B267" s="114" t="s">
        <v>462</v>
      </c>
      <c r="C267" s="28" t="s">
        <v>463</v>
      </c>
      <c r="D267" s="157"/>
      <c r="E267" s="157"/>
      <c r="F267" s="152"/>
      <c r="G267" s="152"/>
      <c r="H267" s="152"/>
      <c r="I267" s="152"/>
      <c r="J267" s="152"/>
      <c r="K267" s="152">
        <f>-913</f>
        <v>-913</v>
      </c>
      <c r="L267" s="152"/>
      <c r="M267" s="152"/>
      <c r="N267" s="152"/>
      <c r="O267" s="152"/>
      <c r="P267" s="152"/>
      <c r="Q267" s="152">
        <f>913</f>
        <v>913</v>
      </c>
      <c r="R267" s="152">
        <f t="shared" si="50"/>
        <v>0</v>
      </c>
      <c r="S267" s="152"/>
      <c r="T267" s="152"/>
      <c r="U267" s="152"/>
      <c r="V267" s="152"/>
      <c r="W267" s="152"/>
      <c r="X267" s="158">
        <f t="shared" si="47"/>
        <v>0</v>
      </c>
      <c r="Y267" s="232">
        <f t="shared" si="48"/>
        <v>0</v>
      </c>
      <c r="Z267" s="304"/>
      <c r="AA267" s="326"/>
    </row>
    <row r="268" spans="1:28" ht="33" hidden="1" customHeight="1" x14ac:dyDescent="0.2">
      <c r="A268" s="79">
        <v>3</v>
      </c>
      <c r="B268" s="114" t="s">
        <v>467</v>
      </c>
      <c r="C268" s="28" t="s">
        <v>468</v>
      </c>
      <c r="D268" s="157"/>
      <c r="E268" s="157"/>
      <c r="F268" s="152"/>
      <c r="G268" s="152"/>
      <c r="H268" s="152"/>
      <c r="I268" s="152"/>
      <c r="J268" s="152"/>
      <c r="K268" s="152">
        <f>-24765</f>
        <v>-24765</v>
      </c>
      <c r="L268" s="152">
        <f>19500+5265</f>
        <v>24765</v>
      </c>
      <c r="M268" s="152"/>
      <c r="N268" s="152"/>
      <c r="O268" s="152"/>
      <c r="P268" s="152"/>
      <c r="Q268" s="152"/>
      <c r="R268" s="152">
        <f t="shared" si="50"/>
        <v>0</v>
      </c>
      <c r="S268" s="152"/>
      <c r="T268" s="152"/>
      <c r="U268" s="152"/>
      <c r="V268" s="152"/>
      <c r="W268" s="152"/>
      <c r="X268" s="158">
        <f t="shared" ref="X268" si="57">SUM(T268:W268)</f>
        <v>0</v>
      </c>
      <c r="Y268" s="232">
        <f t="shared" ref="Y268" si="58">R268+X268</f>
        <v>0</v>
      </c>
      <c r="Z268" s="304"/>
      <c r="AA268" s="326"/>
    </row>
    <row r="269" spans="1:28" ht="33" hidden="1" customHeight="1" x14ac:dyDescent="0.2">
      <c r="A269" s="79">
        <v>4</v>
      </c>
      <c r="B269" s="114" t="s">
        <v>464</v>
      </c>
      <c r="C269" s="28" t="s">
        <v>465</v>
      </c>
      <c r="D269" s="157"/>
      <c r="E269" s="157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>
        <v>200000</v>
      </c>
      <c r="R269" s="152">
        <f t="shared" si="50"/>
        <v>200000</v>
      </c>
      <c r="S269" s="152"/>
      <c r="T269" s="152"/>
      <c r="U269" s="152"/>
      <c r="V269" s="152"/>
      <c r="W269" s="152"/>
      <c r="X269" s="158">
        <f t="shared" si="47"/>
        <v>0</v>
      </c>
      <c r="Y269" s="232">
        <f t="shared" si="48"/>
        <v>200000</v>
      </c>
      <c r="Z269" s="304"/>
      <c r="AA269" s="326"/>
    </row>
    <row r="270" spans="1:28" ht="33" hidden="1" customHeight="1" x14ac:dyDescent="0.2">
      <c r="A270" s="79">
        <v>5</v>
      </c>
      <c r="B270" s="114" t="s">
        <v>466</v>
      </c>
      <c r="C270" s="28" t="s">
        <v>469</v>
      </c>
      <c r="D270" s="157"/>
      <c r="E270" s="157"/>
      <c r="F270" s="152"/>
      <c r="G270" s="152"/>
      <c r="H270" s="152"/>
      <c r="I270" s="152"/>
      <c r="J270" s="152"/>
      <c r="K270" s="152"/>
      <c r="L270" s="152">
        <f>-5720-1545</f>
        <v>-7265</v>
      </c>
      <c r="M270" s="152"/>
      <c r="N270" s="152"/>
      <c r="O270" s="152"/>
      <c r="P270" s="152"/>
      <c r="Q270" s="152">
        <f>7265</f>
        <v>7265</v>
      </c>
      <c r="R270" s="152">
        <f t="shared" si="50"/>
        <v>0</v>
      </c>
      <c r="S270" s="152"/>
      <c r="T270" s="152"/>
      <c r="U270" s="152"/>
      <c r="V270" s="152"/>
      <c r="W270" s="152"/>
      <c r="X270" s="158">
        <f t="shared" si="47"/>
        <v>0</v>
      </c>
      <c r="Y270" s="232">
        <f t="shared" si="48"/>
        <v>0</v>
      </c>
      <c r="Z270" s="304"/>
      <c r="AA270" s="326"/>
    </row>
    <row r="271" spans="1:28" ht="24.95" hidden="1" customHeight="1" x14ac:dyDescent="0.2">
      <c r="A271" s="79">
        <v>6</v>
      </c>
      <c r="B271" s="114" t="s">
        <v>470</v>
      </c>
      <c r="C271" s="28" t="s">
        <v>471</v>
      </c>
      <c r="D271" s="157"/>
      <c r="E271" s="157"/>
      <c r="F271" s="152">
        <f>866+234</f>
        <v>1100</v>
      </c>
      <c r="G271" s="152"/>
      <c r="H271" s="152"/>
      <c r="I271" s="152"/>
      <c r="J271" s="152"/>
      <c r="K271" s="152"/>
      <c r="L271" s="152">
        <f>-866-234</f>
        <v>-1100</v>
      </c>
      <c r="M271" s="152"/>
      <c r="N271" s="152"/>
      <c r="O271" s="152"/>
      <c r="P271" s="152"/>
      <c r="Q271" s="152"/>
      <c r="R271" s="152">
        <f t="shared" si="50"/>
        <v>0</v>
      </c>
      <c r="S271" s="152"/>
      <c r="T271" s="152"/>
      <c r="U271" s="152"/>
      <c r="V271" s="152"/>
      <c r="W271" s="152"/>
      <c r="X271" s="158">
        <f t="shared" si="47"/>
        <v>0</v>
      </c>
      <c r="Y271" s="232">
        <f t="shared" si="48"/>
        <v>0</v>
      </c>
      <c r="Z271" s="304"/>
      <c r="AA271" s="326"/>
    </row>
    <row r="272" spans="1:28" ht="24.95" hidden="1" customHeight="1" x14ac:dyDescent="0.2">
      <c r="A272" s="79">
        <v>7</v>
      </c>
      <c r="B272" s="308" t="s">
        <v>472</v>
      </c>
      <c r="C272" s="28" t="s">
        <v>341</v>
      </c>
      <c r="D272" s="157"/>
      <c r="E272" s="157"/>
      <c r="F272" s="152"/>
      <c r="G272" s="152"/>
      <c r="H272" s="152"/>
      <c r="I272" s="152"/>
      <c r="J272" s="152">
        <f>300</f>
        <v>300</v>
      </c>
      <c r="K272" s="152">
        <f>-300</f>
        <v>-300</v>
      </c>
      <c r="L272" s="152"/>
      <c r="M272" s="152"/>
      <c r="N272" s="152"/>
      <c r="O272" s="152"/>
      <c r="P272" s="152"/>
      <c r="Q272" s="152"/>
      <c r="R272" s="152">
        <f t="shared" si="50"/>
        <v>0</v>
      </c>
      <c r="S272" s="152"/>
      <c r="T272" s="152"/>
      <c r="U272" s="152"/>
      <c r="V272" s="152"/>
      <c r="W272" s="152"/>
      <c r="X272" s="158">
        <f t="shared" si="47"/>
        <v>0</v>
      </c>
      <c r="Y272" s="232">
        <f t="shared" si="48"/>
        <v>0</v>
      </c>
      <c r="Z272" s="304"/>
      <c r="AA272" s="326"/>
    </row>
    <row r="273" spans="1:27" ht="24.95" hidden="1" customHeight="1" x14ac:dyDescent="0.2">
      <c r="A273" s="79">
        <v>8</v>
      </c>
      <c r="B273" s="27" t="s">
        <v>473</v>
      </c>
      <c r="C273" s="28" t="s">
        <v>382</v>
      </c>
      <c r="D273" s="157">
        <f>-1250</f>
        <v>-1250</v>
      </c>
      <c r="E273" s="157">
        <f>-248</f>
        <v>-248</v>
      </c>
      <c r="F273" s="152">
        <f>1498</f>
        <v>1498</v>
      </c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>
        <f t="shared" si="50"/>
        <v>0</v>
      </c>
      <c r="S273" s="152"/>
      <c r="T273" s="152"/>
      <c r="U273" s="152"/>
      <c r="V273" s="152"/>
      <c r="W273" s="152"/>
      <c r="X273" s="158">
        <f t="shared" si="47"/>
        <v>0</v>
      </c>
      <c r="Y273" s="232">
        <f t="shared" si="48"/>
        <v>0</v>
      </c>
      <c r="Z273" s="304"/>
      <c r="AA273" s="326"/>
    </row>
    <row r="274" spans="1:27" ht="24.95" hidden="1" customHeight="1" x14ac:dyDescent="0.2">
      <c r="A274" s="79">
        <v>9</v>
      </c>
      <c r="B274" s="27" t="s">
        <v>474</v>
      </c>
      <c r="C274" s="28" t="s">
        <v>475</v>
      </c>
      <c r="D274" s="157"/>
      <c r="E274" s="157"/>
      <c r="F274" s="152"/>
      <c r="G274" s="152"/>
      <c r="H274" s="152"/>
      <c r="I274" s="152"/>
      <c r="J274" s="152"/>
      <c r="K274" s="152">
        <f>-12700</f>
        <v>-12700</v>
      </c>
      <c r="L274" s="152">
        <f>10000+2700</f>
        <v>12700</v>
      </c>
      <c r="M274" s="152"/>
      <c r="N274" s="152"/>
      <c r="O274" s="152"/>
      <c r="P274" s="152"/>
      <c r="Q274" s="152"/>
      <c r="R274" s="152">
        <f t="shared" si="50"/>
        <v>0</v>
      </c>
      <c r="S274" s="152"/>
      <c r="T274" s="152"/>
      <c r="U274" s="152"/>
      <c r="V274" s="152"/>
      <c r="W274" s="152"/>
      <c r="X274" s="158">
        <f t="shared" si="47"/>
        <v>0</v>
      </c>
      <c r="Y274" s="232">
        <f t="shared" si="48"/>
        <v>0</v>
      </c>
      <c r="Z274" s="304"/>
      <c r="AA274" s="326"/>
    </row>
    <row r="275" spans="1:27" ht="24.95" hidden="1" customHeight="1" x14ac:dyDescent="0.2">
      <c r="A275" s="79">
        <v>10</v>
      </c>
      <c r="B275" s="27" t="s">
        <v>476</v>
      </c>
      <c r="C275" s="28" t="s">
        <v>477</v>
      </c>
      <c r="D275" s="152"/>
      <c r="E275" s="152"/>
      <c r="F275" s="152"/>
      <c r="G275" s="152"/>
      <c r="H275" s="152"/>
      <c r="I275" s="152"/>
      <c r="J275" s="152"/>
      <c r="K275" s="152">
        <f>-635</f>
        <v>-635</v>
      </c>
      <c r="L275" s="152"/>
      <c r="M275" s="152"/>
      <c r="N275" s="152"/>
      <c r="O275" s="152"/>
      <c r="P275" s="152"/>
      <c r="Q275" s="152"/>
      <c r="R275" s="152">
        <f t="shared" si="50"/>
        <v>-635</v>
      </c>
      <c r="S275" s="152"/>
      <c r="T275" s="152"/>
      <c r="U275" s="152"/>
      <c r="V275" s="152"/>
      <c r="W275" s="152"/>
      <c r="X275" s="158">
        <f t="shared" si="47"/>
        <v>0</v>
      </c>
      <c r="Y275" s="232">
        <f t="shared" si="48"/>
        <v>-635</v>
      </c>
      <c r="Z275" s="304">
        <f>635</f>
        <v>635</v>
      </c>
      <c r="AA275" s="326"/>
    </row>
    <row r="276" spans="1:27" ht="32.25" hidden="1" customHeight="1" x14ac:dyDescent="0.2">
      <c r="A276" s="79">
        <v>11</v>
      </c>
      <c r="B276" s="27" t="s">
        <v>479</v>
      </c>
      <c r="C276" s="85" t="s">
        <v>480</v>
      </c>
      <c r="D276" s="152"/>
      <c r="E276" s="152"/>
      <c r="F276" s="152">
        <f>1338+362+236+64</f>
        <v>2000</v>
      </c>
      <c r="G276" s="152"/>
      <c r="H276" s="152"/>
      <c r="I276" s="152"/>
      <c r="J276" s="152"/>
      <c r="K276" s="152"/>
      <c r="L276" s="152">
        <f>-1338-362-236-64</f>
        <v>-2000</v>
      </c>
      <c r="M276" s="152"/>
      <c r="N276" s="152"/>
      <c r="O276" s="152"/>
      <c r="P276" s="152"/>
      <c r="Q276" s="152"/>
      <c r="R276" s="152">
        <f t="shared" si="50"/>
        <v>0</v>
      </c>
      <c r="S276" s="152"/>
      <c r="T276" s="152"/>
      <c r="U276" s="152"/>
      <c r="V276" s="152"/>
      <c r="W276" s="152"/>
      <c r="X276" s="158">
        <f t="shared" si="47"/>
        <v>0</v>
      </c>
      <c r="Y276" s="232">
        <f t="shared" si="48"/>
        <v>0</v>
      </c>
      <c r="Z276" s="304"/>
      <c r="AA276" s="326"/>
    </row>
    <row r="277" spans="1:27" ht="24.95" hidden="1" customHeight="1" x14ac:dyDescent="0.2">
      <c r="A277" s="79">
        <v>12</v>
      </c>
      <c r="B277" s="27" t="s">
        <v>481</v>
      </c>
      <c r="C277" s="28" t="s">
        <v>482</v>
      </c>
      <c r="D277" s="152"/>
      <c r="E277" s="152"/>
      <c r="F277" s="152"/>
      <c r="G277" s="152"/>
      <c r="H277" s="152"/>
      <c r="I277" s="152"/>
      <c r="J277" s="152">
        <f>1142</f>
        <v>1142</v>
      </c>
      <c r="K277" s="152">
        <f>-1142</f>
        <v>-1142</v>
      </c>
      <c r="L277" s="152"/>
      <c r="M277" s="152"/>
      <c r="N277" s="152"/>
      <c r="O277" s="152"/>
      <c r="P277" s="152"/>
      <c r="Q277" s="152"/>
      <c r="R277" s="152">
        <f t="shared" si="50"/>
        <v>0</v>
      </c>
      <c r="S277" s="152"/>
      <c r="T277" s="152"/>
      <c r="U277" s="152"/>
      <c r="V277" s="152"/>
      <c r="W277" s="152"/>
      <c r="X277" s="158">
        <f t="shared" si="47"/>
        <v>0</v>
      </c>
      <c r="Y277" s="232">
        <f t="shared" si="48"/>
        <v>0</v>
      </c>
      <c r="Z277" s="304"/>
      <c r="AA277" s="326"/>
    </row>
    <row r="278" spans="1:27" ht="24.95" hidden="1" customHeight="1" x14ac:dyDescent="0.2">
      <c r="A278" s="79">
        <v>13</v>
      </c>
      <c r="B278" s="297" t="s">
        <v>483</v>
      </c>
      <c r="C278" s="28" t="s">
        <v>484</v>
      </c>
      <c r="D278" s="152"/>
      <c r="E278" s="152"/>
      <c r="F278" s="152">
        <f>394+106</f>
        <v>500</v>
      </c>
      <c r="G278" s="152"/>
      <c r="H278" s="152"/>
      <c r="I278" s="152"/>
      <c r="J278" s="152"/>
      <c r="K278" s="152"/>
      <c r="L278" s="152">
        <f>-394-106</f>
        <v>-500</v>
      </c>
      <c r="M278" s="152"/>
      <c r="N278" s="152"/>
      <c r="O278" s="152"/>
      <c r="P278" s="152"/>
      <c r="Q278" s="152"/>
      <c r="R278" s="152">
        <f t="shared" si="50"/>
        <v>0</v>
      </c>
      <c r="S278" s="152"/>
      <c r="T278" s="152"/>
      <c r="U278" s="152"/>
      <c r="V278" s="152"/>
      <c r="W278" s="152"/>
      <c r="X278" s="158">
        <f t="shared" si="47"/>
        <v>0</v>
      </c>
      <c r="Y278" s="232">
        <f t="shared" si="48"/>
        <v>0</v>
      </c>
      <c r="Z278" s="304"/>
      <c r="AA278" s="326"/>
    </row>
    <row r="279" spans="1:27" ht="24.95" hidden="1" customHeight="1" x14ac:dyDescent="0.2">
      <c r="A279" s="79">
        <v>14</v>
      </c>
      <c r="B279" s="44" t="s">
        <v>486</v>
      </c>
      <c r="C279" s="85" t="s">
        <v>485</v>
      </c>
      <c r="D279" s="152"/>
      <c r="E279" s="152"/>
      <c r="F279" s="152"/>
      <c r="G279" s="152"/>
      <c r="H279" s="152"/>
      <c r="I279" s="152"/>
      <c r="J279" s="152"/>
      <c r="K279" s="152">
        <f>2418.8</f>
        <v>2418.8000000000002</v>
      </c>
      <c r="L279" s="152"/>
      <c r="M279" s="152"/>
      <c r="N279" s="152"/>
      <c r="O279" s="152"/>
      <c r="P279" s="152"/>
      <c r="Q279" s="152"/>
      <c r="R279" s="152">
        <f t="shared" si="50"/>
        <v>2418.8000000000002</v>
      </c>
      <c r="S279" s="152"/>
      <c r="T279" s="152"/>
      <c r="U279" s="152"/>
      <c r="V279" s="152"/>
      <c r="W279" s="152"/>
      <c r="X279" s="158">
        <f t="shared" si="47"/>
        <v>0</v>
      </c>
      <c r="Y279" s="232">
        <f t="shared" si="48"/>
        <v>2418.8000000000002</v>
      </c>
      <c r="Z279" s="304"/>
      <c r="AA279" s="326"/>
    </row>
    <row r="280" spans="1:27" ht="24.95" hidden="1" customHeight="1" x14ac:dyDescent="0.2">
      <c r="A280" s="79">
        <v>15</v>
      </c>
      <c r="B280" s="44" t="s">
        <v>487</v>
      </c>
      <c r="C280" s="28" t="s">
        <v>489</v>
      </c>
      <c r="D280" s="152"/>
      <c r="E280" s="152"/>
      <c r="F280" s="152">
        <f>236+64</f>
        <v>300</v>
      </c>
      <c r="G280" s="152"/>
      <c r="H280" s="152"/>
      <c r="I280" s="152"/>
      <c r="J280" s="152"/>
      <c r="K280" s="152"/>
      <c r="L280" s="152">
        <f>-236-64</f>
        <v>-300</v>
      </c>
      <c r="M280" s="152"/>
      <c r="N280" s="152"/>
      <c r="O280" s="152"/>
      <c r="P280" s="152"/>
      <c r="Q280" s="152"/>
      <c r="R280" s="152">
        <f t="shared" si="50"/>
        <v>0</v>
      </c>
      <c r="S280" s="152"/>
      <c r="T280" s="152"/>
      <c r="U280" s="152"/>
      <c r="V280" s="152"/>
      <c r="W280" s="152"/>
      <c r="X280" s="158">
        <f t="shared" si="47"/>
        <v>0</v>
      </c>
      <c r="Y280" s="232">
        <f t="shared" si="48"/>
        <v>0</v>
      </c>
      <c r="Z280" s="304"/>
      <c r="AA280" s="326"/>
    </row>
    <row r="281" spans="1:27" ht="24.95" hidden="1" customHeight="1" x14ac:dyDescent="0.2">
      <c r="A281" s="79">
        <v>16</v>
      </c>
      <c r="B281" s="225" t="s">
        <v>488</v>
      </c>
      <c r="C281" s="28" t="s">
        <v>490</v>
      </c>
      <c r="D281" s="152"/>
      <c r="E281" s="152"/>
      <c r="F281" s="152"/>
      <c r="G281" s="152"/>
      <c r="H281" s="152"/>
      <c r="I281" s="152"/>
      <c r="J281" s="152"/>
      <c r="K281" s="152">
        <f>-18669</f>
        <v>-18669</v>
      </c>
      <c r="L281" s="152"/>
      <c r="M281" s="152"/>
      <c r="N281" s="152"/>
      <c r="O281" s="152"/>
      <c r="P281" s="152"/>
      <c r="Q281" s="152"/>
      <c r="R281" s="152">
        <f t="shared" si="50"/>
        <v>-18669</v>
      </c>
      <c r="S281" s="152"/>
      <c r="T281" s="152"/>
      <c r="U281" s="152"/>
      <c r="V281" s="152"/>
      <c r="W281" s="152"/>
      <c r="X281" s="158">
        <f t="shared" si="47"/>
        <v>0</v>
      </c>
      <c r="Y281" s="232">
        <f t="shared" si="48"/>
        <v>-18669</v>
      </c>
      <c r="Z281" s="304">
        <f>18669</f>
        <v>18669</v>
      </c>
      <c r="AA281" s="326"/>
    </row>
    <row r="282" spans="1:27" ht="24.95" hidden="1" customHeight="1" x14ac:dyDescent="0.2">
      <c r="A282" s="79">
        <v>17</v>
      </c>
      <c r="B282" s="225" t="s">
        <v>493</v>
      </c>
      <c r="C282" s="28" t="s">
        <v>492</v>
      </c>
      <c r="D282" s="152"/>
      <c r="E282" s="152"/>
      <c r="F282" s="152">
        <f>-2673</f>
        <v>-2673</v>
      </c>
      <c r="G282" s="152"/>
      <c r="H282" s="152"/>
      <c r="I282" s="152"/>
      <c r="J282" s="152"/>
      <c r="K282" s="152"/>
      <c r="L282" s="152">
        <f>2673</f>
        <v>2673</v>
      </c>
      <c r="M282" s="152"/>
      <c r="N282" s="152"/>
      <c r="O282" s="152"/>
      <c r="P282" s="152"/>
      <c r="Q282" s="152"/>
      <c r="R282" s="152">
        <f t="shared" si="50"/>
        <v>0</v>
      </c>
      <c r="S282" s="152"/>
      <c r="T282" s="152"/>
      <c r="U282" s="152"/>
      <c r="V282" s="152"/>
      <c r="W282" s="152"/>
      <c r="X282" s="158">
        <f t="shared" si="47"/>
        <v>0</v>
      </c>
      <c r="Y282" s="232">
        <f t="shared" si="48"/>
        <v>0</v>
      </c>
      <c r="Z282" s="304"/>
      <c r="AA282" s="326"/>
    </row>
    <row r="283" spans="1:27" ht="24.95" hidden="1" customHeight="1" x14ac:dyDescent="0.2">
      <c r="A283" s="79">
        <v>18</v>
      </c>
      <c r="B283" s="225" t="s">
        <v>494</v>
      </c>
      <c r="C283" s="33" t="s">
        <v>495</v>
      </c>
      <c r="D283" s="152"/>
      <c r="E283" s="152"/>
      <c r="F283" s="152">
        <f>-3625-979</f>
        <v>-4604</v>
      </c>
      <c r="G283" s="152"/>
      <c r="H283" s="152"/>
      <c r="I283" s="152"/>
      <c r="J283" s="152"/>
      <c r="K283" s="152"/>
      <c r="L283" s="152"/>
      <c r="M283" s="152">
        <f>3625+979</f>
        <v>4604</v>
      </c>
      <c r="N283" s="152"/>
      <c r="O283" s="152"/>
      <c r="P283" s="152"/>
      <c r="Q283" s="152"/>
      <c r="R283" s="152">
        <f t="shared" si="50"/>
        <v>0</v>
      </c>
      <c r="S283" s="152"/>
      <c r="T283" s="152"/>
      <c r="U283" s="152"/>
      <c r="V283" s="152"/>
      <c r="W283" s="152"/>
      <c r="X283" s="158">
        <f t="shared" si="47"/>
        <v>0</v>
      </c>
      <c r="Y283" s="232">
        <f t="shared" si="48"/>
        <v>0</v>
      </c>
      <c r="Z283" s="304"/>
      <c r="AA283" s="326"/>
    </row>
    <row r="284" spans="1:27" ht="24.95" hidden="1" customHeight="1" x14ac:dyDescent="0.2">
      <c r="A284" s="79">
        <v>19</v>
      </c>
      <c r="B284" s="225" t="s">
        <v>496</v>
      </c>
      <c r="C284" s="28" t="s">
        <v>498</v>
      </c>
      <c r="D284" s="152"/>
      <c r="E284" s="152"/>
      <c r="F284" s="152"/>
      <c r="G284" s="152"/>
      <c r="H284" s="152"/>
      <c r="I284" s="152"/>
      <c r="J284" s="152"/>
      <c r="K284" s="152">
        <f>1318</f>
        <v>1318</v>
      </c>
      <c r="L284" s="152"/>
      <c r="M284" s="152"/>
      <c r="N284" s="152"/>
      <c r="O284" s="152"/>
      <c r="P284" s="152"/>
      <c r="Q284" s="152"/>
      <c r="R284" s="152">
        <f t="shared" si="50"/>
        <v>1318</v>
      </c>
      <c r="S284" s="152"/>
      <c r="T284" s="152"/>
      <c r="U284" s="152"/>
      <c r="V284" s="152"/>
      <c r="W284" s="152"/>
      <c r="X284" s="158">
        <f t="shared" si="47"/>
        <v>0</v>
      </c>
      <c r="Y284" s="232">
        <f t="shared" si="48"/>
        <v>1318</v>
      </c>
      <c r="Z284" s="304">
        <f>-1318</f>
        <v>-1318</v>
      </c>
      <c r="AA284" s="326"/>
    </row>
    <row r="285" spans="1:27" ht="24.95" hidden="1" customHeight="1" x14ac:dyDescent="0.2">
      <c r="A285" s="79">
        <v>20</v>
      </c>
      <c r="B285" s="225" t="s">
        <v>501</v>
      </c>
      <c r="C285" s="33" t="s">
        <v>500</v>
      </c>
      <c r="D285" s="152"/>
      <c r="E285" s="152"/>
      <c r="F285" s="152"/>
      <c r="G285" s="152"/>
      <c r="H285" s="152"/>
      <c r="I285" s="152"/>
      <c r="J285" s="152"/>
      <c r="K285" s="152">
        <f>1710</f>
        <v>1710</v>
      </c>
      <c r="L285" s="152"/>
      <c r="M285" s="152"/>
      <c r="N285" s="152"/>
      <c r="O285" s="152"/>
      <c r="P285" s="152"/>
      <c r="Q285" s="152"/>
      <c r="R285" s="152">
        <f t="shared" si="50"/>
        <v>1710</v>
      </c>
      <c r="S285" s="152"/>
      <c r="T285" s="152"/>
      <c r="U285" s="152"/>
      <c r="V285" s="152"/>
      <c r="W285" s="152"/>
      <c r="X285" s="158">
        <f t="shared" si="47"/>
        <v>0</v>
      </c>
      <c r="Y285" s="232">
        <f t="shared" si="48"/>
        <v>1710</v>
      </c>
      <c r="Z285" s="304"/>
      <c r="AA285" s="326"/>
    </row>
    <row r="286" spans="1:27" ht="24.95" hidden="1" customHeight="1" x14ac:dyDescent="0.2">
      <c r="A286" s="79">
        <v>21</v>
      </c>
      <c r="B286" s="44" t="s">
        <v>502</v>
      </c>
      <c r="C286" s="33" t="s">
        <v>503</v>
      </c>
      <c r="D286" s="152"/>
      <c r="E286" s="152"/>
      <c r="F286" s="152"/>
      <c r="G286" s="152"/>
      <c r="H286" s="152"/>
      <c r="I286" s="152"/>
      <c r="K286" s="152">
        <f>-161975</f>
        <v>-161975</v>
      </c>
      <c r="L286" s="152">
        <f>127539+34436</f>
        <v>161975</v>
      </c>
      <c r="M286" s="152"/>
      <c r="N286" s="152"/>
      <c r="P286" s="152"/>
      <c r="Q286" s="152"/>
      <c r="R286" s="152">
        <f>SUM(D286:Q286)</f>
        <v>0</v>
      </c>
      <c r="S286" s="152"/>
      <c r="T286" s="152"/>
      <c r="U286" s="152"/>
      <c r="V286" s="152"/>
      <c r="W286" s="152"/>
      <c r="X286" s="158">
        <f t="shared" si="47"/>
        <v>0</v>
      </c>
      <c r="Y286" s="232">
        <f t="shared" si="48"/>
        <v>0</v>
      </c>
      <c r="Z286" s="304"/>
      <c r="AA286" s="326"/>
    </row>
    <row r="287" spans="1:27" ht="24.95" hidden="1" customHeight="1" x14ac:dyDescent="0.2">
      <c r="A287" s="79">
        <v>22</v>
      </c>
      <c r="B287" s="44" t="s">
        <v>504</v>
      </c>
      <c r="C287" s="28" t="s">
        <v>507</v>
      </c>
      <c r="D287" s="152"/>
      <c r="E287" s="152"/>
      <c r="F287" s="152"/>
      <c r="G287" s="152"/>
      <c r="H287" s="152"/>
      <c r="I287" s="152"/>
      <c r="J287" s="152"/>
      <c r="K287" s="152">
        <f>-109830</f>
        <v>-109830</v>
      </c>
      <c r="L287" s="152">
        <f>20000+5400+4000+1080+14961+4039+25000+6750+7559+2041</f>
        <v>90830</v>
      </c>
      <c r="M287" s="152">
        <f>14961+4039</f>
        <v>19000</v>
      </c>
      <c r="N287" s="152"/>
      <c r="O287" s="152"/>
      <c r="P287" s="152"/>
      <c r="Q287" s="152"/>
      <c r="R287" s="152">
        <f t="shared" si="50"/>
        <v>0</v>
      </c>
      <c r="S287" s="152"/>
      <c r="T287" s="152"/>
      <c r="U287" s="152"/>
      <c r="V287" s="152"/>
      <c r="W287" s="152"/>
      <c r="X287" s="158">
        <f t="shared" si="47"/>
        <v>0</v>
      </c>
      <c r="Y287" s="232">
        <f t="shared" si="48"/>
        <v>0</v>
      </c>
      <c r="Z287" s="304"/>
      <c r="AA287" s="326"/>
    </row>
    <row r="288" spans="1:27" ht="24.95" hidden="1" customHeight="1" x14ac:dyDescent="0.2">
      <c r="A288" s="79">
        <v>23</v>
      </c>
      <c r="B288" s="225" t="s">
        <v>505</v>
      </c>
      <c r="C288" s="28" t="s">
        <v>506</v>
      </c>
      <c r="D288" s="152"/>
      <c r="E288" s="152"/>
      <c r="F288" s="152">
        <f>472+128</f>
        <v>600</v>
      </c>
      <c r="G288" s="152"/>
      <c r="H288" s="152"/>
      <c r="I288" s="152"/>
      <c r="J288" s="152"/>
      <c r="K288" s="152"/>
      <c r="L288" s="152">
        <f>-472-128</f>
        <v>-600</v>
      </c>
      <c r="M288" s="152"/>
      <c r="N288" s="152"/>
      <c r="O288" s="152"/>
      <c r="P288" s="152"/>
      <c r="Q288" s="152"/>
      <c r="R288" s="152">
        <f t="shared" si="50"/>
        <v>0</v>
      </c>
      <c r="S288" s="152"/>
      <c r="T288" s="152"/>
      <c r="U288" s="152"/>
      <c r="V288" s="152"/>
      <c r="W288" s="152"/>
      <c r="X288" s="158">
        <f t="shared" si="47"/>
        <v>0</v>
      </c>
      <c r="Y288" s="232">
        <f t="shared" si="48"/>
        <v>0</v>
      </c>
      <c r="Z288" s="304"/>
      <c r="AA288" s="326"/>
    </row>
    <row r="289" spans="1:27" ht="24.95" hidden="1" customHeight="1" x14ac:dyDescent="0.2">
      <c r="A289" s="79">
        <v>24</v>
      </c>
      <c r="B289" s="44" t="s">
        <v>508</v>
      </c>
      <c r="C289" s="33" t="s">
        <v>489</v>
      </c>
      <c r="D289" s="152"/>
      <c r="E289" s="152"/>
      <c r="F289" s="152">
        <f>213+57</f>
        <v>270</v>
      </c>
      <c r="G289" s="152"/>
      <c r="H289" s="152"/>
      <c r="I289" s="152"/>
      <c r="J289" s="152"/>
      <c r="K289" s="152"/>
      <c r="L289" s="152">
        <f>-213-57</f>
        <v>-270</v>
      </c>
      <c r="M289" s="152"/>
      <c r="N289" s="152"/>
      <c r="O289" s="152"/>
      <c r="P289" s="152"/>
      <c r="Q289" s="152"/>
      <c r="R289" s="152">
        <f t="shared" si="50"/>
        <v>0</v>
      </c>
      <c r="S289" s="152"/>
      <c r="T289" s="152"/>
      <c r="U289" s="152"/>
      <c r="V289" s="152"/>
      <c r="W289" s="152"/>
      <c r="X289" s="158">
        <f t="shared" si="47"/>
        <v>0</v>
      </c>
      <c r="Y289" s="232">
        <f t="shared" si="48"/>
        <v>0</v>
      </c>
      <c r="Z289" s="304"/>
      <c r="AA289" s="326"/>
    </row>
    <row r="290" spans="1:27" ht="24.95" hidden="1" customHeight="1" x14ac:dyDescent="0.2">
      <c r="A290" s="79">
        <v>25</v>
      </c>
      <c r="B290" s="44" t="s">
        <v>509</v>
      </c>
      <c r="C290" s="33" t="s">
        <v>510</v>
      </c>
      <c r="D290" s="152"/>
      <c r="E290" s="152"/>
      <c r="F290" s="152"/>
      <c r="G290" s="152"/>
      <c r="H290" s="152"/>
      <c r="I290" s="152"/>
      <c r="J290" s="152"/>
      <c r="K290" s="152">
        <f>467</f>
        <v>467</v>
      </c>
      <c r="L290" s="152"/>
      <c r="M290" s="152"/>
      <c r="N290" s="152"/>
      <c r="O290" s="152"/>
      <c r="P290" s="152"/>
      <c r="Q290" s="152"/>
      <c r="R290" s="152">
        <f t="shared" si="50"/>
        <v>467</v>
      </c>
      <c r="S290" s="152"/>
      <c r="T290" s="152"/>
      <c r="U290" s="152"/>
      <c r="V290" s="152"/>
      <c r="W290" s="152"/>
      <c r="X290" s="158">
        <f t="shared" si="47"/>
        <v>0</v>
      </c>
      <c r="Y290" s="232">
        <f t="shared" si="48"/>
        <v>467</v>
      </c>
      <c r="Z290" s="304"/>
      <c r="AA290" s="326"/>
    </row>
    <row r="291" spans="1:27" ht="24.95" hidden="1" customHeight="1" x14ac:dyDescent="0.2">
      <c r="A291" s="79">
        <v>26</v>
      </c>
      <c r="B291" s="44" t="s">
        <v>523</v>
      </c>
      <c r="C291" s="28" t="s">
        <v>527</v>
      </c>
      <c r="D291" s="152"/>
      <c r="E291" s="152"/>
      <c r="F291" s="152">
        <f>-876.1</f>
        <v>-876.1</v>
      </c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>
        <f t="shared" si="50"/>
        <v>-876.1</v>
      </c>
      <c r="S291" s="152"/>
      <c r="T291" s="152"/>
      <c r="U291" s="152"/>
      <c r="V291" s="152"/>
      <c r="W291" s="152"/>
      <c r="X291" s="158">
        <f t="shared" si="47"/>
        <v>0</v>
      </c>
      <c r="Y291" s="232">
        <f t="shared" si="48"/>
        <v>-876.1</v>
      </c>
      <c r="Z291" s="304">
        <f>876.1</f>
        <v>876.1</v>
      </c>
      <c r="AA291" s="326"/>
    </row>
    <row r="292" spans="1:27" ht="24.95" hidden="1" customHeight="1" x14ac:dyDescent="0.2">
      <c r="A292" s="79">
        <v>27</v>
      </c>
      <c r="B292" s="44" t="s">
        <v>524</v>
      </c>
      <c r="C292" s="33" t="s">
        <v>528</v>
      </c>
      <c r="D292" s="152"/>
      <c r="E292" s="152"/>
      <c r="F292" s="152"/>
      <c r="G292" s="152"/>
      <c r="H292" s="152"/>
      <c r="I292" s="152"/>
      <c r="J292" s="152"/>
      <c r="K292" s="152">
        <f>-6060</f>
        <v>-6060</v>
      </c>
      <c r="L292" s="152"/>
      <c r="M292" s="152"/>
      <c r="N292" s="152"/>
      <c r="O292" s="152"/>
      <c r="P292" s="152"/>
      <c r="Q292" s="152"/>
      <c r="R292" s="152">
        <f t="shared" si="50"/>
        <v>-6060</v>
      </c>
      <c r="S292" s="152"/>
      <c r="T292" s="152"/>
      <c r="U292" s="152"/>
      <c r="V292" s="152"/>
      <c r="W292" s="152"/>
      <c r="X292" s="158">
        <f t="shared" si="47"/>
        <v>0</v>
      </c>
      <c r="Y292" s="232">
        <f t="shared" si="48"/>
        <v>-6060</v>
      </c>
      <c r="Z292" s="304">
        <f>6060</f>
        <v>6060</v>
      </c>
      <c r="AA292" s="326"/>
    </row>
    <row r="293" spans="1:27" ht="24.95" hidden="1" customHeight="1" x14ac:dyDescent="0.2">
      <c r="A293" s="79">
        <v>28</v>
      </c>
      <c r="B293" s="44" t="s">
        <v>525</v>
      </c>
      <c r="C293" s="28" t="s">
        <v>529</v>
      </c>
      <c r="D293" s="152"/>
      <c r="E293" s="152"/>
      <c r="F293" s="152">
        <f>-792</f>
        <v>-792</v>
      </c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>
        <f t="shared" si="50"/>
        <v>-792</v>
      </c>
      <c r="S293" s="152"/>
      <c r="T293" s="152"/>
      <c r="U293" s="152"/>
      <c r="V293" s="152"/>
      <c r="W293" s="152"/>
      <c r="X293" s="158">
        <f t="shared" si="47"/>
        <v>0</v>
      </c>
      <c r="Y293" s="232">
        <f t="shared" si="48"/>
        <v>-792</v>
      </c>
      <c r="Z293" s="304">
        <f>792</f>
        <v>792</v>
      </c>
      <c r="AA293" s="326"/>
    </row>
    <row r="294" spans="1:27" ht="24.95" hidden="1" customHeight="1" x14ac:dyDescent="0.2">
      <c r="A294" s="79">
        <v>29</v>
      </c>
      <c r="B294" s="44" t="s">
        <v>526</v>
      </c>
      <c r="C294" s="28" t="s">
        <v>530</v>
      </c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>
        <f t="shared" si="50"/>
        <v>0</v>
      </c>
      <c r="S294" s="152"/>
      <c r="T294" s="152"/>
      <c r="U294" s="152"/>
      <c r="V294" s="152"/>
      <c r="W294" s="152"/>
      <c r="X294" s="158">
        <f t="shared" si="47"/>
        <v>0</v>
      </c>
      <c r="Y294" s="232">
        <f t="shared" si="48"/>
        <v>0</v>
      </c>
      <c r="Z294" s="304">
        <f>10795</f>
        <v>10795</v>
      </c>
      <c r="AA294" s="326"/>
    </row>
    <row r="295" spans="1:27" ht="24.95" hidden="1" customHeight="1" x14ac:dyDescent="0.2">
      <c r="A295" s="79">
        <v>30</v>
      </c>
      <c r="B295" s="225" t="s">
        <v>511</v>
      </c>
      <c r="C295" s="28" t="s">
        <v>512</v>
      </c>
      <c r="D295" s="152"/>
      <c r="E295" s="152"/>
      <c r="F295" s="152">
        <f>-5000-1350</f>
        <v>-6350</v>
      </c>
      <c r="G295" s="152"/>
      <c r="H295" s="152"/>
      <c r="I295" s="152"/>
      <c r="J295" s="152"/>
      <c r="K295" s="152"/>
      <c r="L295" s="152">
        <f>5000+1350</f>
        <v>6350</v>
      </c>
      <c r="M295" s="152"/>
      <c r="N295" s="152"/>
      <c r="O295" s="152"/>
      <c r="P295" s="152"/>
      <c r="Q295" s="152"/>
      <c r="R295" s="152">
        <f t="shared" si="50"/>
        <v>0</v>
      </c>
      <c r="S295" s="152"/>
      <c r="T295" s="152"/>
      <c r="U295" s="152"/>
      <c r="V295" s="152"/>
      <c r="W295" s="152"/>
      <c r="X295" s="158">
        <f t="shared" si="47"/>
        <v>0</v>
      </c>
      <c r="Y295" s="232">
        <f t="shared" si="48"/>
        <v>0</v>
      </c>
      <c r="Z295" s="304"/>
      <c r="AA295" s="326"/>
    </row>
    <row r="296" spans="1:27" ht="24.95" hidden="1" customHeight="1" x14ac:dyDescent="0.2">
      <c r="A296" s="79">
        <v>31</v>
      </c>
      <c r="B296" s="223" t="s">
        <v>513</v>
      </c>
      <c r="C296" s="28" t="s">
        <v>514</v>
      </c>
      <c r="D296" s="152"/>
      <c r="E296" s="152"/>
      <c r="F296" s="152">
        <f>29+8</f>
        <v>37</v>
      </c>
      <c r="G296" s="152"/>
      <c r="H296" s="152"/>
      <c r="I296" s="152"/>
      <c r="J296" s="152"/>
      <c r="K296" s="152"/>
      <c r="L296" s="152">
        <f>-29-8</f>
        <v>-37</v>
      </c>
      <c r="M296" s="152"/>
      <c r="N296" s="152"/>
      <c r="O296" s="152"/>
      <c r="P296" s="152"/>
      <c r="Q296" s="152"/>
      <c r="R296" s="152">
        <f t="shared" si="50"/>
        <v>0</v>
      </c>
      <c r="S296" s="152"/>
      <c r="T296" s="152"/>
      <c r="U296" s="152"/>
      <c r="V296" s="152"/>
      <c r="W296" s="152"/>
      <c r="X296" s="158">
        <f t="shared" si="47"/>
        <v>0</v>
      </c>
      <c r="Y296" s="232">
        <f t="shared" si="48"/>
        <v>0</v>
      </c>
      <c r="Z296" s="304"/>
      <c r="AA296" s="326"/>
    </row>
    <row r="297" spans="1:27" ht="24.95" hidden="1" customHeight="1" x14ac:dyDescent="0.2">
      <c r="A297" s="79">
        <v>32</v>
      </c>
      <c r="B297" s="223" t="s">
        <v>515</v>
      </c>
      <c r="C297" s="28" t="s">
        <v>516</v>
      </c>
      <c r="D297" s="152"/>
      <c r="E297" s="152">
        <f>7+6</f>
        <v>13</v>
      </c>
      <c r="F297" s="152">
        <f>-73+38+17+5</f>
        <v>-13</v>
      </c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>
        <f t="shared" si="50"/>
        <v>0</v>
      </c>
      <c r="S297" s="152"/>
      <c r="T297" s="152"/>
      <c r="U297" s="152"/>
      <c r="V297" s="152"/>
      <c r="W297" s="152"/>
      <c r="X297" s="158">
        <f t="shared" si="47"/>
        <v>0</v>
      </c>
      <c r="Y297" s="232">
        <f t="shared" si="48"/>
        <v>0</v>
      </c>
      <c r="Z297" s="304"/>
      <c r="AA297" s="326"/>
    </row>
    <row r="298" spans="1:27" ht="24.95" hidden="1" customHeight="1" x14ac:dyDescent="0.2">
      <c r="A298" s="79">
        <v>33</v>
      </c>
      <c r="B298" s="223" t="s">
        <v>517</v>
      </c>
      <c r="C298" s="85" t="s">
        <v>518</v>
      </c>
      <c r="D298" s="152"/>
      <c r="E298" s="152"/>
      <c r="F298" s="152"/>
      <c r="G298" s="152"/>
      <c r="H298" s="152"/>
      <c r="I298" s="152"/>
      <c r="J298" s="152"/>
      <c r="K298" s="152">
        <f>21500</f>
        <v>21500</v>
      </c>
      <c r="L298" s="152"/>
      <c r="M298" s="152"/>
      <c r="N298" s="152"/>
      <c r="O298" s="152"/>
      <c r="P298" s="152"/>
      <c r="Q298" s="152"/>
      <c r="R298" s="152">
        <f t="shared" si="50"/>
        <v>21500</v>
      </c>
      <c r="S298" s="152"/>
      <c r="T298" s="152"/>
      <c r="U298" s="152"/>
      <c r="V298" s="152"/>
      <c r="W298" s="152"/>
      <c r="X298" s="158">
        <f t="shared" si="47"/>
        <v>0</v>
      </c>
      <c r="Y298" s="232">
        <f t="shared" si="48"/>
        <v>21500</v>
      </c>
      <c r="Z298" s="304"/>
      <c r="AA298" s="326"/>
    </row>
    <row r="299" spans="1:27" ht="24.95" hidden="1" customHeight="1" x14ac:dyDescent="0.2">
      <c r="A299" s="79">
        <v>34</v>
      </c>
      <c r="B299" s="223" t="s">
        <v>519</v>
      </c>
      <c r="C299" s="28" t="s">
        <v>520</v>
      </c>
      <c r="D299" s="152"/>
      <c r="E299" s="152"/>
      <c r="F299" s="152">
        <f>3750+1013</f>
        <v>4763</v>
      </c>
      <c r="G299" s="152"/>
      <c r="H299" s="152"/>
      <c r="I299" s="152"/>
      <c r="J299" s="152"/>
      <c r="K299" s="152">
        <f>-4763</f>
        <v>-4763</v>
      </c>
      <c r="L299" s="152"/>
      <c r="M299" s="152"/>
      <c r="N299" s="152"/>
      <c r="O299" s="152"/>
      <c r="P299" s="152"/>
      <c r="Q299" s="152"/>
      <c r="R299" s="152">
        <f t="shared" si="50"/>
        <v>0</v>
      </c>
      <c r="S299" s="152"/>
      <c r="T299" s="152"/>
      <c r="U299" s="152"/>
      <c r="V299" s="152"/>
      <c r="W299" s="152"/>
      <c r="X299" s="158">
        <f t="shared" si="47"/>
        <v>0</v>
      </c>
      <c r="Y299" s="232">
        <f t="shared" si="48"/>
        <v>0</v>
      </c>
      <c r="Z299" s="304"/>
      <c r="AA299" s="326"/>
    </row>
    <row r="300" spans="1:27" ht="24.95" hidden="1" customHeight="1" x14ac:dyDescent="0.2">
      <c r="A300" s="79">
        <v>35</v>
      </c>
      <c r="B300" s="223" t="s">
        <v>521</v>
      </c>
      <c r="C300" s="28" t="s">
        <v>522</v>
      </c>
      <c r="D300" s="152"/>
      <c r="E300" s="152"/>
      <c r="F300" s="152">
        <f>3150+850</f>
        <v>4000</v>
      </c>
      <c r="G300" s="152"/>
      <c r="H300" s="152"/>
      <c r="I300" s="152"/>
      <c r="J300" s="152"/>
      <c r="K300" s="152">
        <f>-4000</f>
        <v>-4000</v>
      </c>
      <c r="L300" s="152"/>
      <c r="M300" s="152"/>
      <c r="N300" s="152"/>
      <c r="O300" s="152"/>
      <c r="P300" s="152"/>
      <c r="Q300" s="152"/>
      <c r="R300" s="152">
        <f t="shared" si="50"/>
        <v>0</v>
      </c>
      <c r="S300" s="152"/>
      <c r="T300" s="152"/>
      <c r="U300" s="152"/>
      <c r="V300" s="152"/>
      <c r="W300" s="152"/>
      <c r="X300" s="158">
        <f t="shared" si="47"/>
        <v>0</v>
      </c>
      <c r="Y300" s="232">
        <f t="shared" si="48"/>
        <v>0</v>
      </c>
      <c r="Z300" s="304"/>
      <c r="AA300" s="326"/>
    </row>
    <row r="301" spans="1:27" ht="24.95" hidden="1" customHeight="1" x14ac:dyDescent="0.2">
      <c r="A301" s="79">
        <v>36</v>
      </c>
      <c r="B301" s="30" t="s">
        <v>531</v>
      </c>
      <c r="C301" s="33" t="s">
        <v>532</v>
      </c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>
        <f t="shared" si="50"/>
        <v>0</v>
      </c>
      <c r="S301" s="152"/>
      <c r="T301" s="152"/>
      <c r="U301" s="152"/>
      <c r="V301" s="152"/>
      <c r="W301" s="152"/>
      <c r="X301" s="158">
        <f t="shared" si="47"/>
        <v>0</v>
      </c>
      <c r="Y301" s="232">
        <f t="shared" si="48"/>
        <v>0</v>
      </c>
      <c r="Z301" s="304">
        <f>785.476</f>
        <v>785.476</v>
      </c>
      <c r="AA301" s="326"/>
    </row>
    <row r="302" spans="1:27" ht="24.95" hidden="1" customHeight="1" x14ac:dyDescent="0.2">
      <c r="A302" s="79">
        <v>37</v>
      </c>
      <c r="B302" s="30" t="s">
        <v>531</v>
      </c>
      <c r="C302" s="34" t="s">
        <v>533</v>
      </c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>
        <f t="shared" si="50"/>
        <v>0</v>
      </c>
      <c r="S302" s="152"/>
      <c r="T302" s="152"/>
      <c r="U302" s="152"/>
      <c r="V302" s="152"/>
      <c r="W302" s="152"/>
      <c r="X302" s="158">
        <f t="shared" si="47"/>
        <v>0</v>
      </c>
      <c r="Y302" s="232">
        <f t="shared" si="48"/>
        <v>0</v>
      </c>
      <c r="Z302" s="304">
        <v>1185.2080000000001</v>
      </c>
      <c r="AA302" s="326"/>
    </row>
    <row r="303" spans="1:27" ht="24.95" hidden="1" customHeight="1" x14ac:dyDescent="0.2">
      <c r="A303" s="79">
        <v>38</v>
      </c>
      <c r="B303" s="30" t="s">
        <v>531</v>
      </c>
      <c r="C303" s="40" t="s">
        <v>534</v>
      </c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>
        <f t="shared" si="50"/>
        <v>0</v>
      </c>
      <c r="S303" s="152"/>
      <c r="T303" s="152"/>
      <c r="U303" s="152"/>
      <c r="V303" s="152"/>
      <c r="W303" s="152"/>
      <c r="X303" s="158">
        <f t="shared" si="47"/>
        <v>0</v>
      </c>
      <c r="Y303" s="232">
        <f t="shared" si="48"/>
        <v>0</v>
      </c>
      <c r="Z303" s="304">
        <v>184.98599999999999</v>
      </c>
      <c r="AA303" s="326"/>
    </row>
    <row r="304" spans="1:27" ht="24.95" hidden="1" customHeight="1" x14ac:dyDescent="0.2">
      <c r="A304" s="79">
        <v>39</v>
      </c>
      <c r="B304" s="655" t="s">
        <v>535</v>
      </c>
      <c r="C304" s="40" t="s">
        <v>536</v>
      </c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>
        <f t="shared" si="50"/>
        <v>0</v>
      </c>
      <c r="S304" s="152"/>
      <c r="T304" s="152"/>
      <c r="U304" s="152"/>
      <c r="V304" s="152"/>
      <c r="W304" s="152"/>
      <c r="X304" s="158">
        <f t="shared" si="47"/>
        <v>0</v>
      </c>
      <c r="Y304" s="232">
        <f t="shared" si="48"/>
        <v>0</v>
      </c>
      <c r="Z304" s="304">
        <v>7559.1279999999997</v>
      </c>
      <c r="AA304" s="326"/>
    </row>
    <row r="305" spans="1:27" ht="24.95" hidden="1" customHeight="1" x14ac:dyDescent="0.2">
      <c r="A305" s="79">
        <v>40</v>
      </c>
      <c r="B305" s="222" t="s">
        <v>539</v>
      </c>
      <c r="C305" s="40" t="s">
        <v>383</v>
      </c>
      <c r="D305" s="152"/>
      <c r="E305" s="152"/>
      <c r="F305" s="167">
        <f>2000+540</f>
        <v>2540</v>
      </c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>
        <f t="shared" si="50"/>
        <v>2540</v>
      </c>
      <c r="S305" s="152"/>
      <c r="T305" s="152"/>
      <c r="U305" s="152"/>
      <c r="V305" s="152"/>
      <c r="W305" s="152"/>
      <c r="X305" s="158">
        <f t="shared" si="47"/>
        <v>0</v>
      </c>
      <c r="Y305" s="232">
        <f t="shared" si="48"/>
        <v>2540</v>
      </c>
      <c r="Z305" s="304"/>
      <c r="AA305" s="326"/>
    </row>
    <row r="306" spans="1:27" ht="24.95" hidden="1" customHeight="1" x14ac:dyDescent="0.2">
      <c r="A306" s="79"/>
      <c r="B306" s="30"/>
      <c r="C306" s="28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>
        <f t="shared" si="50"/>
        <v>0</v>
      </c>
      <c r="S306" s="152"/>
      <c r="T306" s="152"/>
      <c r="U306" s="152"/>
      <c r="V306" s="152"/>
      <c r="W306" s="152"/>
      <c r="X306" s="158">
        <f t="shared" si="47"/>
        <v>0</v>
      </c>
      <c r="Y306" s="232">
        <f t="shared" si="48"/>
        <v>0</v>
      </c>
      <c r="Z306" s="304"/>
      <c r="AA306" s="326"/>
    </row>
    <row r="307" spans="1:27" ht="24.95" hidden="1" customHeight="1" x14ac:dyDescent="0.2">
      <c r="A307" s="79"/>
      <c r="B307" s="223"/>
      <c r="C307" s="28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>
        <f t="shared" si="50"/>
        <v>0</v>
      </c>
      <c r="S307" s="152"/>
      <c r="T307" s="152"/>
      <c r="U307" s="152"/>
      <c r="V307" s="152"/>
      <c r="W307" s="152"/>
      <c r="X307" s="158">
        <f t="shared" si="47"/>
        <v>0</v>
      </c>
      <c r="Y307" s="232">
        <f t="shared" si="48"/>
        <v>0</v>
      </c>
      <c r="Z307" s="304"/>
      <c r="AA307" s="326"/>
    </row>
    <row r="308" spans="1:27" ht="24.95" hidden="1" customHeight="1" x14ac:dyDescent="0.2">
      <c r="A308" s="79"/>
      <c r="B308" s="30"/>
      <c r="C308" s="28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>
        <f t="shared" si="50"/>
        <v>0</v>
      </c>
      <c r="S308" s="152"/>
      <c r="T308" s="152"/>
      <c r="U308" s="152"/>
      <c r="V308" s="152"/>
      <c r="W308" s="152"/>
      <c r="X308" s="158">
        <f t="shared" si="47"/>
        <v>0</v>
      </c>
      <c r="Y308" s="232">
        <f t="shared" si="48"/>
        <v>0</v>
      </c>
      <c r="Z308" s="304"/>
      <c r="AA308" s="326"/>
    </row>
    <row r="309" spans="1:27" ht="24.95" hidden="1" customHeight="1" x14ac:dyDescent="0.2">
      <c r="A309" s="79"/>
      <c r="B309" s="489"/>
      <c r="C309" s="28"/>
      <c r="D309" s="152"/>
      <c r="E309" s="152"/>
      <c r="F309" s="152"/>
      <c r="G309" s="152"/>
      <c r="H309" s="152"/>
      <c r="I309" s="152"/>
      <c r="J309" s="328"/>
      <c r="K309" s="152"/>
      <c r="L309" s="152"/>
      <c r="M309" s="152"/>
      <c r="N309" s="152"/>
      <c r="O309" s="152"/>
      <c r="P309" s="152"/>
      <c r="Q309" s="152"/>
      <c r="R309" s="152">
        <f t="shared" si="50"/>
        <v>0</v>
      </c>
      <c r="S309" s="152"/>
      <c r="T309" s="152"/>
      <c r="U309" s="152"/>
      <c r="V309" s="152"/>
      <c r="W309" s="152"/>
      <c r="X309" s="158">
        <f t="shared" si="47"/>
        <v>0</v>
      </c>
      <c r="Y309" s="232">
        <f t="shared" si="48"/>
        <v>0</v>
      </c>
      <c r="Z309" s="304"/>
      <c r="AA309" s="326"/>
    </row>
    <row r="310" spans="1:27" ht="24.95" hidden="1" customHeight="1" x14ac:dyDescent="0.2">
      <c r="A310" s="79"/>
      <c r="B310" s="30"/>
      <c r="C310" s="28"/>
      <c r="D310" s="152"/>
      <c r="E310" s="152"/>
      <c r="F310" s="152"/>
      <c r="G310" s="152"/>
      <c r="H310" s="152"/>
      <c r="I310" s="152"/>
      <c r="K310" s="152"/>
      <c r="L310" s="152"/>
      <c r="M310" s="152"/>
      <c r="N310" s="152"/>
      <c r="O310" s="152"/>
      <c r="P310" s="152"/>
      <c r="Q310" s="152"/>
      <c r="R310" s="152">
        <f t="shared" si="50"/>
        <v>0</v>
      </c>
      <c r="S310" s="152"/>
      <c r="T310" s="152"/>
      <c r="U310" s="152"/>
      <c r="V310" s="152"/>
      <c r="W310" s="152"/>
      <c r="X310" s="158">
        <f t="shared" si="47"/>
        <v>0</v>
      </c>
      <c r="Y310" s="232">
        <f t="shared" si="48"/>
        <v>0</v>
      </c>
      <c r="Z310" s="304"/>
      <c r="AA310" s="326"/>
    </row>
    <row r="311" spans="1:27" ht="24.95" hidden="1" customHeight="1" x14ac:dyDescent="0.2">
      <c r="A311" s="79"/>
      <c r="B311" s="30"/>
      <c r="C311" s="28"/>
      <c r="D311" s="152"/>
      <c r="E311" s="152"/>
      <c r="F311" s="152"/>
      <c r="G311" s="152"/>
      <c r="H311" s="152"/>
      <c r="I311" s="152"/>
      <c r="K311" s="152"/>
      <c r="L311" s="152"/>
      <c r="M311" s="152"/>
      <c r="N311" s="152"/>
      <c r="O311" s="152"/>
      <c r="P311" s="152"/>
      <c r="Q311" s="152"/>
      <c r="R311" s="152">
        <f t="shared" si="50"/>
        <v>0</v>
      </c>
      <c r="S311" s="152"/>
      <c r="T311" s="152"/>
      <c r="U311" s="152"/>
      <c r="V311" s="152"/>
      <c r="W311" s="152"/>
      <c r="X311" s="158">
        <f t="shared" si="47"/>
        <v>0</v>
      </c>
      <c r="Y311" s="232">
        <f t="shared" si="48"/>
        <v>0</v>
      </c>
      <c r="Z311" s="304"/>
      <c r="AA311" s="326"/>
    </row>
    <row r="312" spans="1:27" ht="24.95" hidden="1" customHeight="1" x14ac:dyDescent="0.2">
      <c r="A312" s="79"/>
      <c r="B312" s="30"/>
      <c r="C312" s="28"/>
      <c r="D312" s="152"/>
      <c r="E312" s="152"/>
      <c r="F312" s="152"/>
      <c r="G312" s="152"/>
      <c r="H312" s="152"/>
      <c r="I312" s="152"/>
      <c r="K312" s="152"/>
      <c r="L312" s="152"/>
      <c r="M312" s="152"/>
      <c r="N312" s="152"/>
      <c r="O312" s="152"/>
      <c r="P312" s="152"/>
      <c r="Q312" s="152"/>
      <c r="R312" s="152">
        <f t="shared" si="50"/>
        <v>0</v>
      </c>
      <c r="S312" s="152"/>
      <c r="T312" s="152"/>
      <c r="U312" s="152"/>
      <c r="V312" s="152"/>
      <c r="W312" s="152"/>
      <c r="X312" s="158">
        <f t="shared" si="47"/>
        <v>0</v>
      </c>
      <c r="Y312" s="232">
        <f t="shared" si="48"/>
        <v>0</v>
      </c>
      <c r="Z312" s="304"/>
      <c r="AA312" s="326"/>
    </row>
    <row r="313" spans="1:27" ht="24.95" hidden="1" customHeight="1" x14ac:dyDescent="0.2">
      <c r="A313" s="79"/>
      <c r="B313" s="30"/>
      <c r="C313" s="28"/>
      <c r="D313" s="152"/>
      <c r="E313" s="152"/>
      <c r="F313" s="152"/>
      <c r="G313" s="152"/>
      <c r="H313" s="152"/>
      <c r="I313" s="152"/>
      <c r="K313" s="152"/>
      <c r="L313" s="152"/>
      <c r="M313" s="152"/>
      <c r="N313" s="152"/>
      <c r="O313" s="152"/>
      <c r="P313" s="152"/>
      <c r="Q313" s="152"/>
      <c r="R313" s="152">
        <f t="shared" si="50"/>
        <v>0</v>
      </c>
      <c r="S313" s="152"/>
      <c r="T313" s="152"/>
      <c r="U313" s="152"/>
      <c r="V313" s="152"/>
      <c r="W313" s="152"/>
      <c r="X313" s="158">
        <f t="shared" si="47"/>
        <v>0</v>
      </c>
      <c r="Y313" s="232">
        <f t="shared" si="48"/>
        <v>0</v>
      </c>
      <c r="Z313" s="304"/>
      <c r="AA313" s="326"/>
    </row>
    <row r="314" spans="1:27" ht="24.95" hidden="1" customHeight="1" x14ac:dyDescent="0.2">
      <c r="A314" s="79"/>
      <c r="B314" s="30"/>
      <c r="C314" s="28"/>
      <c r="D314" s="152"/>
      <c r="E314" s="152"/>
      <c r="F314" s="152"/>
      <c r="G314" s="152"/>
      <c r="H314" s="152"/>
      <c r="I314" s="152"/>
      <c r="K314" s="152"/>
      <c r="L314" s="152"/>
      <c r="M314" s="152"/>
      <c r="N314" s="152"/>
      <c r="O314" s="152"/>
      <c r="P314" s="152"/>
      <c r="Q314" s="152"/>
      <c r="R314" s="152">
        <f t="shared" si="50"/>
        <v>0</v>
      </c>
      <c r="S314" s="152"/>
      <c r="T314" s="152"/>
      <c r="U314" s="152"/>
      <c r="V314" s="152"/>
      <c r="W314" s="152"/>
      <c r="X314" s="158">
        <f t="shared" si="47"/>
        <v>0</v>
      </c>
      <c r="Y314" s="232">
        <f t="shared" si="48"/>
        <v>0</v>
      </c>
      <c r="Z314" s="304"/>
      <c r="AA314" s="326"/>
    </row>
    <row r="315" spans="1:27" ht="24.95" hidden="1" customHeight="1" x14ac:dyDescent="0.2">
      <c r="A315" s="79"/>
      <c r="B315" s="30"/>
      <c r="C315" s="28"/>
      <c r="D315" s="152"/>
      <c r="E315" s="152"/>
      <c r="F315" s="152"/>
      <c r="G315" s="152"/>
      <c r="H315" s="152"/>
      <c r="I315" s="152"/>
      <c r="K315" s="152"/>
      <c r="L315" s="152"/>
      <c r="M315" s="152"/>
      <c r="N315" s="152"/>
      <c r="O315" s="152"/>
      <c r="P315" s="152"/>
      <c r="Q315" s="152"/>
      <c r="R315" s="152">
        <f t="shared" si="50"/>
        <v>0</v>
      </c>
      <c r="S315" s="152"/>
      <c r="T315" s="152"/>
      <c r="U315" s="152"/>
      <c r="V315" s="152"/>
      <c r="W315" s="152"/>
      <c r="X315" s="158">
        <f t="shared" si="47"/>
        <v>0</v>
      </c>
      <c r="Y315" s="232">
        <f t="shared" si="48"/>
        <v>0</v>
      </c>
      <c r="Z315" s="304"/>
      <c r="AA315" s="326"/>
    </row>
    <row r="316" spans="1:27" ht="24.95" hidden="1" customHeight="1" x14ac:dyDescent="0.2">
      <c r="A316" s="79"/>
      <c r="B316" s="30"/>
      <c r="C316" s="28"/>
      <c r="D316" s="152"/>
      <c r="E316" s="152"/>
      <c r="F316" s="152"/>
      <c r="G316" s="152"/>
      <c r="H316" s="152"/>
      <c r="I316" s="152"/>
      <c r="K316" s="152"/>
      <c r="L316" s="152"/>
      <c r="M316" s="152"/>
      <c r="N316" s="152"/>
      <c r="O316" s="152"/>
      <c r="P316" s="152"/>
      <c r="Q316" s="152"/>
      <c r="R316" s="152">
        <f t="shared" si="50"/>
        <v>0</v>
      </c>
      <c r="S316" s="152"/>
      <c r="T316" s="152"/>
      <c r="U316" s="152"/>
      <c r="V316" s="152"/>
      <c r="W316" s="152"/>
      <c r="X316" s="158">
        <f t="shared" si="47"/>
        <v>0</v>
      </c>
      <c r="Y316" s="232">
        <f t="shared" si="48"/>
        <v>0</v>
      </c>
      <c r="Z316" s="304"/>
      <c r="AA316" s="326"/>
    </row>
    <row r="317" spans="1:27" ht="24.95" hidden="1" customHeight="1" x14ac:dyDescent="0.2">
      <c r="A317" s="79"/>
      <c r="B317" s="489"/>
      <c r="C317" s="28"/>
      <c r="D317" s="152"/>
      <c r="E317" s="152"/>
      <c r="F317" s="152"/>
      <c r="G317" s="152"/>
      <c r="H317" s="152"/>
      <c r="I317" s="152"/>
      <c r="K317" s="152"/>
      <c r="L317" s="152"/>
      <c r="M317" s="152"/>
      <c r="N317" s="152"/>
      <c r="O317" s="152"/>
      <c r="P317" s="152"/>
      <c r="Q317" s="152"/>
      <c r="R317" s="152">
        <f t="shared" si="50"/>
        <v>0</v>
      </c>
      <c r="S317" s="152"/>
      <c r="T317" s="152"/>
      <c r="U317" s="152"/>
      <c r="V317" s="152"/>
      <c r="W317" s="152"/>
      <c r="X317" s="158">
        <f>SUM(T317:W317)</f>
        <v>0</v>
      </c>
      <c r="Y317" s="232">
        <f>R317+X317</f>
        <v>0</v>
      </c>
      <c r="Z317" s="304"/>
      <c r="AA317" s="326"/>
    </row>
    <row r="318" spans="1:27" ht="24.95" hidden="1" customHeight="1" x14ac:dyDescent="0.2">
      <c r="A318" s="79"/>
      <c r="B318" s="30"/>
      <c r="C318" s="28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>
        <f t="shared" si="50"/>
        <v>0</v>
      </c>
      <c r="S318" s="152"/>
      <c r="T318" s="152"/>
      <c r="U318" s="152"/>
      <c r="V318" s="152"/>
      <c r="W318" s="152"/>
      <c r="X318" s="158">
        <f t="shared" si="47"/>
        <v>0</v>
      </c>
      <c r="Y318" s="232">
        <f t="shared" si="48"/>
        <v>0</v>
      </c>
      <c r="Z318" s="304"/>
      <c r="AA318" s="326"/>
    </row>
    <row r="319" spans="1:27" ht="24.95" hidden="1" customHeight="1" x14ac:dyDescent="0.2">
      <c r="A319" s="79"/>
      <c r="B319" s="30"/>
      <c r="C319" s="28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>
        <f t="shared" si="50"/>
        <v>0</v>
      </c>
      <c r="S319" s="152"/>
      <c r="T319" s="152"/>
      <c r="U319" s="152"/>
      <c r="V319" s="152"/>
      <c r="W319" s="152"/>
      <c r="X319" s="158">
        <f t="shared" si="47"/>
        <v>0</v>
      </c>
      <c r="Y319" s="232">
        <f t="shared" si="48"/>
        <v>0</v>
      </c>
      <c r="Z319" s="304"/>
      <c r="AA319" s="326"/>
    </row>
    <row r="320" spans="1:27" ht="24.95" hidden="1" customHeight="1" x14ac:dyDescent="0.2">
      <c r="A320" s="79"/>
      <c r="B320" s="30"/>
      <c r="C320" s="28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>
        <f t="shared" si="50"/>
        <v>0</v>
      </c>
      <c r="S320" s="152"/>
      <c r="T320" s="152"/>
      <c r="U320" s="152"/>
      <c r="V320" s="152"/>
      <c r="W320" s="152"/>
      <c r="X320" s="158">
        <f t="shared" si="47"/>
        <v>0</v>
      </c>
      <c r="Y320" s="232">
        <f t="shared" si="48"/>
        <v>0</v>
      </c>
      <c r="Z320" s="304"/>
      <c r="AA320" s="326"/>
    </row>
    <row r="321" spans="1:27" ht="24.95" hidden="1" customHeight="1" x14ac:dyDescent="0.2">
      <c r="A321" s="79"/>
      <c r="B321" s="30"/>
      <c r="C321" s="28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>
        <f t="shared" si="50"/>
        <v>0</v>
      </c>
      <c r="S321" s="152"/>
      <c r="T321" s="152"/>
      <c r="U321" s="152"/>
      <c r="V321" s="152"/>
      <c r="W321" s="152"/>
      <c r="X321" s="158">
        <f t="shared" si="47"/>
        <v>0</v>
      </c>
      <c r="Y321" s="232">
        <f t="shared" si="48"/>
        <v>0</v>
      </c>
      <c r="Z321" s="304"/>
      <c r="AA321" s="326"/>
    </row>
    <row r="322" spans="1:27" ht="24.95" hidden="1" customHeight="1" x14ac:dyDescent="0.2">
      <c r="A322" s="79"/>
      <c r="B322" s="30"/>
      <c r="C322" s="28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>
        <f t="shared" si="50"/>
        <v>0</v>
      </c>
      <c r="S322" s="152"/>
      <c r="T322" s="152"/>
      <c r="U322" s="152"/>
      <c r="V322" s="152"/>
      <c r="W322" s="152"/>
      <c r="X322" s="158">
        <f t="shared" si="47"/>
        <v>0</v>
      </c>
      <c r="Y322" s="232">
        <f t="shared" si="48"/>
        <v>0</v>
      </c>
      <c r="Z322" s="304"/>
      <c r="AA322" s="326"/>
    </row>
    <row r="323" spans="1:27" ht="24.95" hidden="1" customHeight="1" x14ac:dyDescent="0.2">
      <c r="A323" s="79"/>
      <c r="B323" s="30"/>
      <c r="C323" s="28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>
        <f t="shared" si="50"/>
        <v>0</v>
      </c>
      <c r="S323" s="152"/>
      <c r="T323" s="152"/>
      <c r="U323" s="152"/>
      <c r="V323" s="152"/>
      <c r="W323" s="152"/>
      <c r="X323" s="158">
        <f t="shared" si="47"/>
        <v>0</v>
      </c>
      <c r="Y323" s="232">
        <f t="shared" si="48"/>
        <v>0</v>
      </c>
      <c r="Z323" s="304"/>
      <c r="AA323" s="326"/>
    </row>
    <row r="324" spans="1:27" ht="24.95" hidden="1" customHeight="1" x14ac:dyDescent="0.2">
      <c r="A324" s="79"/>
      <c r="B324" s="30"/>
      <c r="C324" s="28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>
        <f t="shared" si="50"/>
        <v>0</v>
      </c>
      <c r="S324" s="152"/>
      <c r="T324" s="152"/>
      <c r="U324" s="152"/>
      <c r="V324" s="152"/>
      <c r="W324" s="152"/>
      <c r="X324" s="158">
        <f t="shared" si="47"/>
        <v>0</v>
      </c>
      <c r="Y324" s="232">
        <f t="shared" si="48"/>
        <v>0</v>
      </c>
      <c r="Z324" s="304"/>
      <c r="AA324" s="326"/>
    </row>
    <row r="325" spans="1:27" ht="24.95" hidden="1" customHeight="1" x14ac:dyDescent="0.2">
      <c r="A325" s="79"/>
      <c r="B325" s="30"/>
      <c r="C325" s="28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>
        <f t="shared" si="50"/>
        <v>0</v>
      </c>
      <c r="S325" s="152"/>
      <c r="T325" s="152"/>
      <c r="U325" s="152"/>
      <c r="V325" s="152"/>
      <c r="W325" s="152"/>
      <c r="X325" s="158">
        <f t="shared" si="47"/>
        <v>0</v>
      </c>
      <c r="Y325" s="232">
        <f t="shared" si="48"/>
        <v>0</v>
      </c>
      <c r="Z325" s="304"/>
      <c r="AA325" s="326"/>
    </row>
    <row r="326" spans="1:27" ht="24.95" hidden="1" customHeight="1" x14ac:dyDescent="0.2">
      <c r="A326" s="79"/>
      <c r="B326" s="30"/>
      <c r="C326" s="28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>
        <f t="shared" si="50"/>
        <v>0</v>
      </c>
      <c r="S326" s="152"/>
      <c r="T326" s="152"/>
      <c r="U326" s="152"/>
      <c r="V326" s="152"/>
      <c r="W326" s="152"/>
      <c r="X326" s="158">
        <f t="shared" si="47"/>
        <v>0</v>
      </c>
      <c r="Y326" s="232">
        <f t="shared" si="48"/>
        <v>0</v>
      </c>
      <c r="Z326" s="304"/>
      <c r="AA326" s="326"/>
    </row>
    <row r="327" spans="1:27" ht="24.95" hidden="1" customHeight="1" x14ac:dyDescent="0.2">
      <c r="A327" s="79"/>
      <c r="B327" s="30"/>
      <c r="C327" s="28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>
        <f t="shared" si="50"/>
        <v>0</v>
      </c>
      <c r="S327" s="152"/>
      <c r="T327" s="152"/>
      <c r="U327" s="152"/>
      <c r="V327" s="152"/>
      <c r="W327" s="152"/>
      <c r="X327" s="158">
        <f t="shared" si="47"/>
        <v>0</v>
      </c>
      <c r="Y327" s="232">
        <f t="shared" si="48"/>
        <v>0</v>
      </c>
      <c r="Z327" s="304"/>
      <c r="AA327" s="326"/>
    </row>
    <row r="328" spans="1:27" ht="24.95" hidden="1" customHeight="1" x14ac:dyDescent="0.2">
      <c r="A328" s="79"/>
      <c r="B328" s="30"/>
      <c r="C328" s="28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>
        <f t="shared" si="50"/>
        <v>0</v>
      </c>
      <c r="S328" s="152"/>
      <c r="T328" s="152"/>
      <c r="U328" s="152"/>
      <c r="V328" s="152"/>
      <c r="W328" s="152"/>
      <c r="X328" s="158">
        <f t="shared" si="47"/>
        <v>0</v>
      </c>
      <c r="Y328" s="232">
        <f t="shared" si="48"/>
        <v>0</v>
      </c>
      <c r="Z328" s="304"/>
      <c r="AA328" s="326"/>
    </row>
    <row r="329" spans="1:27" ht="24.95" hidden="1" customHeight="1" x14ac:dyDescent="0.2">
      <c r="A329" s="79"/>
      <c r="B329" s="30"/>
      <c r="C329" s="28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>
        <f t="shared" si="50"/>
        <v>0</v>
      </c>
      <c r="S329" s="152"/>
      <c r="T329" s="152"/>
      <c r="U329" s="152"/>
      <c r="V329" s="152"/>
      <c r="W329" s="152"/>
      <c r="X329" s="158">
        <f t="shared" si="47"/>
        <v>0</v>
      </c>
      <c r="Y329" s="232">
        <f t="shared" si="48"/>
        <v>0</v>
      </c>
      <c r="Z329" s="304"/>
      <c r="AA329" s="326"/>
    </row>
    <row r="330" spans="1:27" ht="24.95" hidden="1" customHeight="1" x14ac:dyDescent="0.2">
      <c r="A330" s="79"/>
      <c r="B330" s="30"/>
      <c r="C330" s="28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>
        <f t="shared" si="50"/>
        <v>0</v>
      </c>
      <c r="S330" s="152"/>
      <c r="T330" s="152"/>
      <c r="U330" s="152"/>
      <c r="V330" s="152"/>
      <c r="W330" s="152"/>
      <c r="X330" s="158">
        <f>SUM(T330:W330)</f>
        <v>0</v>
      </c>
      <c r="Y330" s="232">
        <f>R330+X330</f>
        <v>0</v>
      </c>
      <c r="Z330" s="304"/>
      <c r="AA330" s="326"/>
    </row>
    <row r="331" spans="1:27" ht="24.95" hidden="1" customHeight="1" x14ac:dyDescent="0.2">
      <c r="A331" s="79"/>
      <c r="B331" s="30"/>
      <c r="C331" s="28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>
        <f t="shared" si="50"/>
        <v>0</v>
      </c>
      <c r="S331" s="152"/>
      <c r="T331" s="152"/>
      <c r="U331" s="152"/>
      <c r="V331" s="152"/>
      <c r="W331" s="152"/>
      <c r="X331" s="158">
        <f>SUM(T331:W331)</f>
        <v>0</v>
      </c>
      <c r="Y331" s="232">
        <f>R331+X331</f>
        <v>0</v>
      </c>
      <c r="Z331" s="304"/>
      <c r="AA331" s="326"/>
    </row>
    <row r="332" spans="1:27" ht="24.95" hidden="1" customHeight="1" x14ac:dyDescent="0.2">
      <c r="A332" s="79"/>
      <c r="B332" s="30"/>
      <c r="C332" s="28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>
        <f t="shared" si="50"/>
        <v>0</v>
      </c>
      <c r="S332" s="152"/>
      <c r="T332" s="152"/>
      <c r="U332" s="152"/>
      <c r="V332" s="152"/>
      <c r="W332" s="152"/>
      <c r="X332" s="158">
        <f>SUM(T332:W332)</f>
        <v>0</v>
      </c>
      <c r="Y332" s="232">
        <f>R332+X332</f>
        <v>0</v>
      </c>
      <c r="Z332" s="304"/>
      <c r="AA332" s="326"/>
    </row>
    <row r="333" spans="1:27" ht="24.95" hidden="1" customHeight="1" x14ac:dyDescent="0.2">
      <c r="A333" s="79"/>
      <c r="B333" s="30"/>
      <c r="C333" s="28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>
        <f t="shared" si="50"/>
        <v>0</v>
      </c>
      <c r="S333" s="152"/>
      <c r="T333" s="152"/>
      <c r="U333" s="152"/>
      <c r="V333" s="152"/>
      <c r="W333" s="152"/>
      <c r="X333" s="158">
        <f t="shared" si="47"/>
        <v>0</v>
      </c>
      <c r="Y333" s="232">
        <f t="shared" si="48"/>
        <v>0</v>
      </c>
      <c r="Z333" s="304"/>
      <c r="AA333" s="326"/>
    </row>
    <row r="334" spans="1:27" ht="24.95" hidden="1" customHeight="1" x14ac:dyDescent="0.2">
      <c r="A334" s="79"/>
      <c r="B334" s="30"/>
      <c r="C334" s="28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>
        <f t="shared" si="50"/>
        <v>0</v>
      </c>
      <c r="S334" s="152"/>
      <c r="T334" s="152"/>
      <c r="U334" s="152"/>
      <c r="V334" s="152"/>
      <c r="W334" s="152"/>
      <c r="X334" s="158">
        <f t="shared" si="47"/>
        <v>0</v>
      </c>
      <c r="Y334" s="232">
        <f t="shared" si="48"/>
        <v>0</v>
      </c>
      <c r="Z334" s="304"/>
      <c r="AA334" s="326"/>
    </row>
    <row r="335" spans="1:27" ht="24.95" hidden="1" customHeight="1" x14ac:dyDescent="0.2">
      <c r="A335" s="79"/>
      <c r="B335" s="30"/>
      <c r="C335" s="28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>
        <f t="shared" si="50"/>
        <v>0</v>
      </c>
      <c r="S335" s="152"/>
      <c r="T335" s="152"/>
      <c r="U335" s="152"/>
      <c r="V335" s="152"/>
      <c r="W335" s="152"/>
      <c r="X335" s="158">
        <f t="shared" si="47"/>
        <v>0</v>
      </c>
      <c r="Y335" s="232">
        <f t="shared" si="48"/>
        <v>0</v>
      </c>
      <c r="Z335" s="304"/>
      <c r="AA335" s="326"/>
    </row>
    <row r="336" spans="1:27" ht="24.95" hidden="1" customHeight="1" x14ac:dyDescent="0.2">
      <c r="A336" s="79"/>
      <c r="B336" s="30"/>
      <c r="C336" s="28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>
        <f t="shared" si="50"/>
        <v>0</v>
      </c>
      <c r="S336" s="152"/>
      <c r="T336" s="152"/>
      <c r="U336" s="152"/>
      <c r="V336" s="152"/>
      <c r="W336" s="152"/>
      <c r="X336" s="158">
        <f t="shared" si="47"/>
        <v>0</v>
      </c>
      <c r="Y336" s="232">
        <f t="shared" si="48"/>
        <v>0</v>
      </c>
      <c r="Z336" s="304"/>
      <c r="AA336" s="326"/>
    </row>
    <row r="337" spans="1:27" ht="24.95" hidden="1" customHeight="1" x14ac:dyDescent="0.2">
      <c r="A337" s="79"/>
      <c r="B337" s="30"/>
      <c r="C337" s="28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>
        <f t="shared" si="50"/>
        <v>0</v>
      </c>
      <c r="S337" s="152"/>
      <c r="T337" s="152"/>
      <c r="U337" s="152"/>
      <c r="V337" s="152"/>
      <c r="W337" s="152"/>
      <c r="X337" s="158">
        <f t="shared" si="47"/>
        <v>0</v>
      </c>
      <c r="Y337" s="232">
        <f t="shared" si="48"/>
        <v>0</v>
      </c>
      <c r="Z337" s="304"/>
      <c r="AA337" s="326"/>
    </row>
    <row r="338" spans="1:27" ht="24.95" hidden="1" customHeight="1" x14ac:dyDescent="0.2">
      <c r="A338" s="79"/>
      <c r="B338" s="30"/>
      <c r="C338" s="28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>
        <f t="shared" si="50"/>
        <v>0</v>
      </c>
      <c r="S338" s="152"/>
      <c r="T338" s="152"/>
      <c r="U338" s="152"/>
      <c r="V338" s="152"/>
      <c r="W338" s="152"/>
      <c r="X338" s="158">
        <f t="shared" si="47"/>
        <v>0</v>
      </c>
      <c r="Y338" s="232">
        <f t="shared" si="48"/>
        <v>0</v>
      </c>
      <c r="Z338" s="304"/>
      <c r="AA338" s="326"/>
    </row>
    <row r="339" spans="1:27" ht="24.95" hidden="1" customHeight="1" x14ac:dyDescent="0.2">
      <c r="A339" s="79"/>
      <c r="B339" s="30"/>
      <c r="C339" s="28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>
        <f t="shared" si="50"/>
        <v>0</v>
      </c>
      <c r="S339" s="152"/>
      <c r="T339" s="152"/>
      <c r="U339" s="152"/>
      <c r="V339" s="152"/>
      <c r="W339" s="152"/>
      <c r="X339" s="158">
        <f t="shared" si="47"/>
        <v>0</v>
      </c>
      <c r="Y339" s="232">
        <f t="shared" si="48"/>
        <v>0</v>
      </c>
      <c r="Z339" s="304"/>
      <c r="AA339" s="326"/>
    </row>
    <row r="340" spans="1:27" ht="24.95" hidden="1" customHeight="1" x14ac:dyDescent="0.2">
      <c r="A340" s="79"/>
      <c r="B340" s="30"/>
      <c r="C340" s="28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>
        <f t="shared" si="50"/>
        <v>0</v>
      </c>
      <c r="S340" s="152"/>
      <c r="T340" s="152"/>
      <c r="U340" s="152"/>
      <c r="V340" s="152"/>
      <c r="W340" s="152"/>
      <c r="X340" s="158">
        <f t="shared" si="47"/>
        <v>0</v>
      </c>
      <c r="Y340" s="232">
        <f t="shared" si="48"/>
        <v>0</v>
      </c>
      <c r="Z340" s="304"/>
      <c r="AA340" s="326"/>
    </row>
    <row r="341" spans="1:27" ht="24.95" hidden="1" customHeight="1" x14ac:dyDescent="0.2">
      <c r="A341" s="79"/>
      <c r="B341" s="30"/>
      <c r="C341" s="28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>
        <f t="shared" si="50"/>
        <v>0</v>
      </c>
      <c r="S341" s="152"/>
      <c r="T341" s="152"/>
      <c r="U341" s="152"/>
      <c r="V341" s="152"/>
      <c r="W341" s="152"/>
      <c r="X341" s="158">
        <f>SUM(T341:W341)</f>
        <v>0</v>
      </c>
      <c r="Y341" s="232">
        <f>R341+X341</f>
        <v>0</v>
      </c>
      <c r="Z341" s="304"/>
      <c r="AA341" s="326"/>
    </row>
    <row r="342" spans="1:27" ht="24.95" hidden="1" customHeight="1" x14ac:dyDescent="0.2">
      <c r="A342" s="79"/>
      <c r="B342" s="223"/>
      <c r="C342" s="28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>
        <f t="shared" si="50"/>
        <v>0</v>
      </c>
      <c r="S342" s="152"/>
      <c r="T342" s="152"/>
      <c r="U342" s="152"/>
      <c r="V342" s="152"/>
      <c r="W342" s="152"/>
      <c r="X342" s="158">
        <f>SUM(T342:W342)</f>
        <v>0</v>
      </c>
      <c r="Y342" s="232">
        <f>R342+X342</f>
        <v>0</v>
      </c>
      <c r="Z342" s="304"/>
      <c r="AA342" s="326"/>
    </row>
    <row r="343" spans="1:27" ht="24.95" hidden="1" customHeight="1" x14ac:dyDescent="0.2">
      <c r="A343" s="79"/>
      <c r="B343" s="223"/>
      <c r="C343" s="28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>
        <f t="shared" si="50"/>
        <v>0</v>
      </c>
      <c r="S343" s="152"/>
      <c r="T343" s="152"/>
      <c r="U343" s="152"/>
      <c r="V343" s="152"/>
      <c r="W343" s="152"/>
      <c r="X343" s="158">
        <f t="shared" ref="X343:X350" si="59">SUM(T343:W343)</f>
        <v>0</v>
      </c>
      <c r="Y343" s="232">
        <f t="shared" ref="Y343:Y350" si="60">R343+X343</f>
        <v>0</v>
      </c>
      <c r="Z343" s="304"/>
      <c r="AA343" s="326"/>
    </row>
    <row r="344" spans="1:27" ht="24.95" hidden="1" customHeight="1" x14ac:dyDescent="0.2">
      <c r="A344" s="79"/>
      <c r="B344" s="223"/>
      <c r="C344" s="28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>
        <f t="shared" si="50"/>
        <v>0</v>
      </c>
      <c r="S344" s="152"/>
      <c r="T344" s="152"/>
      <c r="U344" s="152"/>
      <c r="V344" s="152"/>
      <c r="W344" s="152"/>
      <c r="X344" s="158">
        <f t="shared" si="59"/>
        <v>0</v>
      </c>
      <c r="Y344" s="232">
        <f t="shared" si="60"/>
        <v>0</v>
      </c>
      <c r="Z344" s="304"/>
      <c r="AA344" s="326"/>
    </row>
    <row r="345" spans="1:27" ht="24.95" hidden="1" customHeight="1" x14ac:dyDescent="0.2">
      <c r="A345" s="79"/>
      <c r="B345" s="223"/>
      <c r="C345" s="28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>
        <f t="shared" si="50"/>
        <v>0</v>
      </c>
      <c r="S345" s="152"/>
      <c r="T345" s="152"/>
      <c r="U345" s="152"/>
      <c r="V345" s="152"/>
      <c r="W345" s="152"/>
      <c r="X345" s="158">
        <f t="shared" si="59"/>
        <v>0</v>
      </c>
      <c r="Y345" s="232">
        <f t="shared" si="60"/>
        <v>0</v>
      </c>
      <c r="Z345" s="304"/>
      <c r="AA345" s="326"/>
    </row>
    <row r="346" spans="1:27" ht="24.95" hidden="1" customHeight="1" x14ac:dyDescent="0.2">
      <c r="A346" s="79"/>
      <c r="B346" s="223"/>
      <c r="C346" s="28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>
        <f t="shared" si="50"/>
        <v>0</v>
      </c>
      <c r="S346" s="152"/>
      <c r="T346" s="152"/>
      <c r="U346" s="152"/>
      <c r="V346" s="152"/>
      <c r="W346" s="152"/>
      <c r="X346" s="158">
        <f t="shared" si="59"/>
        <v>0</v>
      </c>
      <c r="Y346" s="232">
        <f t="shared" si="60"/>
        <v>0</v>
      </c>
      <c r="Z346" s="304"/>
      <c r="AA346" s="326"/>
    </row>
    <row r="347" spans="1:27" ht="24.95" hidden="1" customHeight="1" x14ac:dyDescent="0.2">
      <c r="A347" s="79"/>
      <c r="B347" s="223"/>
      <c r="C347" s="28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>
        <f t="shared" si="50"/>
        <v>0</v>
      </c>
      <c r="S347" s="152"/>
      <c r="T347" s="152"/>
      <c r="U347" s="152"/>
      <c r="V347" s="152"/>
      <c r="W347" s="152"/>
      <c r="X347" s="158">
        <f t="shared" si="59"/>
        <v>0</v>
      </c>
      <c r="Y347" s="232">
        <f t="shared" si="60"/>
        <v>0</v>
      </c>
      <c r="Z347" s="304"/>
      <c r="AA347" s="326"/>
    </row>
    <row r="348" spans="1:27" ht="24.95" hidden="1" customHeight="1" x14ac:dyDescent="0.2">
      <c r="A348" s="79"/>
      <c r="B348" s="223"/>
      <c r="C348" s="28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>
        <f t="shared" si="50"/>
        <v>0</v>
      </c>
      <c r="S348" s="152"/>
      <c r="T348" s="152"/>
      <c r="U348" s="152"/>
      <c r="V348" s="152"/>
      <c r="W348" s="152"/>
      <c r="X348" s="158">
        <f t="shared" si="59"/>
        <v>0</v>
      </c>
      <c r="Y348" s="232">
        <f t="shared" si="60"/>
        <v>0</v>
      </c>
      <c r="Z348" s="304"/>
      <c r="AA348" s="326"/>
    </row>
    <row r="349" spans="1:27" ht="24.95" hidden="1" customHeight="1" x14ac:dyDescent="0.2">
      <c r="A349" s="79"/>
      <c r="B349" s="223"/>
      <c r="C349" s="28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>
        <f t="shared" si="50"/>
        <v>0</v>
      </c>
      <c r="S349" s="152"/>
      <c r="T349" s="152"/>
      <c r="U349" s="152"/>
      <c r="V349" s="152"/>
      <c r="W349" s="152"/>
      <c r="X349" s="158">
        <f t="shared" si="59"/>
        <v>0</v>
      </c>
      <c r="Y349" s="232">
        <f t="shared" si="60"/>
        <v>0</v>
      </c>
      <c r="Z349" s="304"/>
      <c r="AA349" s="326"/>
    </row>
    <row r="350" spans="1:27" ht="24.95" hidden="1" customHeight="1" x14ac:dyDescent="0.2">
      <c r="A350" s="79"/>
      <c r="B350" s="223"/>
      <c r="C350" s="28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>
        <f t="shared" si="50"/>
        <v>0</v>
      </c>
      <c r="S350" s="152"/>
      <c r="T350" s="152"/>
      <c r="U350" s="152"/>
      <c r="V350" s="152"/>
      <c r="W350" s="152"/>
      <c r="X350" s="158">
        <f t="shared" si="59"/>
        <v>0</v>
      </c>
      <c r="Y350" s="232">
        <f t="shared" si="60"/>
        <v>0</v>
      </c>
      <c r="Z350" s="304"/>
      <c r="AA350" s="326"/>
    </row>
    <row r="351" spans="1:27" ht="24.95" hidden="1" customHeight="1" x14ac:dyDescent="0.2">
      <c r="A351" s="79"/>
      <c r="B351" s="30"/>
      <c r="C351" s="28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>
        <f t="shared" si="50"/>
        <v>0</v>
      </c>
      <c r="S351" s="152"/>
      <c r="T351" s="152"/>
      <c r="U351" s="152"/>
      <c r="V351" s="152"/>
      <c r="W351" s="152"/>
      <c r="X351" s="158">
        <f t="shared" ref="X351:X360" si="61">SUM(T351:W351)</f>
        <v>0</v>
      </c>
      <c r="Y351" s="232">
        <f t="shared" ref="Y351:Y360" si="62">R351+X351</f>
        <v>0</v>
      </c>
      <c r="Z351" s="304"/>
      <c r="AA351" s="326"/>
    </row>
    <row r="352" spans="1:27" ht="24.95" hidden="1" customHeight="1" x14ac:dyDescent="0.2">
      <c r="A352" s="79"/>
      <c r="B352" s="30"/>
      <c r="C352" s="28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>
        <f t="shared" si="50"/>
        <v>0</v>
      </c>
      <c r="S352" s="152"/>
      <c r="T352" s="152"/>
      <c r="U352" s="152"/>
      <c r="V352" s="152"/>
      <c r="W352" s="152"/>
      <c r="X352" s="158">
        <f t="shared" si="61"/>
        <v>0</v>
      </c>
      <c r="Y352" s="232">
        <f t="shared" si="62"/>
        <v>0</v>
      </c>
      <c r="Z352" s="304"/>
      <c r="AA352" s="326"/>
    </row>
    <row r="353" spans="1:27" ht="24.95" hidden="1" customHeight="1" x14ac:dyDescent="0.2">
      <c r="A353" s="79"/>
      <c r="B353" s="30"/>
      <c r="C353" s="28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>
        <f t="shared" si="50"/>
        <v>0</v>
      </c>
      <c r="S353" s="152"/>
      <c r="T353" s="152"/>
      <c r="U353" s="152"/>
      <c r="V353" s="152"/>
      <c r="W353" s="152"/>
      <c r="X353" s="158">
        <f t="shared" si="61"/>
        <v>0</v>
      </c>
      <c r="Y353" s="232">
        <f t="shared" si="62"/>
        <v>0</v>
      </c>
      <c r="Z353" s="304"/>
      <c r="AA353" s="326"/>
    </row>
    <row r="354" spans="1:27" ht="24.95" hidden="1" customHeight="1" x14ac:dyDescent="0.2">
      <c r="A354" s="79"/>
      <c r="B354" s="30"/>
      <c r="C354" s="28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>
        <f>SUM(D354:Q354)</f>
        <v>0</v>
      </c>
      <c r="S354" s="152"/>
      <c r="T354" s="152"/>
      <c r="U354" s="152"/>
      <c r="V354" s="152"/>
      <c r="W354" s="152"/>
      <c r="X354" s="158">
        <f t="shared" si="61"/>
        <v>0</v>
      </c>
      <c r="Y354" s="232">
        <f t="shared" si="62"/>
        <v>0</v>
      </c>
      <c r="Z354" s="304"/>
      <c r="AA354" s="326"/>
    </row>
    <row r="355" spans="1:27" ht="24.95" hidden="1" customHeight="1" x14ac:dyDescent="0.2">
      <c r="A355" s="79"/>
      <c r="B355" s="30"/>
      <c r="C355" s="28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>
        <f>SUM(D355:Q355)</f>
        <v>0</v>
      </c>
      <c r="S355" s="152"/>
      <c r="T355" s="152"/>
      <c r="U355" s="152"/>
      <c r="V355" s="152"/>
      <c r="W355" s="152"/>
      <c r="X355" s="158">
        <f t="shared" si="61"/>
        <v>0</v>
      </c>
      <c r="Y355" s="232">
        <f t="shared" si="62"/>
        <v>0</v>
      </c>
      <c r="Z355" s="304"/>
      <c r="AA355" s="326"/>
    </row>
    <row r="356" spans="1:27" ht="24.95" hidden="1" customHeight="1" x14ac:dyDescent="0.2">
      <c r="A356" s="79"/>
      <c r="B356" s="30"/>
      <c r="C356" s="28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>
        <f>SUM(D356:Q356)</f>
        <v>0</v>
      </c>
      <c r="S356" s="152"/>
      <c r="T356" s="152"/>
      <c r="U356" s="152"/>
      <c r="V356" s="152"/>
      <c r="W356" s="152"/>
      <c r="X356" s="158">
        <f t="shared" si="61"/>
        <v>0</v>
      </c>
      <c r="Y356" s="232">
        <f>R356+X356</f>
        <v>0</v>
      </c>
      <c r="Z356" s="304"/>
      <c r="AA356" s="326"/>
    </row>
    <row r="357" spans="1:27" ht="24.95" hidden="1" customHeight="1" x14ac:dyDescent="0.2">
      <c r="A357" s="79"/>
      <c r="B357" s="30"/>
      <c r="C357" s="28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>
        <f>SUM(D357:Q357)</f>
        <v>0</v>
      </c>
      <c r="S357" s="152"/>
      <c r="T357" s="152"/>
      <c r="U357" s="152"/>
      <c r="V357" s="152"/>
      <c r="W357" s="152"/>
      <c r="X357" s="158">
        <f t="shared" si="61"/>
        <v>0</v>
      </c>
      <c r="Y357" s="232">
        <f t="shared" si="62"/>
        <v>0</v>
      </c>
      <c r="Z357" s="304"/>
      <c r="AA357" s="326"/>
    </row>
    <row r="358" spans="1:27" ht="24.95" hidden="1" customHeight="1" x14ac:dyDescent="0.2">
      <c r="A358" s="79"/>
      <c r="B358" s="30"/>
      <c r="C358" s="28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>
        <f t="shared" si="50"/>
        <v>0</v>
      </c>
      <c r="S358" s="152"/>
      <c r="T358" s="152"/>
      <c r="U358" s="152"/>
      <c r="V358" s="152"/>
      <c r="W358" s="152"/>
      <c r="X358" s="158">
        <f t="shared" si="61"/>
        <v>0</v>
      </c>
      <c r="Y358" s="232">
        <f t="shared" si="62"/>
        <v>0</v>
      </c>
      <c r="Z358" s="304"/>
      <c r="AA358" s="326"/>
    </row>
    <row r="359" spans="1:27" ht="24.95" hidden="1" customHeight="1" x14ac:dyDescent="0.2">
      <c r="A359" s="79"/>
      <c r="B359" s="30"/>
      <c r="C359" s="28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>
        <f t="shared" si="50"/>
        <v>0</v>
      </c>
      <c r="S359" s="152"/>
      <c r="T359" s="152"/>
      <c r="U359" s="152"/>
      <c r="V359" s="152"/>
      <c r="W359" s="152"/>
      <c r="X359" s="158">
        <f t="shared" si="61"/>
        <v>0</v>
      </c>
      <c r="Y359" s="232">
        <f t="shared" si="62"/>
        <v>0</v>
      </c>
      <c r="Z359" s="304"/>
      <c r="AA359" s="326"/>
    </row>
    <row r="360" spans="1:27" ht="24.95" hidden="1" customHeight="1" x14ac:dyDescent="0.2">
      <c r="A360" s="79"/>
      <c r="B360" s="30"/>
      <c r="C360" s="28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>
        <f t="shared" si="50"/>
        <v>0</v>
      </c>
      <c r="S360" s="152"/>
      <c r="T360" s="152"/>
      <c r="U360" s="152"/>
      <c r="V360" s="152"/>
      <c r="W360" s="152"/>
      <c r="X360" s="158">
        <f t="shared" si="61"/>
        <v>0</v>
      </c>
      <c r="Y360" s="232">
        <f t="shared" si="62"/>
        <v>0</v>
      </c>
      <c r="Z360" s="304"/>
      <c r="AA360" s="326"/>
    </row>
    <row r="361" spans="1:27" ht="24.95" hidden="1" customHeight="1" x14ac:dyDescent="0.2">
      <c r="A361" s="79"/>
      <c r="B361" s="470"/>
      <c r="C361" s="40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8"/>
      <c r="Y361" s="232"/>
      <c r="Z361" s="304"/>
      <c r="AA361" s="326"/>
    </row>
    <row r="362" spans="1:27" ht="17.25" hidden="1" customHeight="1" thickBot="1" x14ac:dyDescent="0.25">
      <c r="A362" s="79"/>
      <c r="B362" s="86"/>
      <c r="C362" s="40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>
        <f t="shared" si="50"/>
        <v>0</v>
      </c>
      <c r="S362" s="71"/>
      <c r="T362" s="71"/>
      <c r="U362" s="71"/>
      <c r="V362" s="71"/>
      <c r="W362" s="71"/>
      <c r="X362" s="158"/>
      <c r="Y362" s="232"/>
      <c r="Z362" s="304"/>
      <c r="AA362" s="318"/>
    </row>
    <row r="363" spans="1:27" ht="24.95" hidden="1" customHeight="1" thickTop="1" thickBot="1" x14ac:dyDescent="0.25">
      <c r="A363" s="250"/>
      <c r="B363" s="41" t="s">
        <v>151</v>
      </c>
      <c r="C363" s="43" t="s">
        <v>19</v>
      </c>
      <c r="D363" s="83">
        <f t="shared" ref="D363:Q363" si="63">SUM(D265:D362)</f>
        <v>-1250</v>
      </c>
      <c r="E363" s="83">
        <f t="shared" si="63"/>
        <v>-235</v>
      </c>
      <c r="F363" s="83">
        <f t="shared" si="63"/>
        <v>2299.8999999999996</v>
      </c>
      <c r="G363" s="83">
        <f t="shared" si="63"/>
        <v>0</v>
      </c>
      <c r="H363" s="83">
        <f t="shared" si="63"/>
        <v>0</v>
      </c>
      <c r="I363" s="83">
        <f t="shared" si="63"/>
        <v>0</v>
      </c>
      <c r="J363" s="83">
        <f t="shared" si="63"/>
        <v>1442</v>
      </c>
      <c r="K363" s="83">
        <f t="shared" si="63"/>
        <v>-319006.2</v>
      </c>
      <c r="L363" s="83">
        <f t="shared" si="63"/>
        <v>287221</v>
      </c>
      <c r="M363" s="83">
        <f t="shared" si="63"/>
        <v>23604</v>
      </c>
      <c r="N363" s="83">
        <f t="shared" si="63"/>
        <v>0</v>
      </c>
      <c r="O363" s="83">
        <f t="shared" si="63"/>
        <v>0</v>
      </c>
      <c r="P363" s="83">
        <f t="shared" si="63"/>
        <v>0</v>
      </c>
      <c r="Q363" s="83">
        <f t="shared" si="63"/>
        <v>208846</v>
      </c>
      <c r="R363" s="83">
        <f t="shared" si="50"/>
        <v>202921.7</v>
      </c>
      <c r="S363" s="83"/>
      <c r="T363" s="83">
        <f>SUM(T265:T362)</f>
        <v>0</v>
      </c>
      <c r="U363" s="83">
        <f>SUM(U265:U362)</f>
        <v>0</v>
      </c>
      <c r="V363" s="83">
        <f>SUM(V265:V362)</f>
        <v>0</v>
      </c>
      <c r="W363" s="83">
        <f>SUM(W265:W362)</f>
        <v>0</v>
      </c>
      <c r="X363" s="84">
        <f t="shared" si="47"/>
        <v>0</v>
      </c>
      <c r="Y363" s="84">
        <f t="shared" si="48"/>
        <v>202921.7</v>
      </c>
      <c r="Z363" s="258">
        <f>SUM(Z265:Z362)</f>
        <v>46223.897999999994</v>
      </c>
      <c r="AA363" s="319"/>
    </row>
    <row r="364" spans="1:27" ht="24.95" hidden="1" customHeight="1" thickTop="1" x14ac:dyDescent="0.2">
      <c r="A364" s="202"/>
      <c r="B364" s="217"/>
      <c r="C364" s="218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>
        <f t="shared" ref="R364:R381" si="64">SUM(D364:Q364)</f>
        <v>0</v>
      </c>
      <c r="S364" s="251"/>
      <c r="T364" s="251"/>
      <c r="U364" s="251"/>
      <c r="V364" s="251"/>
      <c r="W364" s="251"/>
      <c r="X364" s="252">
        <f t="shared" ref="X364:X369" si="65">SUM(T364:W364)</f>
        <v>0</v>
      </c>
      <c r="Y364" s="344"/>
      <c r="Z364" s="309"/>
      <c r="AA364" s="319"/>
    </row>
    <row r="365" spans="1:27" ht="16.5" hidden="1" customHeight="1" x14ac:dyDescent="0.2">
      <c r="A365" s="202"/>
      <c r="B365" s="73" t="s">
        <v>316</v>
      </c>
      <c r="C365" s="38" t="s">
        <v>21</v>
      </c>
      <c r="D365" s="163"/>
      <c r="E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>
        <f t="shared" si="64"/>
        <v>0</v>
      </c>
      <c r="S365" s="163"/>
      <c r="T365" s="163"/>
      <c r="U365" s="163"/>
      <c r="V365" s="163"/>
      <c r="W365" s="163"/>
      <c r="X365" s="164">
        <f t="shared" si="65"/>
        <v>0</v>
      </c>
      <c r="Y365" s="232">
        <f t="shared" ref="Y365:Y369" si="66">R365+X365</f>
        <v>0</v>
      </c>
      <c r="Z365" s="357">
        <f>-62726-38078</f>
        <v>-100804</v>
      </c>
      <c r="AA365" s="326"/>
    </row>
    <row r="366" spans="1:27" ht="16.5" hidden="1" customHeight="1" x14ac:dyDescent="0.25">
      <c r="A366" s="202"/>
      <c r="B366" s="88" t="s">
        <v>317</v>
      </c>
      <c r="C366" s="38" t="s">
        <v>21</v>
      </c>
      <c r="D366" s="163"/>
      <c r="E366" s="163"/>
      <c r="F366" s="163">
        <f>-10000-6420.597</f>
        <v>-16420.597000000002</v>
      </c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>
        <f t="shared" si="64"/>
        <v>-16420.597000000002</v>
      </c>
      <c r="S366" s="163"/>
      <c r="T366" s="163"/>
      <c r="U366" s="163"/>
      <c r="V366" s="163"/>
      <c r="W366" s="163"/>
      <c r="X366" s="164">
        <f t="shared" si="65"/>
        <v>0</v>
      </c>
      <c r="Y366" s="232">
        <f t="shared" si="66"/>
        <v>-16420.597000000002</v>
      </c>
      <c r="Z366" s="357"/>
      <c r="AA366" s="326"/>
    </row>
    <row r="367" spans="1:27" ht="16.5" hidden="1" customHeight="1" x14ac:dyDescent="0.25">
      <c r="A367" s="26"/>
      <c r="B367" s="88" t="s">
        <v>318</v>
      </c>
      <c r="C367" s="38" t="s">
        <v>21</v>
      </c>
      <c r="D367" s="163"/>
      <c r="E367" s="163"/>
      <c r="F367" s="163">
        <f>-6281-850</f>
        <v>-7131</v>
      </c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>
        <f t="shared" si="64"/>
        <v>-7131</v>
      </c>
      <c r="S367" s="163"/>
      <c r="T367" s="163"/>
      <c r="U367" s="163"/>
      <c r="V367" s="163"/>
      <c r="W367" s="163"/>
      <c r="X367" s="164">
        <f t="shared" si="65"/>
        <v>0</v>
      </c>
      <c r="Y367" s="232">
        <f t="shared" si="66"/>
        <v>-7131</v>
      </c>
      <c r="Z367" s="357"/>
      <c r="AA367" s="326"/>
    </row>
    <row r="368" spans="1:27" ht="16.5" hidden="1" customHeight="1" x14ac:dyDescent="0.25">
      <c r="A368" s="26"/>
      <c r="B368" s="88" t="s">
        <v>542</v>
      </c>
      <c r="C368" s="38" t="s">
        <v>21</v>
      </c>
      <c r="D368" s="163"/>
      <c r="E368" s="163"/>
      <c r="F368" s="163">
        <v>-100</v>
      </c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>
        <f t="shared" si="64"/>
        <v>-100</v>
      </c>
      <c r="S368" s="163"/>
      <c r="T368" s="163"/>
      <c r="U368" s="163"/>
      <c r="V368" s="163"/>
      <c r="W368" s="163"/>
      <c r="X368" s="164">
        <f t="shared" si="65"/>
        <v>0</v>
      </c>
      <c r="Y368" s="232">
        <f t="shared" si="66"/>
        <v>-100</v>
      </c>
      <c r="Z368" s="357"/>
      <c r="AA368" s="326"/>
    </row>
    <row r="369" spans="1:27" ht="16.5" hidden="1" customHeight="1" x14ac:dyDescent="0.25">
      <c r="A369" s="26"/>
      <c r="B369" s="88" t="s">
        <v>543</v>
      </c>
      <c r="C369" s="38" t="s">
        <v>21</v>
      </c>
      <c r="D369" s="163">
        <v>-150</v>
      </c>
      <c r="E369" s="163">
        <v>-80</v>
      </c>
      <c r="F369" s="163">
        <f>-13430-3627</f>
        <v>-17057</v>
      </c>
      <c r="G369" s="163"/>
      <c r="H369" s="163"/>
      <c r="I369" s="163"/>
      <c r="J369" s="163">
        <f>-5928</f>
        <v>-5928</v>
      </c>
      <c r="K369" s="163"/>
      <c r="L369" s="163"/>
      <c r="M369" s="163"/>
      <c r="N369" s="163"/>
      <c r="O369" s="163"/>
      <c r="P369" s="163"/>
      <c r="Q369" s="163"/>
      <c r="R369" s="163">
        <f t="shared" si="64"/>
        <v>-23215</v>
      </c>
      <c r="S369" s="163"/>
      <c r="T369" s="163"/>
      <c r="U369" s="163"/>
      <c r="V369" s="163"/>
      <c r="W369" s="163"/>
      <c r="X369" s="164">
        <f t="shared" si="65"/>
        <v>0</v>
      </c>
      <c r="Y369" s="232">
        <f t="shared" si="66"/>
        <v>-23215</v>
      </c>
      <c r="Z369" s="357"/>
      <c r="AA369" s="326"/>
    </row>
    <row r="370" spans="1:27" ht="16.5" hidden="1" customHeight="1" x14ac:dyDescent="0.25">
      <c r="A370" s="26"/>
      <c r="B370" s="88" t="s">
        <v>323</v>
      </c>
      <c r="C370" s="38" t="s">
        <v>21</v>
      </c>
      <c r="D370" s="163"/>
      <c r="E370" s="163"/>
      <c r="F370" s="163">
        <f>9710+2622</f>
        <v>12332</v>
      </c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>
        <f t="shared" si="64"/>
        <v>12332</v>
      </c>
      <c r="S370" s="163"/>
      <c r="T370" s="163"/>
      <c r="U370" s="163"/>
      <c r="V370" s="163"/>
      <c r="W370" s="163"/>
      <c r="X370" s="164">
        <f t="shared" ref="X370:X460" si="67">SUM(T370:W370)</f>
        <v>0</v>
      </c>
      <c r="Y370" s="232">
        <f t="shared" ref="Y370:Y460" si="68">R370+X370</f>
        <v>12332</v>
      </c>
      <c r="Z370" s="357"/>
      <c r="AA370" s="326"/>
    </row>
    <row r="371" spans="1:27" ht="16.5" hidden="1" customHeight="1" x14ac:dyDescent="0.25">
      <c r="A371" s="26"/>
      <c r="B371" s="88" t="s">
        <v>326</v>
      </c>
      <c r="C371" s="38" t="s">
        <v>21</v>
      </c>
      <c r="D371" s="163"/>
      <c r="E371" s="163"/>
      <c r="F371" s="163">
        <f>-3000-810-4000-1080</f>
        <v>-8890</v>
      </c>
      <c r="G371" s="163"/>
      <c r="H371" s="163"/>
      <c r="I371" s="163"/>
      <c r="J371" s="163"/>
      <c r="K371" s="163">
        <v>40000</v>
      </c>
      <c r="L371" s="163"/>
      <c r="M371" s="163"/>
      <c r="N371" s="163"/>
      <c r="O371" s="163"/>
      <c r="P371" s="163"/>
      <c r="Q371" s="163"/>
      <c r="R371" s="163">
        <f t="shared" si="64"/>
        <v>31110</v>
      </c>
      <c r="S371" s="163"/>
      <c r="T371" s="163"/>
      <c r="U371" s="163"/>
      <c r="V371" s="163"/>
      <c r="W371" s="163"/>
      <c r="X371" s="164">
        <f t="shared" si="67"/>
        <v>0</v>
      </c>
      <c r="Y371" s="232">
        <f t="shared" si="68"/>
        <v>31110</v>
      </c>
      <c r="Z371" s="357"/>
      <c r="AA371" s="326"/>
    </row>
    <row r="372" spans="1:27" ht="16.5" hidden="1" customHeight="1" x14ac:dyDescent="0.25">
      <c r="A372" s="26"/>
      <c r="B372" s="88" t="s">
        <v>327</v>
      </c>
      <c r="C372" s="38" t="s">
        <v>21</v>
      </c>
      <c r="D372" s="163">
        <v>-866</v>
      </c>
      <c r="E372" s="163"/>
      <c r="F372" s="163">
        <f>-7898-95-460-125</f>
        <v>-8578</v>
      </c>
      <c r="G372" s="163">
        <v>-3520</v>
      </c>
      <c r="H372" s="163"/>
      <c r="I372" s="163">
        <f>-1417-3275</f>
        <v>-4692</v>
      </c>
      <c r="J372" s="163">
        <f>-691-9435</f>
        <v>-10126</v>
      </c>
      <c r="K372" s="163"/>
      <c r="L372" s="163"/>
      <c r="M372" s="163"/>
      <c r="N372" s="163"/>
      <c r="O372" s="163"/>
      <c r="P372" s="163"/>
      <c r="Q372" s="163"/>
      <c r="R372" s="163">
        <f t="shared" si="64"/>
        <v>-27782</v>
      </c>
      <c r="S372" s="163"/>
      <c r="T372" s="163"/>
      <c r="U372" s="163"/>
      <c r="V372" s="163"/>
      <c r="W372" s="163"/>
      <c r="X372" s="164">
        <f t="shared" si="67"/>
        <v>0</v>
      </c>
      <c r="Y372" s="232">
        <f t="shared" si="68"/>
        <v>-27782</v>
      </c>
      <c r="Z372" s="357"/>
      <c r="AA372" s="326"/>
    </row>
    <row r="373" spans="1:27" ht="16.5" hidden="1" customHeight="1" x14ac:dyDescent="0.25">
      <c r="A373" s="26"/>
      <c r="B373" s="88" t="s">
        <v>329</v>
      </c>
      <c r="C373" s="38" t="s">
        <v>21</v>
      </c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>
        <f t="shared" si="64"/>
        <v>0</v>
      </c>
      <c r="S373" s="163"/>
      <c r="T373" s="163"/>
      <c r="U373" s="163"/>
      <c r="V373" s="163"/>
      <c r="W373" s="163"/>
      <c r="X373" s="164">
        <f t="shared" ref="X373" si="69">SUM(T373:W373)</f>
        <v>0</v>
      </c>
      <c r="Y373" s="232">
        <f t="shared" ref="Y373" si="70">R373+X373</f>
        <v>0</v>
      </c>
      <c r="Z373" s="357">
        <v>-11173.403</v>
      </c>
      <c r="AA373" s="326"/>
    </row>
    <row r="374" spans="1:27" ht="16.5" hidden="1" customHeight="1" x14ac:dyDescent="0.25">
      <c r="A374" s="26"/>
      <c r="B374" s="88" t="s">
        <v>328</v>
      </c>
      <c r="C374" s="38" t="s">
        <v>21</v>
      </c>
      <c r="D374" s="163"/>
      <c r="E374" s="163"/>
      <c r="F374" s="163">
        <f>-2749-135-2177-351</f>
        <v>-5412</v>
      </c>
      <c r="G374" s="163">
        <f>-29100-16400</f>
        <v>-45500</v>
      </c>
      <c r="H374" s="163"/>
      <c r="I374" s="163"/>
      <c r="J374" s="163">
        <v>-7500</v>
      </c>
      <c r="K374" s="163"/>
      <c r="L374" s="163"/>
      <c r="M374" s="163"/>
      <c r="N374" s="163"/>
      <c r="O374" s="163"/>
      <c r="P374" s="163"/>
      <c r="Q374" s="163">
        <v>-4000</v>
      </c>
      <c r="R374" s="163">
        <f t="shared" si="64"/>
        <v>-62412</v>
      </c>
      <c r="S374" s="163"/>
      <c r="T374" s="163"/>
      <c r="U374" s="163"/>
      <c r="V374" s="163"/>
      <c r="W374" s="163"/>
      <c r="X374" s="164">
        <f t="shared" si="67"/>
        <v>0</v>
      </c>
      <c r="Y374" s="232">
        <f t="shared" si="68"/>
        <v>-62412</v>
      </c>
      <c r="Z374" s="357"/>
      <c r="AA374" s="326"/>
    </row>
    <row r="375" spans="1:27" ht="16.5" hidden="1" customHeight="1" x14ac:dyDescent="0.25">
      <c r="A375" s="26"/>
      <c r="B375" s="88" t="s">
        <v>556</v>
      </c>
      <c r="C375" s="38" t="s">
        <v>21</v>
      </c>
      <c r="D375" s="163"/>
      <c r="E375" s="163"/>
      <c r="F375" s="163">
        <v>-21</v>
      </c>
      <c r="G375" s="163"/>
      <c r="H375" s="163"/>
      <c r="I375" s="163"/>
      <c r="J375" s="163"/>
      <c r="K375" s="163"/>
      <c r="L375" s="163">
        <v>21</v>
      </c>
      <c r="M375" s="163"/>
      <c r="N375" s="163"/>
      <c r="O375" s="163"/>
      <c r="P375" s="163"/>
      <c r="Q375" s="163"/>
      <c r="R375" s="163">
        <f t="shared" si="64"/>
        <v>0</v>
      </c>
      <c r="S375" s="163"/>
      <c r="T375" s="163"/>
      <c r="U375" s="163"/>
      <c r="V375" s="163"/>
      <c r="W375" s="163"/>
      <c r="X375" s="164">
        <f t="shared" ref="X375" si="71">SUM(T375:W375)</f>
        <v>0</v>
      </c>
      <c r="Y375" s="232">
        <f t="shared" ref="Y375" si="72">R375+X375</f>
        <v>0</v>
      </c>
      <c r="Z375" s="357"/>
      <c r="AA375" s="326"/>
    </row>
    <row r="376" spans="1:27" ht="16.5" hidden="1" customHeight="1" x14ac:dyDescent="0.25">
      <c r="A376" s="26"/>
      <c r="B376" s="667" t="s">
        <v>544</v>
      </c>
      <c r="C376" s="38" t="s">
        <v>21</v>
      </c>
      <c r="D376" s="163"/>
      <c r="E376" s="163"/>
      <c r="F376" s="163">
        <f>-42513-11039-2296-441</f>
        <v>-56289</v>
      </c>
      <c r="G376" s="163"/>
      <c r="H376" s="163"/>
      <c r="I376" s="163"/>
      <c r="J376" s="163">
        <v>-1300</v>
      </c>
      <c r="K376" s="163"/>
      <c r="L376" s="163">
        <f>-1471-396</f>
        <v>-1867</v>
      </c>
      <c r="M376" s="163"/>
      <c r="N376" s="163"/>
      <c r="O376" s="163"/>
      <c r="P376" s="163"/>
      <c r="Q376" s="163"/>
      <c r="R376" s="163">
        <f t="shared" si="64"/>
        <v>-59456</v>
      </c>
      <c r="S376" s="163"/>
      <c r="T376" s="163"/>
      <c r="U376" s="163"/>
      <c r="V376" s="163"/>
      <c r="W376" s="163"/>
      <c r="X376" s="164">
        <f t="shared" si="67"/>
        <v>0</v>
      </c>
      <c r="Y376" s="232">
        <f t="shared" si="68"/>
        <v>-59456</v>
      </c>
      <c r="Z376" s="357"/>
      <c r="AA376" s="326"/>
    </row>
    <row r="377" spans="1:27" ht="16.5" hidden="1" customHeight="1" x14ac:dyDescent="0.2">
      <c r="A377" s="26"/>
      <c r="B377" s="668" t="s">
        <v>545</v>
      </c>
      <c r="C377" s="38" t="s">
        <v>21</v>
      </c>
      <c r="D377" s="163"/>
      <c r="E377" s="163"/>
      <c r="F377" s="163">
        <f>-400-894-189-13378-2384</f>
        <v>-17245</v>
      </c>
      <c r="G377" s="163"/>
      <c r="H377" s="163"/>
      <c r="I377" s="163"/>
      <c r="J377" s="163"/>
      <c r="K377" s="163"/>
      <c r="L377" s="163">
        <f>-1400-378-104-28-5400-1458-5000-1350</f>
        <v>-15118</v>
      </c>
      <c r="M377" s="163"/>
      <c r="N377" s="163"/>
      <c r="O377" s="163"/>
      <c r="P377" s="163"/>
      <c r="Q377" s="163"/>
      <c r="R377" s="163">
        <f t="shared" si="64"/>
        <v>-32363</v>
      </c>
      <c r="S377" s="163"/>
      <c r="T377" s="163"/>
      <c r="U377" s="163"/>
      <c r="V377" s="163"/>
      <c r="W377" s="163"/>
      <c r="X377" s="164">
        <f t="shared" si="67"/>
        <v>0</v>
      </c>
      <c r="Y377" s="232">
        <f t="shared" si="68"/>
        <v>-32363</v>
      </c>
      <c r="Z377" s="357"/>
      <c r="AA377" s="326"/>
    </row>
    <row r="378" spans="1:27" ht="16.5" hidden="1" customHeight="1" x14ac:dyDescent="0.2">
      <c r="A378" s="26"/>
      <c r="B378" s="668" t="s">
        <v>546</v>
      </c>
      <c r="C378" s="38" t="s">
        <v>21</v>
      </c>
      <c r="D378" s="163"/>
      <c r="E378" s="163"/>
      <c r="F378" s="163">
        <f>-200-260-154-42-712-92</f>
        <v>-1460</v>
      </c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>
        <f t="shared" si="64"/>
        <v>-1460</v>
      </c>
      <c r="S378" s="163"/>
      <c r="T378" s="163"/>
      <c r="U378" s="163"/>
      <c r="V378" s="163"/>
      <c r="W378" s="163"/>
      <c r="X378" s="164">
        <f t="shared" si="67"/>
        <v>0</v>
      </c>
      <c r="Y378" s="232">
        <f t="shared" si="68"/>
        <v>-1460</v>
      </c>
      <c r="Z378" s="357"/>
      <c r="AA378" s="326"/>
    </row>
    <row r="379" spans="1:27" ht="16.5" hidden="1" customHeight="1" x14ac:dyDescent="0.2">
      <c r="A379" s="26"/>
      <c r="B379" s="668" t="s">
        <v>547</v>
      </c>
      <c r="C379" s="38" t="s">
        <v>21</v>
      </c>
      <c r="D379" s="163"/>
      <c r="E379" s="163"/>
      <c r="F379" s="163">
        <f>-300-1263-342-52938-280</f>
        <v>-55123</v>
      </c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>
        <f t="shared" si="64"/>
        <v>-55123</v>
      </c>
      <c r="S379" s="163"/>
      <c r="T379" s="163"/>
      <c r="U379" s="163"/>
      <c r="V379" s="163"/>
      <c r="W379" s="163"/>
      <c r="X379" s="164">
        <f t="shared" ref="X379:X381" si="73">SUM(T379:W379)</f>
        <v>0</v>
      </c>
      <c r="Y379" s="232">
        <f t="shared" ref="Y379:Y381" si="74">R379+X379</f>
        <v>-55123</v>
      </c>
      <c r="Z379" s="357"/>
      <c r="AA379" s="326"/>
    </row>
    <row r="380" spans="1:27" ht="16.5" hidden="1" customHeight="1" x14ac:dyDescent="0.2">
      <c r="A380" s="26"/>
      <c r="B380" s="668" t="s">
        <v>548</v>
      </c>
      <c r="C380" s="38" t="s">
        <v>21</v>
      </c>
      <c r="D380" s="163"/>
      <c r="E380" s="163"/>
      <c r="F380" s="163">
        <f>-11970-8250</f>
        <v>-20220</v>
      </c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>
        <f t="shared" si="64"/>
        <v>-20220</v>
      </c>
      <c r="S380" s="163"/>
      <c r="T380" s="163"/>
      <c r="U380" s="163"/>
      <c r="V380" s="163"/>
      <c r="W380" s="163"/>
      <c r="X380" s="164">
        <f t="shared" si="73"/>
        <v>0</v>
      </c>
      <c r="Y380" s="232">
        <f t="shared" si="74"/>
        <v>-20220</v>
      </c>
      <c r="Z380" s="357"/>
      <c r="AA380" s="326"/>
    </row>
    <row r="381" spans="1:27" ht="16.5" hidden="1" customHeight="1" x14ac:dyDescent="0.2">
      <c r="A381" s="26"/>
      <c r="B381" s="668" t="s">
        <v>552</v>
      </c>
      <c r="C381" s="38" t="s">
        <v>21</v>
      </c>
      <c r="D381" s="163"/>
      <c r="E381" s="163"/>
      <c r="F381" s="163">
        <v>-1270</v>
      </c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>
        <f t="shared" si="64"/>
        <v>-1270</v>
      </c>
      <c r="S381" s="163"/>
      <c r="T381" s="163"/>
      <c r="U381" s="163"/>
      <c r="V381" s="163"/>
      <c r="W381" s="163"/>
      <c r="X381" s="164">
        <f t="shared" si="73"/>
        <v>0</v>
      </c>
      <c r="Y381" s="232">
        <f t="shared" si="74"/>
        <v>-1270</v>
      </c>
      <c r="Z381" s="357"/>
      <c r="AA381" s="326"/>
    </row>
    <row r="382" spans="1:27" ht="16.5" hidden="1" customHeight="1" x14ac:dyDescent="0.2">
      <c r="A382" s="26"/>
      <c r="B382" s="668" t="s">
        <v>553</v>
      </c>
      <c r="C382" s="38" t="s">
        <v>21</v>
      </c>
      <c r="D382" s="163"/>
      <c r="E382" s="163"/>
      <c r="F382" s="163"/>
      <c r="G382" s="163"/>
      <c r="H382" s="163"/>
      <c r="I382" s="163"/>
      <c r="J382" s="163"/>
      <c r="K382" s="163"/>
      <c r="L382" s="163">
        <f>50000+13500</f>
        <v>63500</v>
      </c>
      <c r="M382" s="163"/>
      <c r="N382" s="163"/>
      <c r="O382" s="163"/>
      <c r="P382" s="163"/>
      <c r="Q382" s="163"/>
      <c r="R382" s="163">
        <f t="shared" ref="R382:R467" si="75">SUM(D382:Q382)</f>
        <v>63500</v>
      </c>
      <c r="S382" s="163"/>
      <c r="T382" s="163"/>
      <c r="U382" s="163"/>
      <c r="V382" s="163"/>
      <c r="W382" s="163"/>
      <c r="X382" s="164">
        <f t="shared" si="67"/>
        <v>0</v>
      </c>
      <c r="Y382" s="232">
        <f t="shared" si="68"/>
        <v>63500</v>
      </c>
      <c r="Z382" s="357"/>
      <c r="AA382" s="326"/>
    </row>
    <row r="383" spans="1:27" ht="16.5" hidden="1" customHeight="1" x14ac:dyDescent="0.2">
      <c r="A383" s="26"/>
      <c r="B383" s="668" t="s">
        <v>554</v>
      </c>
      <c r="C383" s="38" t="s">
        <v>21</v>
      </c>
      <c r="D383" s="163"/>
      <c r="E383" s="163"/>
      <c r="F383" s="163"/>
      <c r="G383" s="163"/>
      <c r="H383" s="163"/>
      <c r="I383" s="163"/>
      <c r="J383" s="163"/>
      <c r="K383" s="163"/>
      <c r="L383" s="163">
        <f>-6299-1701</f>
        <v>-8000</v>
      </c>
      <c r="M383" s="163"/>
      <c r="N383" s="163"/>
      <c r="O383" s="163"/>
      <c r="P383" s="163"/>
      <c r="Q383" s="163"/>
      <c r="R383" s="163">
        <f t="shared" si="75"/>
        <v>-8000</v>
      </c>
      <c r="S383" s="163"/>
      <c r="T383" s="163"/>
      <c r="U383" s="163"/>
      <c r="V383" s="163"/>
      <c r="W383" s="163"/>
      <c r="X383" s="164">
        <f t="shared" ref="X383" si="76">SUM(T383:W383)</f>
        <v>0</v>
      </c>
      <c r="Y383" s="232">
        <f t="shared" ref="Y383" si="77">R383+X383</f>
        <v>-8000</v>
      </c>
      <c r="Z383" s="357"/>
      <c r="AA383" s="326"/>
    </row>
    <row r="384" spans="1:27" ht="16.5" hidden="1" customHeight="1" x14ac:dyDescent="0.2">
      <c r="A384" s="26"/>
      <c r="B384" s="668" t="s">
        <v>555</v>
      </c>
      <c r="C384" s="38" t="s">
        <v>21</v>
      </c>
      <c r="D384" s="163"/>
      <c r="E384" s="163"/>
      <c r="F384" s="163">
        <f>6299+1701</f>
        <v>8000</v>
      </c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>
        <f t="shared" si="75"/>
        <v>8000</v>
      </c>
      <c r="S384" s="163"/>
      <c r="T384" s="163"/>
      <c r="U384" s="163"/>
      <c r="V384" s="163"/>
      <c r="W384" s="163"/>
      <c r="X384" s="164">
        <f t="shared" si="67"/>
        <v>0</v>
      </c>
      <c r="Y384" s="232">
        <f t="shared" si="68"/>
        <v>8000</v>
      </c>
      <c r="Z384" s="357"/>
      <c r="AA384" s="326"/>
    </row>
    <row r="385" spans="1:28" ht="16.5" hidden="1" customHeight="1" x14ac:dyDescent="0.2">
      <c r="A385" s="26"/>
      <c r="B385" s="669" t="s">
        <v>22</v>
      </c>
      <c r="C385" s="358" t="s">
        <v>92</v>
      </c>
      <c r="D385" s="163"/>
      <c r="E385" s="163"/>
      <c r="F385" s="359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>
        <f t="shared" si="75"/>
        <v>0</v>
      </c>
      <c r="S385" s="163"/>
      <c r="T385" s="163"/>
      <c r="U385" s="163"/>
      <c r="V385" s="163"/>
      <c r="W385" s="163"/>
      <c r="X385" s="164">
        <f t="shared" si="67"/>
        <v>0</v>
      </c>
      <c r="Y385" s="362">
        <f t="shared" si="68"/>
        <v>0</v>
      </c>
      <c r="Z385" s="357"/>
      <c r="AA385" s="326"/>
    </row>
    <row r="386" spans="1:28" ht="17.25" hidden="1" customHeight="1" thickBot="1" x14ac:dyDescent="0.25">
      <c r="A386" s="79"/>
      <c r="B386" s="81"/>
      <c r="C386" s="40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8"/>
      <c r="Y386" s="232"/>
      <c r="Z386" s="304"/>
      <c r="AA386" s="326"/>
    </row>
    <row r="387" spans="1:28" ht="18.75" hidden="1" customHeight="1" thickTop="1" thickBot="1" x14ac:dyDescent="0.25">
      <c r="A387" s="46"/>
      <c r="B387" s="87"/>
      <c r="C387" s="43" t="s">
        <v>24</v>
      </c>
      <c r="D387" s="159">
        <f t="shared" ref="D387:R387" si="78">SUM(D364:D386)</f>
        <v>-1016</v>
      </c>
      <c r="E387" s="159">
        <f t="shared" si="78"/>
        <v>-80</v>
      </c>
      <c r="F387" s="159">
        <f t="shared" si="78"/>
        <v>-194884.59700000001</v>
      </c>
      <c r="G387" s="159">
        <f t="shared" si="78"/>
        <v>-49020</v>
      </c>
      <c r="H387" s="159">
        <f t="shared" si="78"/>
        <v>0</v>
      </c>
      <c r="I387" s="159">
        <f t="shared" si="78"/>
        <v>-4692</v>
      </c>
      <c r="J387" s="159">
        <f t="shared" si="78"/>
        <v>-24854</v>
      </c>
      <c r="K387" s="159">
        <f t="shared" si="78"/>
        <v>40000</v>
      </c>
      <c r="L387" s="159">
        <f t="shared" si="78"/>
        <v>38536</v>
      </c>
      <c r="M387" s="159">
        <f t="shared" si="78"/>
        <v>0</v>
      </c>
      <c r="N387" s="159">
        <f t="shared" si="78"/>
        <v>0</v>
      </c>
      <c r="O387" s="159">
        <f t="shared" si="78"/>
        <v>0</v>
      </c>
      <c r="P387" s="159">
        <f t="shared" si="78"/>
        <v>0</v>
      </c>
      <c r="Q387" s="159">
        <f t="shared" si="78"/>
        <v>-4000</v>
      </c>
      <c r="R387" s="159">
        <f t="shared" si="78"/>
        <v>-200010.59700000001</v>
      </c>
      <c r="S387" s="159"/>
      <c r="T387" s="159">
        <f t="shared" ref="T387:Z387" si="79">SUM(T364:T386)</f>
        <v>0</v>
      </c>
      <c r="U387" s="159">
        <f t="shared" si="79"/>
        <v>0</v>
      </c>
      <c r="V387" s="159">
        <f t="shared" si="79"/>
        <v>0</v>
      </c>
      <c r="W387" s="159">
        <f t="shared" si="79"/>
        <v>0</v>
      </c>
      <c r="X387" s="162">
        <f t="shared" si="79"/>
        <v>0</v>
      </c>
      <c r="Y387" s="162">
        <f t="shared" si="79"/>
        <v>-200010.59700000001</v>
      </c>
      <c r="Z387" s="260">
        <f t="shared" si="79"/>
        <v>-111977.40300000001</v>
      </c>
      <c r="AA387" s="327"/>
    </row>
    <row r="388" spans="1:28" ht="9.9499999999999993" hidden="1" customHeight="1" thickTop="1" x14ac:dyDescent="0.2">
      <c r="A388" s="181"/>
      <c r="B388" s="182"/>
      <c r="C388" s="183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261"/>
      <c r="AA388" s="327"/>
    </row>
    <row r="389" spans="1:28" ht="17.25" hidden="1" customHeight="1" x14ac:dyDescent="0.2">
      <c r="A389" s="186"/>
      <c r="B389" s="187"/>
      <c r="C389" s="195" t="s">
        <v>52</v>
      </c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>
        <f t="shared" si="75"/>
        <v>0</v>
      </c>
      <c r="S389" s="188"/>
      <c r="T389" s="188"/>
      <c r="U389" s="188"/>
      <c r="V389" s="188"/>
      <c r="W389" s="188"/>
      <c r="X389" s="188">
        <f t="shared" si="67"/>
        <v>0</v>
      </c>
      <c r="Y389" s="188">
        <f t="shared" si="68"/>
        <v>0</v>
      </c>
      <c r="Z389" s="262"/>
      <c r="AA389" s="327"/>
    </row>
    <row r="390" spans="1:28" ht="9.9499999999999993" hidden="1" customHeight="1" thickBot="1" x14ac:dyDescent="0.25">
      <c r="A390" s="190"/>
      <c r="B390" s="191"/>
      <c r="C390" s="192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263"/>
      <c r="AA390" s="327"/>
    </row>
    <row r="391" spans="1:28" ht="24.75" hidden="1" customHeight="1" thickTop="1" thickBot="1" x14ac:dyDescent="0.25">
      <c r="A391" s="670"/>
      <c r="B391" s="677" t="s">
        <v>154</v>
      </c>
      <c r="C391" s="515" t="s">
        <v>124</v>
      </c>
      <c r="D391" s="678">
        <f t="shared" ref="D391:R391" si="80">D264+D363+D387+D389</f>
        <v>130369.45000000001</v>
      </c>
      <c r="E391" s="678">
        <f t="shared" si="80"/>
        <v>30151.768</v>
      </c>
      <c r="F391" s="678">
        <f t="shared" si="80"/>
        <v>4454957.1310000001</v>
      </c>
      <c r="G391" s="678">
        <f t="shared" si="80"/>
        <v>155925</v>
      </c>
      <c r="H391" s="678">
        <f t="shared" si="80"/>
        <v>300942.027</v>
      </c>
      <c r="I391" s="678">
        <f t="shared" si="80"/>
        <v>150000</v>
      </c>
      <c r="J391" s="678">
        <f t="shared" si="80"/>
        <v>670434</v>
      </c>
      <c r="K391" s="678">
        <f t="shared" si="80"/>
        <v>1053281.0090000001</v>
      </c>
      <c r="L391" s="678">
        <f t="shared" si="80"/>
        <v>5645685</v>
      </c>
      <c r="M391" s="678">
        <f t="shared" si="80"/>
        <v>51486</v>
      </c>
      <c r="N391" s="678">
        <f t="shared" si="80"/>
        <v>15635</v>
      </c>
      <c r="O391" s="678">
        <f t="shared" si="80"/>
        <v>5000</v>
      </c>
      <c r="P391" s="678">
        <f t="shared" si="80"/>
        <v>0</v>
      </c>
      <c r="Q391" s="678">
        <f t="shared" si="80"/>
        <v>403850</v>
      </c>
      <c r="R391" s="678">
        <f t="shared" si="80"/>
        <v>13067716.385</v>
      </c>
      <c r="S391" s="679"/>
      <c r="T391" s="678">
        <f t="shared" ref="T391:Z391" si="81">T264+T363+T387+T389</f>
        <v>0</v>
      </c>
      <c r="U391" s="678">
        <f t="shared" si="81"/>
        <v>4832040.4440000001</v>
      </c>
      <c r="V391" s="678">
        <f t="shared" si="81"/>
        <v>39440.69</v>
      </c>
      <c r="W391" s="678">
        <f t="shared" si="81"/>
        <v>0</v>
      </c>
      <c r="X391" s="678">
        <f t="shared" si="81"/>
        <v>4871481.1340000005</v>
      </c>
      <c r="Y391" s="680">
        <f t="shared" si="81"/>
        <v>17939197.519000001</v>
      </c>
      <c r="Z391" s="681">
        <f t="shared" si="81"/>
        <v>7989446.9969999995</v>
      </c>
      <c r="AA391" s="329"/>
      <c r="AB391" s="127">
        <f>Y391+Z391</f>
        <v>25928644.516000003</v>
      </c>
    </row>
    <row r="392" spans="1:28" ht="24.95" customHeight="1" x14ac:dyDescent="0.2">
      <c r="A392" s="674"/>
      <c r="B392" s="478" t="s">
        <v>155</v>
      </c>
      <c r="C392" s="63" t="s">
        <v>18</v>
      </c>
      <c r="D392" s="682">
        <f t="shared" ref="D392:Q392" si="82">D391</f>
        <v>130369.45000000001</v>
      </c>
      <c r="E392" s="682">
        <f t="shared" si="82"/>
        <v>30151.768</v>
      </c>
      <c r="F392" s="682">
        <f t="shared" si="82"/>
        <v>4454957.1310000001</v>
      </c>
      <c r="G392" s="682">
        <f t="shared" si="82"/>
        <v>155925</v>
      </c>
      <c r="H392" s="682">
        <f t="shared" si="82"/>
        <v>300942.027</v>
      </c>
      <c r="I392" s="682">
        <f t="shared" si="82"/>
        <v>150000</v>
      </c>
      <c r="J392" s="682">
        <f t="shared" si="82"/>
        <v>670434</v>
      </c>
      <c r="K392" s="682">
        <f t="shared" si="82"/>
        <v>1053281.0090000001</v>
      </c>
      <c r="L392" s="682">
        <f t="shared" si="82"/>
        <v>5645685</v>
      </c>
      <c r="M392" s="682">
        <f t="shared" si="82"/>
        <v>51486</v>
      </c>
      <c r="N392" s="682">
        <f t="shared" si="82"/>
        <v>15635</v>
      </c>
      <c r="O392" s="682">
        <f t="shared" si="82"/>
        <v>5000</v>
      </c>
      <c r="P392" s="682">
        <f t="shared" si="82"/>
        <v>0</v>
      </c>
      <c r="Q392" s="682">
        <f t="shared" si="82"/>
        <v>403850</v>
      </c>
      <c r="R392" s="682">
        <f t="shared" si="75"/>
        <v>13067716.385</v>
      </c>
      <c r="S392" s="682"/>
      <c r="T392" s="682">
        <f>T391</f>
        <v>0</v>
      </c>
      <c r="U392" s="682">
        <f>U391</f>
        <v>4832040.4440000001</v>
      </c>
      <c r="V392" s="682">
        <f>V391</f>
        <v>39440.69</v>
      </c>
      <c r="W392" s="682">
        <f>W391</f>
        <v>0</v>
      </c>
      <c r="X392" s="683">
        <f t="shared" si="67"/>
        <v>4871481.1340000005</v>
      </c>
      <c r="Y392" s="684">
        <f t="shared" si="68"/>
        <v>17939197.519000001</v>
      </c>
      <c r="Z392" s="685">
        <f>Z391</f>
        <v>7989446.9969999995</v>
      </c>
      <c r="AA392" s="319"/>
    </row>
    <row r="393" spans="1:28" ht="20.100000000000001" customHeight="1" x14ac:dyDescent="0.25">
      <c r="A393" s="26"/>
      <c r="B393" s="88"/>
      <c r="C393" s="38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4"/>
      <c r="Y393" s="232"/>
      <c r="Z393" s="357"/>
      <c r="AA393" s="326"/>
    </row>
    <row r="394" spans="1:28" ht="21.95" customHeight="1" x14ac:dyDescent="0.25">
      <c r="A394" s="39">
        <v>1</v>
      </c>
      <c r="B394" s="88" t="s">
        <v>593</v>
      </c>
      <c r="C394" s="38" t="s">
        <v>594</v>
      </c>
      <c r="D394" s="163"/>
      <c r="E394" s="163"/>
      <c r="F394" s="163">
        <f>-6</f>
        <v>-6</v>
      </c>
      <c r="G394" s="163"/>
      <c r="H394" s="163"/>
      <c r="I394" s="163"/>
      <c r="J394" s="163"/>
      <c r="K394" s="163"/>
      <c r="L394" s="163">
        <f>6</f>
        <v>6</v>
      </c>
      <c r="M394" s="163"/>
      <c r="N394" s="163"/>
      <c r="O394" s="163"/>
      <c r="P394" s="163"/>
      <c r="Q394" s="163"/>
      <c r="R394" s="163">
        <f t="shared" si="75"/>
        <v>0</v>
      </c>
      <c r="S394" s="163"/>
      <c r="T394" s="163"/>
      <c r="U394" s="163"/>
      <c r="V394" s="163"/>
      <c r="W394" s="163"/>
      <c r="X394" s="164">
        <f t="shared" ref="X394" si="83">SUM(T394:W394)</f>
        <v>0</v>
      </c>
      <c r="Y394" s="232">
        <f t="shared" ref="Y394" si="84">R394+X394</f>
        <v>0</v>
      </c>
      <c r="Z394" s="357"/>
      <c r="AA394" s="326"/>
    </row>
    <row r="395" spans="1:28" ht="21.95" customHeight="1" x14ac:dyDescent="0.25">
      <c r="A395" s="39">
        <v>2</v>
      </c>
      <c r="B395" s="88" t="s">
        <v>562</v>
      </c>
      <c r="C395" s="38" t="s">
        <v>563</v>
      </c>
      <c r="D395" s="163"/>
      <c r="E395" s="163"/>
      <c r="F395" s="163">
        <f>697+188</f>
        <v>885</v>
      </c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>
        <f t="shared" si="75"/>
        <v>885</v>
      </c>
      <c r="S395" s="163"/>
      <c r="T395" s="163"/>
      <c r="U395" s="163"/>
      <c r="V395" s="163"/>
      <c r="W395" s="163"/>
      <c r="X395" s="164">
        <f t="shared" ref="X395" si="85">SUM(T395:W395)</f>
        <v>0</v>
      </c>
      <c r="Y395" s="232">
        <f t="shared" ref="Y395" si="86">R395+X395</f>
        <v>885</v>
      </c>
      <c r="Z395" s="357"/>
      <c r="AA395" s="326"/>
    </row>
    <row r="396" spans="1:28" ht="21.95" customHeight="1" x14ac:dyDescent="0.25">
      <c r="A396" s="39">
        <v>3</v>
      </c>
      <c r="B396" s="88" t="s">
        <v>565</v>
      </c>
      <c r="C396" s="38" t="s">
        <v>564</v>
      </c>
      <c r="D396" s="163"/>
      <c r="E396" s="163"/>
      <c r="F396" s="163"/>
      <c r="G396" s="163"/>
      <c r="H396" s="163"/>
      <c r="I396" s="163"/>
      <c r="J396" s="163"/>
      <c r="K396" s="163">
        <f>-18150</f>
        <v>-18150</v>
      </c>
      <c r="L396" s="163">
        <f>14291+3859</f>
        <v>18150</v>
      </c>
      <c r="M396" s="163"/>
      <c r="N396" s="163"/>
      <c r="O396" s="163"/>
      <c r="P396" s="163"/>
      <c r="Q396" s="163"/>
      <c r="R396" s="163">
        <f t="shared" si="75"/>
        <v>0</v>
      </c>
      <c r="S396" s="163"/>
      <c r="T396" s="163"/>
      <c r="U396" s="163"/>
      <c r="V396" s="163"/>
      <c r="W396" s="163"/>
      <c r="X396" s="164">
        <f t="shared" si="67"/>
        <v>0</v>
      </c>
      <c r="Y396" s="232">
        <f t="shared" si="68"/>
        <v>0</v>
      </c>
      <c r="Z396" s="357"/>
      <c r="AA396" s="326"/>
    </row>
    <row r="397" spans="1:28" ht="21.95" customHeight="1" x14ac:dyDescent="0.25">
      <c r="A397" s="39">
        <v>4</v>
      </c>
      <c r="B397" s="88" t="s">
        <v>566</v>
      </c>
      <c r="C397" s="38" t="s">
        <v>567</v>
      </c>
      <c r="D397" s="163">
        <f>393.305</f>
        <v>393.30500000000001</v>
      </c>
      <c r="E397" s="163">
        <f>76.695</f>
        <v>76.694999999999993</v>
      </c>
      <c r="F397" s="163">
        <f>30</f>
        <v>30</v>
      </c>
      <c r="G397" s="163"/>
      <c r="H397" s="163"/>
      <c r="I397" s="163"/>
      <c r="J397" s="163">
        <f>-620+120</f>
        <v>-500</v>
      </c>
      <c r="K397" s="163"/>
      <c r="L397" s="163"/>
      <c r="M397" s="163"/>
      <c r="N397" s="163"/>
      <c r="O397" s="163"/>
      <c r="P397" s="163"/>
      <c r="Q397" s="163"/>
      <c r="R397" s="163">
        <f t="shared" si="75"/>
        <v>0</v>
      </c>
      <c r="S397" s="163"/>
      <c r="T397" s="163"/>
      <c r="U397" s="163"/>
      <c r="V397" s="163"/>
      <c r="W397" s="163"/>
      <c r="X397" s="164">
        <f t="shared" si="67"/>
        <v>0</v>
      </c>
      <c r="Y397" s="232">
        <f t="shared" si="68"/>
        <v>0</v>
      </c>
      <c r="Z397" s="357"/>
      <c r="AA397" s="326"/>
    </row>
    <row r="398" spans="1:28" ht="21.95" customHeight="1" x14ac:dyDescent="0.25">
      <c r="A398" s="39">
        <v>5</v>
      </c>
      <c r="B398" s="88" t="s">
        <v>568</v>
      </c>
      <c r="C398" s="38" t="s">
        <v>569</v>
      </c>
      <c r="D398" s="163"/>
      <c r="E398" s="163"/>
      <c r="F398" s="163"/>
      <c r="G398" s="163"/>
      <c r="H398" s="163"/>
      <c r="I398" s="163"/>
      <c r="J398" s="163">
        <f>-750</f>
        <v>-750</v>
      </c>
      <c r="K398" s="163"/>
      <c r="L398" s="163"/>
      <c r="M398" s="163"/>
      <c r="N398" s="163"/>
      <c r="O398" s="163"/>
      <c r="P398" s="163"/>
      <c r="Q398" s="163">
        <f>750</f>
        <v>750</v>
      </c>
      <c r="R398" s="163">
        <f>SUM(D398:Q398)</f>
        <v>0</v>
      </c>
      <c r="S398" s="163"/>
      <c r="T398" s="163"/>
      <c r="U398" s="163"/>
      <c r="V398" s="163"/>
      <c r="W398" s="163"/>
      <c r="X398" s="164">
        <f>SUM(T398:W398)</f>
        <v>0</v>
      </c>
      <c r="Y398" s="232">
        <f>R398+X398</f>
        <v>0</v>
      </c>
      <c r="Z398" s="357"/>
      <c r="AA398" s="326"/>
    </row>
    <row r="399" spans="1:28" ht="21.95" customHeight="1" x14ac:dyDescent="0.25">
      <c r="A399" s="39">
        <v>6</v>
      </c>
      <c r="B399" s="88" t="s">
        <v>570</v>
      </c>
      <c r="C399" s="38" t="s">
        <v>598</v>
      </c>
      <c r="D399" s="163">
        <f>-1170</f>
        <v>-1170</v>
      </c>
      <c r="E399" s="163">
        <f>-477.728</f>
        <v>-477.72800000000001</v>
      </c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>
        <f t="shared" si="75"/>
        <v>-1647.7280000000001</v>
      </c>
      <c r="S399" s="163"/>
      <c r="T399" s="163"/>
      <c r="U399" s="163"/>
      <c r="V399" s="163"/>
      <c r="W399" s="163"/>
      <c r="X399" s="164">
        <f t="shared" si="67"/>
        <v>0</v>
      </c>
      <c r="Y399" s="232">
        <f t="shared" si="68"/>
        <v>-1647.7280000000001</v>
      </c>
      <c r="Z399" s="357">
        <f>1647.728</f>
        <v>1647.7280000000001</v>
      </c>
      <c r="AA399" s="326"/>
    </row>
    <row r="400" spans="1:28" ht="21.95" customHeight="1" x14ac:dyDescent="0.25">
      <c r="A400" s="39">
        <v>7</v>
      </c>
      <c r="B400" s="88" t="s">
        <v>571</v>
      </c>
      <c r="C400" s="38" t="s">
        <v>599</v>
      </c>
      <c r="D400" s="163"/>
      <c r="E400" s="163"/>
      <c r="F400" s="163"/>
      <c r="G400" s="163"/>
      <c r="H400" s="163"/>
      <c r="I400" s="163"/>
      <c r="J400" s="163">
        <f>-500</f>
        <v>-500</v>
      </c>
      <c r="K400" s="163"/>
      <c r="L400" s="163"/>
      <c r="M400" s="163"/>
      <c r="N400" s="163"/>
      <c r="O400" s="163"/>
      <c r="P400" s="163"/>
      <c r="Q400" s="163"/>
      <c r="R400" s="163">
        <f t="shared" si="75"/>
        <v>-500</v>
      </c>
      <c r="S400" s="163"/>
      <c r="T400" s="163"/>
      <c r="U400" s="163"/>
      <c r="V400" s="163"/>
      <c r="W400" s="163"/>
      <c r="X400" s="164">
        <f t="shared" si="67"/>
        <v>0</v>
      </c>
      <c r="Y400" s="232">
        <f t="shared" si="68"/>
        <v>-500</v>
      </c>
      <c r="Z400" s="357">
        <f>500</f>
        <v>500</v>
      </c>
      <c r="AA400" s="326"/>
    </row>
    <row r="401" spans="1:42" ht="21.95" customHeight="1" x14ac:dyDescent="0.25">
      <c r="A401" s="39">
        <v>8</v>
      </c>
      <c r="B401" s="88" t="s">
        <v>572</v>
      </c>
      <c r="C401" s="38" t="s">
        <v>600</v>
      </c>
      <c r="D401" s="163"/>
      <c r="E401" s="163"/>
      <c r="F401" s="163"/>
      <c r="G401" s="163"/>
      <c r="H401" s="163"/>
      <c r="I401" s="163"/>
      <c r="J401" s="163">
        <f>-2000</f>
        <v>-2000</v>
      </c>
      <c r="K401" s="163"/>
      <c r="L401" s="163"/>
      <c r="M401" s="163"/>
      <c r="N401" s="163"/>
      <c r="O401" s="163"/>
      <c r="P401" s="163"/>
      <c r="Q401" s="163"/>
      <c r="R401" s="163">
        <f t="shared" si="75"/>
        <v>-2000</v>
      </c>
      <c r="S401" s="163"/>
      <c r="T401" s="163"/>
      <c r="U401" s="163"/>
      <c r="V401" s="163"/>
      <c r="W401" s="163"/>
      <c r="X401" s="164">
        <f t="shared" si="67"/>
        <v>0</v>
      </c>
      <c r="Y401" s="232">
        <f t="shared" si="68"/>
        <v>-2000</v>
      </c>
      <c r="Z401" s="357">
        <f>2000</f>
        <v>2000</v>
      </c>
      <c r="AA401" s="326"/>
    </row>
    <row r="402" spans="1:42" ht="21.95" customHeight="1" x14ac:dyDescent="0.25">
      <c r="A402" s="39">
        <v>9</v>
      </c>
      <c r="B402" s="88" t="s">
        <v>573</v>
      </c>
      <c r="C402" s="38" t="s">
        <v>601</v>
      </c>
      <c r="D402" s="163"/>
      <c r="E402" s="163"/>
      <c r="F402" s="163">
        <f>-845</f>
        <v>-845</v>
      </c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>
        <f t="shared" si="75"/>
        <v>-845</v>
      </c>
      <c r="S402" s="163"/>
      <c r="T402" s="163"/>
      <c r="U402" s="163"/>
      <c r="V402" s="163"/>
      <c r="W402" s="163"/>
      <c r="X402" s="164">
        <f t="shared" si="67"/>
        <v>0</v>
      </c>
      <c r="Y402" s="232">
        <f t="shared" si="68"/>
        <v>-845</v>
      </c>
      <c r="Z402" s="357">
        <f>845</f>
        <v>845</v>
      </c>
      <c r="AA402" s="326"/>
    </row>
    <row r="403" spans="1:42" ht="21.95" customHeight="1" x14ac:dyDescent="0.25">
      <c r="A403" s="39">
        <v>10</v>
      </c>
      <c r="B403" s="88" t="s">
        <v>574</v>
      </c>
      <c r="C403" s="38" t="s">
        <v>575</v>
      </c>
      <c r="D403" s="163"/>
      <c r="E403" s="163"/>
      <c r="F403" s="163"/>
      <c r="G403" s="163"/>
      <c r="H403" s="163"/>
      <c r="I403" s="163"/>
      <c r="J403" s="163"/>
      <c r="K403" s="163">
        <f>-12383</f>
        <v>-12383</v>
      </c>
      <c r="L403" s="163">
        <f>9750+2633</f>
        <v>12383</v>
      </c>
      <c r="M403" s="163"/>
      <c r="N403" s="163"/>
      <c r="O403" s="163"/>
      <c r="P403" s="163"/>
      <c r="Q403" s="163"/>
      <c r="R403" s="163">
        <f t="shared" si="75"/>
        <v>0</v>
      </c>
      <c r="S403" s="163"/>
      <c r="T403" s="163"/>
      <c r="U403" s="163"/>
      <c r="V403" s="163"/>
      <c r="W403" s="163"/>
      <c r="X403" s="164">
        <f t="shared" si="67"/>
        <v>0</v>
      </c>
      <c r="Y403" s="232">
        <f t="shared" si="68"/>
        <v>0</v>
      </c>
      <c r="Z403" s="357"/>
      <c r="AA403" s="326"/>
    </row>
    <row r="404" spans="1:42" ht="21.95" customHeight="1" x14ac:dyDescent="0.25">
      <c r="A404" s="39">
        <v>11</v>
      </c>
      <c r="B404" s="88" t="s">
        <v>577</v>
      </c>
      <c r="C404" s="38" t="s">
        <v>602</v>
      </c>
      <c r="D404" s="163"/>
      <c r="E404" s="163"/>
      <c r="F404" s="163">
        <f>-381-320-792</f>
        <v>-1493</v>
      </c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>
        <f t="shared" si="75"/>
        <v>-1493</v>
      </c>
      <c r="S404" s="163"/>
      <c r="T404" s="163"/>
      <c r="U404" s="163"/>
      <c r="V404" s="163"/>
      <c r="W404" s="163"/>
      <c r="X404" s="164">
        <f t="shared" si="67"/>
        <v>0</v>
      </c>
      <c r="Y404" s="232">
        <f t="shared" si="68"/>
        <v>-1493</v>
      </c>
      <c r="Z404" s="357">
        <f>1493</f>
        <v>1493</v>
      </c>
      <c r="AA404" s="326"/>
    </row>
    <row r="405" spans="1:42" ht="21.95" customHeight="1" x14ac:dyDescent="0.25">
      <c r="A405" s="39">
        <v>12</v>
      </c>
      <c r="B405" s="88" t="s">
        <v>578</v>
      </c>
      <c r="C405" s="38" t="s">
        <v>603</v>
      </c>
      <c r="D405" s="163">
        <f>-1000</f>
        <v>-1000</v>
      </c>
      <c r="E405" s="163">
        <f>-195</f>
        <v>-195</v>
      </c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>
        <f t="shared" si="75"/>
        <v>-1195</v>
      </c>
      <c r="S405" s="163"/>
      <c r="T405" s="163"/>
      <c r="U405" s="163"/>
      <c r="V405" s="163"/>
      <c r="W405" s="163"/>
      <c r="X405" s="164">
        <f t="shared" si="67"/>
        <v>0</v>
      </c>
      <c r="Y405" s="232">
        <f t="shared" si="68"/>
        <v>-1195</v>
      </c>
      <c r="Z405" s="357">
        <f>1195</f>
        <v>1195</v>
      </c>
      <c r="AA405" s="326"/>
    </row>
    <row r="406" spans="1:42" ht="21.95" customHeight="1" x14ac:dyDescent="0.25">
      <c r="A406" s="39">
        <v>13</v>
      </c>
      <c r="B406" s="88" t="s">
        <v>579</v>
      </c>
      <c r="C406" s="38" t="s">
        <v>604</v>
      </c>
      <c r="D406" s="163">
        <f>-1100</f>
        <v>-1100</v>
      </c>
      <c r="E406" s="163">
        <f>-214.5</f>
        <v>-214.5</v>
      </c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>
        <f t="shared" si="75"/>
        <v>-1314.5</v>
      </c>
      <c r="S406" s="163"/>
      <c r="T406" s="163"/>
      <c r="U406" s="163"/>
      <c r="V406" s="163"/>
      <c r="W406" s="163"/>
      <c r="X406" s="164">
        <f t="shared" si="67"/>
        <v>0</v>
      </c>
      <c r="Y406" s="232">
        <f t="shared" si="68"/>
        <v>-1314.5</v>
      </c>
      <c r="Z406" s="357">
        <f>1314.5</f>
        <v>1314.5</v>
      </c>
      <c r="AA406" s="326"/>
    </row>
    <row r="407" spans="1:42" ht="21.95" customHeight="1" x14ac:dyDescent="0.25">
      <c r="A407" s="39">
        <v>14</v>
      </c>
      <c r="B407" s="88" t="s">
        <v>576</v>
      </c>
      <c r="C407" s="38" t="s">
        <v>234</v>
      </c>
      <c r="D407" s="163"/>
      <c r="E407" s="163"/>
      <c r="F407" s="163">
        <v>432</v>
      </c>
      <c r="G407" s="163"/>
      <c r="H407" s="163"/>
      <c r="I407" s="163"/>
      <c r="J407" s="163"/>
      <c r="K407" s="163">
        <v>1600</v>
      </c>
      <c r="L407" s="163"/>
      <c r="M407" s="163"/>
      <c r="N407" s="163"/>
      <c r="O407" s="163"/>
      <c r="P407" s="163"/>
      <c r="Q407" s="163"/>
      <c r="R407" s="163">
        <f t="shared" si="75"/>
        <v>2032</v>
      </c>
      <c r="S407" s="163"/>
      <c r="T407" s="163"/>
      <c r="U407" s="163"/>
      <c r="V407" s="163"/>
      <c r="W407" s="163"/>
      <c r="X407" s="164">
        <f t="shared" si="67"/>
        <v>0</v>
      </c>
      <c r="Y407" s="232">
        <f>R407+X407</f>
        <v>2032</v>
      </c>
      <c r="Z407" s="357"/>
      <c r="AA407" s="326"/>
    </row>
    <row r="408" spans="1:42" ht="21.95" customHeight="1" x14ac:dyDescent="0.25">
      <c r="A408" s="39">
        <v>15</v>
      </c>
      <c r="B408" s="88" t="s">
        <v>584</v>
      </c>
      <c r="C408" s="38" t="s">
        <v>585</v>
      </c>
      <c r="D408" s="163"/>
      <c r="E408" s="163"/>
      <c r="F408" s="163">
        <f>-866-234-2300-3150-850-1860-503+9026+2437</f>
        <v>1700</v>
      </c>
      <c r="G408" s="163"/>
      <c r="H408" s="163"/>
      <c r="I408" s="163"/>
      <c r="J408" s="163">
        <f>-1700</f>
        <v>-1700</v>
      </c>
      <c r="K408" s="163"/>
      <c r="L408" s="163"/>
      <c r="M408" s="163"/>
      <c r="N408" s="163"/>
      <c r="O408" s="163"/>
      <c r="P408" s="163"/>
      <c r="Q408" s="163"/>
      <c r="R408" s="163">
        <f t="shared" si="75"/>
        <v>0</v>
      </c>
      <c r="S408" s="163"/>
      <c r="T408" s="163"/>
      <c r="U408" s="163"/>
      <c r="V408" s="163"/>
      <c r="W408" s="163"/>
      <c r="X408" s="164">
        <f t="shared" si="67"/>
        <v>0</v>
      </c>
      <c r="Y408" s="232">
        <f>R408+X408</f>
        <v>0</v>
      </c>
      <c r="Z408" s="357"/>
      <c r="AA408" s="326"/>
    </row>
    <row r="409" spans="1:42" ht="21.95" customHeight="1" x14ac:dyDescent="0.25">
      <c r="A409" s="39">
        <v>16</v>
      </c>
      <c r="B409" s="88" t="s">
        <v>580</v>
      </c>
      <c r="C409" s="38" t="s">
        <v>382</v>
      </c>
      <c r="D409" s="163">
        <f>-45</f>
        <v>-45</v>
      </c>
      <c r="E409" s="163">
        <f>-9</f>
        <v>-9</v>
      </c>
      <c r="F409" s="163">
        <f>54</f>
        <v>54</v>
      </c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>
        <f t="shared" si="75"/>
        <v>0</v>
      </c>
      <c r="S409" s="163"/>
      <c r="T409" s="163"/>
      <c r="U409" s="163"/>
      <c r="V409" s="163"/>
      <c r="W409" s="163"/>
      <c r="X409" s="164">
        <f t="shared" si="67"/>
        <v>0</v>
      </c>
      <c r="Y409" s="232">
        <f t="shared" si="68"/>
        <v>0</v>
      </c>
      <c r="Z409" s="357"/>
      <c r="AA409" s="326"/>
    </row>
    <row r="410" spans="1:42" ht="21.95" customHeight="1" x14ac:dyDescent="0.25">
      <c r="A410" s="39">
        <v>17</v>
      </c>
      <c r="B410" s="88" t="s">
        <v>581</v>
      </c>
      <c r="C410" s="38" t="s">
        <v>503</v>
      </c>
      <c r="D410" s="163"/>
      <c r="E410" s="163"/>
      <c r="F410" s="163"/>
      <c r="G410" s="163"/>
      <c r="H410" s="163"/>
      <c r="I410" s="163"/>
      <c r="J410" s="163"/>
      <c r="K410" s="163">
        <f>-18161</f>
        <v>-18161</v>
      </c>
      <c r="L410" s="163">
        <f>14300+3861</f>
        <v>18161</v>
      </c>
      <c r="M410" s="163"/>
      <c r="N410" s="163"/>
      <c r="O410" s="163"/>
      <c r="P410" s="163"/>
      <c r="Q410" s="163"/>
      <c r="R410" s="163">
        <f t="shared" si="75"/>
        <v>0</v>
      </c>
      <c r="S410" s="163"/>
      <c r="T410" s="163"/>
      <c r="U410" s="163"/>
      <c r="V410" s="163"/>
      <c r="W410" s="163"/>
      <c r="X410" s="164">
        <f t="shared" si="67"/>
        <v>0</v>
      </c>
      <c r="Y410" s="232">
        <f t="shared" si="68"/>
        <v>0</v>
      </c>
      <c r="Z410" s="357"/>
      <c r="AA410" s="326"/>
    </row>
    <row r="411" spans="1:42" ht="21.95" customHeight="1" x14ac:dyDescent="0.25">
      <c r="A411" s="39">
        <v>18</v>
      </c>
      <c r="B411" s="526" t="s">
        <v>582</v>
      </c>
      <c r="C411" s="38" t="s">
        <v>583</v>
      </c>
      <c r="D411" s="163"/>
      <c r="E411" s="163"/>
      <c r="F411" s="163"/>
      <c r="G411" s="163"/>
      <c r="H411" s="163"/>
      <c r="I411" s="163"/>
      <c r="J411" s="163"/>
      <c r="K411" s="163"/>
      <c r="L411" s="163">
        <f>-18-5</f>
        <v>-23</v>
      </c>
      <c r="M411" s="163">
        <f>18+5</f>
        <v>23</v>
      </c>
      <c r="N411" s="163"/>
      <c r="O411" s="163"/>
      <c r="P411" s="163"/>
      <c r="Q411" s="163"/>
      <c r="R411" s="163">
        <f t="shared" si="75"/>
        <v>0</v>
      </c>
      <c r="S411" s="163"/>
      <c r="T411" s="163"/>
      <c r="U411" s="163"/>
      <c r="V411" s="163"/>
      <c r="W411" s="163"/>
      <c r="X411" s="164">
        <f t="shared" si="67"/>
        <v>0</v>
      </c>
      <c r="Y411" s="232">
        <f t="shared" si="68"/>
        <v>0</v>
      </c>
      <c r="Z411" s="357"/>
      <c r="AA411" s="326"/>
    </row>
    <row r="412" spans="1:42" s="500" customFormat="1" ht="21.95" customHeight="1" x14ac:dyDescent="0.25">
      <c r="A412" s="39">
        <v>19</v>
      </c>
      <c r="B412" s="526" t="s">
        <v>587</v>
      </c>
      <c r="C412" s="38" t="s">
        <v>586</v>
      </c>
      <c r="D412" s="496"/>
      <c r="E412" s="496"/>
      <c r="F412" s="496"/>
      <c r="G412" s="496"/>
      <c r="H412" s="496"/>
      <c r="I412" s="496">
        <f>4200</f>
        <v>4200</v>
      </c>
      <c r="J412" s="496"/>
      <c r="K412" s="496">
        <f>-4200</f>
        <v>-4200</v>
      </c>
      <c r="L412" s="496"/>
      <c r="M412" s="496"/>
      <c r="N412" s="496"/>
      <c r="O412" s="496"/>
      <c r="P412" s="496"/>
      <c r="Q412" s="496"/>
      <c r="R412" s="163">
        <f t="shared" si="75"/>
        <v>0</v>
      </c>
      <c r="S412" s="496"/>
      <c r="T412" s="496"/>
      <c r="U412" s="496"/>
      <c r="V412" s="496"/>
      <c r="W412" s="496"/>
      <c r="X412" s="164">
        <f t="shared" si="67"/>
        <v>0</v>
      </c>
      <c r="Y412" s="232">
        <f t="shared" si="68"/>
        <v>0</v>
      </c>
      <c r="Z412" s="527"/>
      <c r="AA412" s="528"/>
      <c r="AB412" s="510"/>
      <c r="AC412" s="510"/>
      <c r="AD412" s="510"/>
      <c r="AE412" s="510"/>
      <c r="AF412" s="510"/>
      <c r="AG412" s="510"/>
      <c r="AH412" s="510"/>
      <c r="AI412" s="510"/>
      <c r="AJ412" s="510"/>
      <c r="AK412" s="510"/>
      <c r="AL412" s="510"/>
      <c r="AM412" s="510"/>
      <c r="AN412" s="510"/>
      <c r="AO412" s="510"/>
      <c r="AP412" s="510"/>
    </row>
    <row r="413" spans="1:42" s="500" customFormat="1" ht="21.95" customHeight="1" x14ac:dyDescent="0.25">
      <c r="A413" s="39">
        <v>20</v>
      </c>
      <c r="B413" s="526" t="s">
        <v>588</v>
      </c>
      <c r="C413" s="38" t="s">
        <v>589</v>
      </c>
      <c r="D413" s="496"/>
      <c r="E413" s="496"/>
      <c r="F413" s="496"/>
      <c r="G413" s="496"/>
      <c r="H413" s="496"/>
      <c r="I413" s="496"/>
      <c r="J413" s="496"/>
      <c r="K413" s="496">
        <f>-20000</f>
        <v>-20000</v>
      </c>
      <c r="L413" s="496"/>
      <c r="M413" s="496"/>
      <c r="N413" s="496"/>
      <c r="O413" s="496"/>
      <c r="P413" s="496"/>
      <c r="Q413" s="496">
        <f>20000</f>
        <v>20000</v>
      </c>
      <c r="R413" s="163">
        <f t="shared" si="75"/>
        <v>0</v>
      </c>
      <c r="S413" s="496"/>
      <c r="T413" s="496"/>
      <c r="U413" s="496"/>
      <c r="V413" s="496"/>
      <c r="W413" s="496"/>
      <c r="X413" s="164">
        <f t="shared" si="67"/>
        <v>0</v>
      </c>
      <c r="Y413" s="232">
        <f t="shared" si="68"/>
        <v>0</v>
      </c>
      <c r="Z413" s="527"/>
      <c r="AA413" s="528"/>
      <c r="AB413" s="510"/>
      <c r="AC413" s="510"/>
      <c r="AD413" s="510"/>
      <c r="AE413" s="510"/>
      <c r="AF413" s="510"/>
      <c r="AG413" s="510"/>
      <c r="AH413" s="510"/>
      <c r="AI413" s="510"/>
      <c r="AJ413" s="510"/>
      <c r="AK413" s="510"/>
      <c r="AL413" s="510"/>
      <c r="AM413" s="510"/>
      <c r="AN413" s="510"/>
      <c r="AO413" s="510"/>
      <c r="AP413" s="510"/>
    </row>
    <row r="414" spans="1:42" ht="21.95" customHeight="1" x14ac:dyDescent="0.25">
      <c r="A414" s="39">
        <v>21</v>
      </c>
      <c r="B414" s="526" t="s">
        <v>590</v>
      </c>
      <c r="C414" s="38" t="s">
        <v>591</v>
      </c>
      <c r="D414" s="163"/>
      <c r="E414" s="163"/>
      <c r="F414" s="163">
        <f>2200+594</f>
        <v>2794</v>
      </c>
      <c r="G414" s="163"/>
      <c r="H414" s="163"/>
      <c r="I414" s="163"/>
      <c r="J414" s="163"/>
      <c r="K414" s="163">
        <f>-2794</f>
        <v>-2794</v>
      </c>
      <c r="L414" s="163"/>
      <c r="M414" s="163"/>
      <c r="N414" s="163"/>
      <c r="O414" s="163"/>
      <c r="P414" s="163"/>
      <c r="Q414" s="163"/>
      <c r="R414" s="163">
        <f t="shared" si="75"/>
        <v>0</v>
      </c>
      <c r="S414" s="163"/>
      <c r="T414" s="163"/>
      <c r="U414" s="163"/>
      <c r="V414" s="163"/>
      <c r="W414" s="163"/>
      <c r="X414" s="164">
        <f t="shared" si="67"/>
        <v>0</v>
      </c>
      <c r="Y414" s="232">
        <f t="shared" si="68"/>
        <v>0</v>
      </c>
      <c r="Z414" s="357"/>
      <c r="AA414" s="326"/>
    </row>
    <row r="415" spans="1:42" ht="21.95" customHeight="1" x14ac:dyDescent="0.25">
      <c r="A415" s="39">
        <v>22</v>
      </c>
      <c r="B415" s="526" t="s">
        <v>592</v>
      </c>
      <c r="C415" s="38" t="s">
        <v>244</v>
      </c>
      <c r="D415" s="163"/>
      <c r="E415" s="163"/>
      <c r="F415" s="163"/>
      <c r="G415" s="163"/>
      <c r="H415" s="163"/>
      <c r="I415" s="163"/>
      <c r="J415" s="163">
        <f>100</f>
        <v>100</v>
      </c>
      <c r="K415" s="163">
        <f>-100</f>
        <v>-100</v>
      </c>
      <c r="L415" s="163"/>
      <c r="M415" s="163"/>
      <c r="N415" s="163"/>
      <c r="O415" s="163"/>
      <c r="P415" s="163"/>
      <c r="Q415" s="163"/>
      <c r="R415" s="163">
        <f t="shared" si="75"/>
        <v>0</v>
      </c>
      <c r="S415" s="163"/>
      <c r="T415" s="163"/>
      <c r="U415" s="163"/>
      <c r="V415" s="163"/>
      <c r="W415" s="163"/>
      <c r="X415" s="164">
        <f t="shared" si="67"/>
        <v>0</v>
      </c>
      <c r="Y415" s="232">
        <f t="shared" si="68"/>
        <v>0</v>
      </c>
      <c r="Z415" s="357"/>
      <c r="AA415" s="326"/>
    </row>
    <row r="416" spans="1:42" ht="21.95" customHeight="1" x14ac:dyDescent="0.25">
      <c r="A416" s="39">
        <v>23</v>
      </c>
      <c r="B416" s="526" t="s">
        <v>595</v>
      </c>
      <c r="C416" s="38" t="s">
        <v>563</v>
      </c>
      <c r="D416" s="163"/>
      <c r="E416" s="163"/>
      <c r="F416" s="163">
        <f>513+139</f>
        <v>652</v>
      </c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>
        <f t="shared" si="75"/>
        <v>652</v>
      </c>
      <c r="S416" s="163"/>
      <c r="T416" s="163"/>
      <c r="U416" s="163"/>
      <c r="V416" s="163"/>
      <c r="W416" s="163"/>
      <c r="X416" s="164">
        <f t="shared" si="67"/>
        <v>0</v>
      </c>
      <c r="Y416" s="232">
        <f t="shared" si="68"/>
        <v>652</v>
      </c>
      <c r="Z416" s="357"/>
      <c r="AA416" s="326"/>
    </row>
    <row r="417" spans="1:27" ht="21.95" customHeight="1" x14ac:dyDescent="0.25">
      <c r="A417" s="39">
        <v>24</v>
      </c>
      <c r="B417" s="526" t="s">
        <v>596</v>
      </c>
      <c r="C417" s="38" t="s">
        <v>234</v>
      </c>
      <c r="D417" s="163"/>
      <c r="E417" s="163"/>
      <c r="F417" s="163">
        <f>648</f>
        <v>648</v>
      </c>
      <c r="G417" s="163"/>
      <c r="H417" s="163"/>
      <c r="I417" s="163"/>
      <c r="J417" s="163"/>
      <c r="K417" s="163">
        <f>2400</f>
        <v>2400</v>
      </c>
      <c r="L417" s="163"/>
      <c r="M417" s="163"/>
      <c r="N417" s="163"/>
      <c r="O417" s="163"/>
      <c r="P417" s="163"/>
      <c r="Q417" s="163"/>
      <c r="R417" s="163">
        <f t="shared" si="75"/>
        <v>3048</v>
      </c>
      <c r="S417" s="163"/>
      <c r="T417" s="163"/>
      <c r="U417" s="163"/>
      <c r="V417" s="163"/>
      <c r="W417" s="163"/>
      <c r="X417" s="164">
        <f t="shared" si="67"/>
        <v>0</v>
      </c>
      <c r="Y417" s="232">
        <f t="shared" si="68"/>
        <v>3048</v>
      </c>
      <c r="Z417" s="357"/>
      <c r="AA417" s="326"/>
    </row>
    <row r="418" spans="1:27" ht="21.95" customHeight="1" x14ac:dyDescent="0.25">
      <c r="A418" s="39">
        <v>25</v>
      </c>
      <c r="B418" s="526" t="s">
        <v>597</v>
      </c>
      <c r="C418" s="38" t="s">
        <v>382</v>
      </c>
      <c r="D418" s="163">
        <f>-1712</f>
        <v>-1712</v>
      </c>
      <c r="E418" s="163">
        <f>-334</f>
        <v>-334</v>
      </c>
      <c r="F418" s="163">
        <f>1647+399</f>
        <v>2046</v>
      </c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>
        <f t="shared" si="75"/>
        <v>0</v>
      </c>
      <c r="S418" s="163"/>
      <c r="T418" s="163"/>
      <c r="U418" s="163"/>
      <c r="V418" s="163"/>
      <c r="W418" s="163"/>
      <c r="X418" s="164">
        <f t="shared" si="67"/>
        <v>0</v>
      </c>
      <c r="Y418" s="232">
        <f t="shared" si="68"/>
        <v>0</v>
      </c>
      <c r="Z418" s="357"/>
      <c r="AA418" s="326"/>
    </row>
    <row r="419" spans="1:27" ht="21.95" customHeight="1" x14ac:dyDescent="0.25">
      <c r="A419" s="39">
        <v>26</v>
      </c>
      <c r="B419" s="526" t="s">
        <v>605</v>
      </c>
      <c r="C419" s="38" t="s">
        <v>606</v>
      </c>
      <c r="D419" s="163"/>
      <c r="E419" s="163"/>
      <c r="F419" s="163"/>
      <c r="G419" s="163"/>
      <c r="H419" s="163"/>
      <c r="I419" s="163"/>
      <c r="J419" s="163"/>
      <c r="K419" s="163">
        <f>-4942</f>
        <v>-4942</v>
      </c>
      <c r="L419" s="163"/>
      <c r="M419" s="163"/>
      <c r="N419" s="163"/>
      <c r="O419" s="163"/>
      <c r="P419" s="163"/>
      <c r="Q419" s="163"/>
      <c r="R419" s="163">
        <f t="shared" si="75"/>
        <v>-4942</v>
      </c>
      <c r="S419" s="163"/>
      <c r="T419" s="163"/>
      <c r="U419" s="163"/>
      <c r="V419" s="163"/>
      <c r="W419" s="163"/>
      <c r="X419" s="164">
        <f t="shared" si="67"/>
        <v>0</v>
      </c>
      <c r="Y419" s="232">
        <f t="shared" si="68"/>
        <v>-4942</v>
      </c>
      <c r="Z419" s="357">
        <f>4942</f>
        <v>4942</v>
      </c>
      <c r="AA419" s="326"/>
    </row>
    <row r="420" spans="1:27" ht="21.95" customHeight="1" x14ac:dyDescent="0.25">
      <c r="A420" s="39">
        <v>27</v>
      </c>
      <c r="B420" s="526" t="s">
        <v>607</v>
      </c>
      <c r="C420" s="38" t="s">
        <v>608</v>
      </c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>
        <f t="shared" si="75"/>
        <v>0</v>
      </c>
      <c r="S420" s="163"/>
      <c r="T420" s="163"/>
      <c r="U420" s="163"/>
      <c r="V420" s="163"/>
      <c r="W420" s="163"/>
      <c r="X420" s="164">
        <f t="shared" si="67"/>
        <v>0</v>
      </c>
      <c r="Y420" s="232">
        <f t="shared" si="68"/>
        <v>0</v>
      </c>
      <c r="Z420" s="357">
        <f>758.944</f>
        <v>758.94399999999996</v>
      </c>
      <c r="AA420" s="326"/>
    </row>
    <row r="421" spans="1:27" ht="21.95" customHeight="1" x14ac:dyDescent="0.25">
      <c r="A421" s="39">
        <v>28</v>
      </c>
      <c r="B421" s="526" t="s">
        <v>607</v>
      </c>
      <c r="C421" s="38" t="s">
        <v>609</v>
      </c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>
        <f t="shared" si="75"/>
        <v>0</v>
      </c>
      <c r="S421" s="163"/>
      <c r="T421" s="163"/>
      <c r="U421" s="163"/>
      <c r="V421" s="163"/>
      <c r="W421" s="163"/>
      <c r="X421" s="164">
        <f t="shared" si="67"/>
        <v>0</v>
      </c>
      <c r="Y421" s="232">
        <f t="shared" si="68"/>
        <v>0</v>
      </c>
      <c r="Z421" s="357">
        <f>1282.598</f>
        <v>1282.598</v>
      </c>
      <c r="AA421" s="326"/>
    </row>
    <row r="422" spans="1:27" ht="21.95" customHeight="1" x14ac:dyDescent="0.25">
      <c r="A422" s="39">
        <v>29</v>
      </c>
      <c r="B422" s="526" t="s">
        <v>607</v>
      </c>
      <c r="C422" s="38" t="s">
        <v>613</v>
      </c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>
        <f t="shared" si="75"/>
        <v>0</v>
      </c>
      <c r="S422" s="163"/>
      <c r="T422" s="163"/>
      <c r="U422" s="163"/>
      <c r="V422" s="163"/>
      <c r="W422" s="163"/>
      <c r="X422" s="164">
        <f t="shared" si="67"/>
        <v>0</v>
      </c>
      <c r="Y422" s="232">
        <f t="shared" si="68"/>
        <v>0</v>
      </c>
      <c r="Z422" s="357">
        <f>173.035</f>
        <v>173.035</v>
      </c>
      <c r="AA422" s="326"/>
    </row>
    <row r="423" spans="1:27" ht="21.95" customHeight="1" x14ac:dyDescent="0.25">
      <c r="A423" s="39">
        <v>30</v>
      </c>
      <c r="B423" s="526" t="s">
        <v>610</v>
      </c>
      <c r="C423" s="38" t="s">
        <v>611</v>
      </c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>
        <f t="shared" si="75"/>
        <v>0</v>
      </c>
      <c r="S423" s="163"/>
      <c r="T423" s="163"/>
      <c r="U423" s="163"/>
      <c r="V423" s="163"/>
      <c r="W423" s="163"/>
      <c r="X423" s="164">
        <f t="shared" si="67"/>
        <v>0</v>
      </c>
      <c r="Y423" s="232">
        <f t="shared" si="68"/>
        <v>0</v>
      </c>
      <c r="Z423" s="357">
        <f>7837.51</f>
        <v>7837.51</v>
      </c>
      <c r="AA423" s="326"/>
    </row>
    <row r="424" spans="1:27" ht="21.95" customHeight="1" x14ac:dyDescent="0.25">
      <c r="A424" s="39">
        <v>31</v>
      </c>
      <c r="B424" s="526" t="s">
        <v>614</v>
      </c>
      <c r="C424" s="38" t="s">
        <v>615</v>
      </c>
      <c r="D424" s="163"/>
      <c r="E424" s="163"/>
      <c r="F424" s="163"/>
      <c r="G424" s="163"/>
      <c r="H424" s="163"/>
      <c r="I424" s="163"/>
      <c r="J424" s="163">
        <f>-45</f>
        <v>-45</v>
      </c>
      <c r="K424" s="163">
        <f>45</f>
        <v>45</v>
      </c>
      <c r="L424" s="163"/>
      <c r="M424" s="163"/>
      <c r="N424" s="163"/>
      <c r="O424" s="163"/>
      <c r="P424" s="163"/>
      <c r="Q424" s="163"/>
      <c r="R424" s="163">
        <f t="shared" si="75"/>
        <v>0</v>
      </c>
      <c r="S424" s="163"/>
      <c r="T424" s="163"/>
      <c r="U424" s="163"/>
      <c r="V424" s="163"/>
      <c r="W424" s="163"/>
      <c r="X424" s="164">
        <f t="shared" si="67"/>
        <v>0</v>
      </c>
      <c r="Y424" s="232">
        <f t="shared" si="68"/>
        <v>0</v>
      </c>
      <c r="Z424" s="357"/>
      <c r="AA424" s="326"/>
    </row>
    <row r="425" spans="1:27" ht="21.95" customHeight="1" x14ac:dyDescent="0.25">
      <c r="A425" s="39">
        <v>32</v>
      </c>
      <c r="B425" s="526" t="s">
        <v>617</v>
      </c>
      <c r="C425" s="38" t="s">
        <v>618</v>
      </c>
      <c r="D425" s="163">
        <f>-11499.149-2000-2600</f>
        <v>-16099.148999999999</v>
      </c>
      <c r="E425" s="163">
        <f>-3330.629</f>
        <v>-3330.6289999999999</v>
      </c>
      <c r="F425" s="163"/>
      <c r="G425" s="163"/>
      <c r="H425" s="163"/>
      <c r="I425" s="163"/>
      <c r="J425" s="163"/>
      <c r="K425" s="163">
        <f>-981</f>
        <v>-981</v>
      </c>
      <c r="L425" s="163"/>
      <c r="M425" s="163"/>
      <c r="N425" s="163"/>
      <c r="O425" s="163"/>
      <c r="P425" s="163"/>
      <c r="Q425" s="163"/>
      <c r="R425" s="163">
        <f t="shared" si="75"/>
        <v>-20410.777999999998</v>
      </c>
      <c r="S425" s="163"/>
      <c r="T425" s="163"/>
      <c r="U425" s="163"/>
      <c r="V425" s="163"/>
      <c r="W425" s="163"/>
      <c r="X425" s="164">
        <f t="shared" si="67"/>
        <v>0</v>
      </c>
      <c r="Y425" s="232">
        <f t="shared" si="68"/>
        <v>-20410.777999999998</v>
      </c>
      <c r="Z425" s="357">
        <f>20410.778</f>
        <v>20410.777999999998</v>
      </c>
      <c r="AA425" s="326"/>
    </row>
    <row r="426" spans="1:27" ht="21.95" customHeight="1" x14ac:dyDescent="0.25">
      <c r="A426" s="39">
        <v>33</v>
      </c>
      <c r="B426" s="526" t="s">
        <v>619</v>
      </c>
      <c r="C426" s="38" t="s">
        <v>620</v>
      </c>
      <c r="D426" s="163"/>
      <c r="E426" s="163"/>
      <c r="F426" s="163">
        <f>21031+5679</f>
        <v>26710</v>
      </c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>
        <f t="shared" si="75"/>
        <v>26710</v>
      </c>
      <c r="S426" s="163"/>
      <c r="T426" s="163"/>
      <c r="U426" s="163"/>
      <c r="V426" s="163"/>
      <c r="W426" s="163"/>
      <c r="X426" s="164">
        <f t="shared" si="67"/>
        <v>0</v>
      </c>
      <c r="Y426" s="232">
        <f t="shared" si="68"/>
        <v>26710</v>
      </c>
      <c r="Z426" s="357"/>
      <c r="AA426" s="326"/>
    </row>
    <row r="427" spans="1:27" ht="21.95" customHeight="1" x14ac:dyDescent="0.25">
      <c r="A427" s="39">
        <v>34</v>
      </c>
      <c r="B427" s="526" t="s">
        <v>621</v>
      </c>
      <c r="C427" s="38" t="s">
        <v>622</v>
      </c>
      <c r="D427" s="163"/>
      <c r="E427" s="163"/>
      <c r="F427" s="163">
        <f>170649</f>
        <v>170649</v>
      </c>
      <c r="G427" s="163"/>
      <c r="H427" s="163"/>
      <c r="I427" s="163"/>
      <c r="J427" s="163"/>
      <c r="K427" s="163"/>
      <c r="L427" s="163">
        <f>-85039-85610</f>
        <v>-170649</v>
      </c>
      <c r="M427" s="163"/>
      <c r="N427" s="163"/>
      <c r="O427" s="163"/>
      <c r="P427" s="163"/>
      <c r="Q427" s="163"/>
      <c r="R427" s="163">
        <f t="shared" si="75"/>
        <v>0</v>
      </c>
      <c r="S427" s="163"/>
      <c r="T427" s="163"/>
      <c r="U427" s="163"/>
      <c r="V427" s="163"/>
      <c r="W427" s="163"/>
      <c r="X427" s="164">
        <f t="shared" si="67"/>
        <v>0</v>
      </c>
      <c r="Y427" s="232">
        <f t="shared" si="68"/>
        <v>0</v>
      </c>
      <c r="Z427" s="357"/>
      <c r="AA427" s="326"/>
    </row>
    <row r="428" spans="1:27" ht="21.95" customHeight="1" x14ac:dyDescent="0.25">
      <c r="A428" s="39">
        <v>35</v>
      </c>
      <c r="B428" s="526" t="s">
        <v>623</v>
      </c>
      <c r="C428" s="38" t="s">
        <v>564</v>
      </c>
      <c r="D428" s="163"/>
      <c r="E428" s="163"/>
      <c r="F428" s="163"/>
      <c r="G428" s="163"/>
      <c r="H428" s="163"/>
      <c r="I428" s="163"/>
      <c r="J428" s="163"/>
      <c r="K428" s="163">
        <f>-5900</f>
        <v>-5900</v>
      </c>
      <c r="L428" s="163">
        <f>4646+1254</f>
        <v>5900</v>
      </c>
      <c r="M428" s="163"/>
      <c r="N428" s="163"/>
      <c r="O428" s="163"/>
      <c r="P428" s="163"/>
      <c r="Q428" s="163"/>
      <c r="R428" s="163">
        <f t="shared" si="75"/>
        <v>0</v>
      </c>
      <c r="S428" s="163"/>
      <c r="T428" s="163"/>
      <c r="U428" s="163"/>
      <c r="V428" s="163"/>
      <c r="W428" s="163"/>
      <c r="X428" s="164">
        <f t="shared" si="67"/>
        <v>0</v>
      </c>
      <c r="Y428" s="232">
        <f t="shared" si="68"/>
        <v>0</v>
      </c>
      <c r="Z428" s="357"/>
      <c r="AA428" s="326"/>
    </row>
    <row r="429" spans="1:27" ht="21.95" customHeight="1" x14ac:dyDescent="0.25">
      <c r="A429" s="39">
        <v>36</v>
      </c>
      <c r="B429" s="526" t="s">
        <v>624</v>
      </c>
      <c r="C429" s="38" t="s">
        <v>625</v>
      </c>
      <c r="D429" s="163"/>
      <c r="E429" s="163"/>
      <c r="F429" s="163">
        <f>80+22</f>
        <v>102</v>
      </c>
      <c r="G429" s="163"/>
      <c r="H429" s="163"/>
      <c r="I429" s="163"/>
      <c r="J429" s="163"/>
      <c r="K429" s="163"/>
      <c r="L429" s="163">
        <f>-80-22</f>
        <v>-102</v>
      </c>
      <c r="M429" s="163"/>
      <c r="N429" s="163"/>
      <c r="O429" s="163"/>
      <c r="P429" s="163"/>
      <c r="Q429" s="163"/>
      <c r="R429" s="163">
        <f t="shared" si="75"/>
        <v>0</v>
      </c>
      <c r="S429" s="163"/>
      <c r="T429" s="163"/>
      <c r="U429" s="163"/>
      <c r="V429" s="163"/>
      <c r="W429" s="163"/>
      <c r="X429" s="164">
        <f t="shared" si="67"/>
        <v>0</v>
      </c>
      <c r="Y429" s="232">
        <f t="shared" si="68"/>
        <v>0</v>
      </c>
      <c r="Z429" s="357"/>
      <c r="AA429" s="326"/>
    </row>
    <row r="430" spans="1:27" ht="21.95" customHeight="1" x14ac:dyDescent="0.25">
      <c r="A430" s="39">
        <v>37</v>
      </c>
      <c r="B430" s="526" t="s">
        <v>643</v>
      </c>
      <c r="C430" s="38" t="s">
        <v>669</v>
      </c>
      <c r="D430" s="163">
        <f>-100</f>
        <v>-100</v>
      </c>
      <c r="E430" s="163">
        <f>-25.5</f>
        <v>-25.5</v>
      </c>
      <c r="F430" s="163">
        <f>-100-161-320</f>
        <v>-581</v>
      </c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>
        <f t="shared" si="75"/>
        <v>-706.5</v>
      </c>
      <c r="S430" s="163"/>
      <c r="T430" s="163"/>
      <c r="U430" s="163"/>
      <c r="V430" s="163"/>
      <c r="W430" s="163"/>
      <c r="X430" s="164">
        <f t="shared" si="67"/>
        <v>0</v>
      </c>
      <c r="Y430" s="232">
        <f t="shared" si="68"/>
        <v>-706.5</v>
      </c>
      <c r="Z430" s="357">
        <f>706.5</f>
        <v>706.5</v>
      </c>
      <c r="AA430" s="326"/>
    </row>
    <row r="431" spans="1:27" ht="21.95" customHeight="1" x14ac:dyDescent="0.25">
      <c r="A431" s="39">
        <v>38</v>
      </c>
      <c r="B431" s="526" t="s">
        <v>644</v>
      </c>
      <c r="C431" s="38" t="s">
        <v>645</v>
      </c>
      <c r="D431" s="163">
        <f>-2251.6</f>
        <v>-2251.6</v>
      </c>
      <c r="E431" s="163">
        <f>-439.062</f>
        <v>-439.06200000000001</v>
      </c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>
        <f t="shared" si="75"/>
        <v>-2690.6619999999998</v>
      </c>
      <c r="S431" s="163"/>
      <c r="T431" s="163"/>
      <c r="U431" s="163"/>
      <c r="V431" s="163"/>
      <c r="W431" s="163"/>
      <c r="X431" s="164">
        <f t="shared" si="67"/>
        <v>0</v>
      </c>
      <c r="Y431" s="232">
        <f t="shared" si="68"/>
        <v>-2690.6619999999998</v>
      </c>
      <c r="Z431" s="357">
        <f>2690.662</f>
        <v>2690.6619999999998</v>
      </c>
      <c r="AA431" s="326"/>
    </row>
    <row r="432" spans="1:27" ht="21.95" customHeight="1" x14ac:dyDescent="0.25">
      <c r="A432" s="39">
        <v>39</v>
      </c>
      <c r="B432" s="526" t="s">
        <v>626</v>
      </c>
      <c r="C432" s="38" t="s">
        <v>627</v>
      </c>
      <c r="D432" s="163"/>
      <c r="E432" s="163"/>
      <c r="F432" s="163">
        <f>700+189</f>
        <v>889</v>
      </c>
      <c r="G432" s="163"/>
      <c r="H432" s="163"/>
      <c r="I432" s="163"/>
      <c r="J432" s="163"/>
      <c r="K432" s="163"/>
      <c r="L432" s="163">
        <f>-700-189</f>
        <v>-889</v>
      </c>
      <c r="M432" s="163"/>
      <c r="N432" s="163"/>
      <c r="O432" s="163"/>
      <c r="P432" s="163"/>
      <c r="Q432" s="163"/>
      <c r="R432" s="163">
        <f t="shared" si="75"/>
        <v>0</v>
      </c>
      <c r="S432" s="163"/>
      <c r="T432" s="163"/>
      <c r="U432" s="163"/>
      <c r="V432" s="163"/>
      <c r="W432" s="163"/>
      <c r="X432" s="164">
        <f t="shared" si="67"/>
        <v>0</v>
      </c>
      <c r="Y432" s="232">
        <f t="shared" si="68"/>
        <v>0</v>
      </c>
      <c r="Z432" s="357"/>
      <c r="AA432" s="326"/>
    </row>
    <row r="433" spans="1:27" ht="21.95" customHeight="1" x14ac:dyDescent="0.25">
      <c r="A433" s="39">
        <v>40</v>
      </c>
      <c r="B433" s="526" t="s">
        <v>628</v>
      </c>
      <c r="C433" s="38" t="s">
        <v>629</v>
      </c>
      <c r="D433" s="163"/>
      <c r="E433" s="163"/>
      <c r="F433" s="163">
        <f>5783+1561</f>
        <v>7344</v>
      </c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>
        <f t="shared" si="75"/>
        <v>7344</v>
      </c>
      <c r="S433" s="163"/>
      <c r="T433" s="163"/>
      <c r="U433" s="163"/>
      <c r="V433" s="163"/>
      <c r="W433" s="163"/>
      <c r="X433" s="164">
        <f t="shared" si="67"/>
        <v>0</v>
      </c>
      <c r="Y433" s="232">
        <f t="shared" si="68"/>
        <v>7344</v>
      </c>
      <c r="Z433" s="357">
        <f>-7344</f>
        <v>-7344</v>
      </c>
      <c r="AA433" s="326"/>
    </row>
    <row r="434" spans="1:27" ht="21.95" customHeight="1" x14ac:dyDescent="0.25">
      <c r="A434" s="39">
        <v>41</v>
      </c>
      <c r="B434" s="526" t="s">
        <v>630</v>
      </c>
      <c r="C434" s="38" t="s">
        <v>234</v>
      </c>
      <c r="D434" s="163"/>
      <c r="E434" s="163"/>
      <c r="F434" s="163">
        <f>324</f>
        <v>324</v>
      </c>
      <c r="G434" s="163"/>
      <c r="H434" s="163"/>
      <c r="I434" s="163"/>
      <c r="J434" s="163"/>
      <c r="K434" s="163">
        <f>1200</f>
        <v>1200</v>
      </c>
      <c r="L434" s="163"/>
      <c r="M434" s="163"/>
      <c r="N434" s="163"/>
      <c r="O434" s="163"/>
      <c r="P434" s="163"/>
      <c r="Q434" s="163"/>
      <c r="R434" s="163">
        <f t="shared" si="75"/>
        <v>1524</v>
      </c>
      <c r="S434" s="163"/>
      <c r="T434" s="163"/>
      <c r="U434" s="163"/>
      <c r="V434" s="163"/>
      <c r="W434" s="163"/>
      <c r="X434" s="164">
        <f t="shared" si="67"/>
        <v>0</v>
      </c>
      <c r="Y434" s="232">
        <f t="shared" si="68"/>
        <v>1524</v>
      </c>
      <c r="Z434" s="357"/>
      <c r="AA434" s="326"/>
    </row>
    <row r="435" spans="1:27" ht="21.95" customHeight="1" x14ac:dyDescent="0.25">
      <c r="A435" s="39">
        <v>42</v>
      </c>
      <c r="B435" s="526" t="s">
        <v>646</v>
      </c>
      <c r="C435" s="38" t="s">
        <v>647</v>
      </c>
      <c r="D435" s="163"/>
      <c r="E435" s="163"/>
      <c r="F435" s="163">
        <f>-291</f>
        <v>-291</v>
      </c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>
        <f t="shared" si="75"/>
        <v>-291</v>
      </c>
      <c r="S435" s="163"/>
      <c r="T435" s="163"/>
      <c r="U435" s="163"/>
      <c r="V435" s="163"/>
      <c r="W435" s="163"/>
      <c r="X435" s="164">
        <f t="shared" si="67"/>
        <v>0</v>
      </c>
      <c r="Y435" s="232">
        <f t="shared" si="68"/>
        <v>-291</v>
      </c>
      <c r="Z435" s="357">
        <f>291</f>
        <v>291</v>
      </c>
      <c r="AA435" s="326"/>
    </row>
    <row r="436" spans="1:27" ht="21.95" customHeight="1" x14ac:dyDescent="0.25">
      <c r="A436" s="39">
        <v>43</v>
      </c>
      <c r="B436" s="526" t="s">
        <v>631</v>
      </c>
      <c r="C436" s="38" t="s">
        <v>632</v>
      </c>
      <c r="D436" s="163">
        <f>198</f>
        <v>198</v>
      </c>
      <c r="E436" s="163"/>
      <c r="F436" s="163">
        <f>224+52+8</f>
        <v>284</v>
      </c>
      <c r="G436" s="163"/>
      <c r="H436" s="163"/>
      <c r="I436" s="163">
        <f>-482</f>
        <v>-482</v>
      </c>
      <c r="J436" s="163"/>
      <c r="K436" s="163"/>
      <c r="L436" s="163"/>
      <c r="M436" s="163"/>
      <c r="N436" s="163"/>
      <c r="O436" s="163"/>
      <c r="P436" s="163"/>
      <c r="Q436" s="163"/>
      <c r="R436" s="163">
        <f t="shared" si="75"/>
        <v>0</v>
      </c>
      <c r="S436" s="163"/>
      <c r="T436" s="163"/>
      <c r="U436" s="163"/>
      <c r="V436" s="163"/>
      <c r="W436" s="163"/>
      <c r="X436" s="164">
        <f t="shared" si="67"/>
        <v>0</v>
      </c>
      <c r="Y436" s="232">
        <f t="shared" si="68"/>
        <v>0</v>
      </c>
      <c r="Z436" s="357"/>
      <c r="AA436" s="326"/>
    </row>
    <row r="437" spans="1:27" ht="21.95" customHeight="1" x14ac:dyDescent="0.25">
      <c r="A437" s="39">
        <v>44</v>
      </c>
      <c r="B437" s="526" t="s">
        <v>636</v>
      </c>
      <c r="C437" s="38" t="s">
        <v>637</v>
      </c>
      <c r="D437" s="163"/>
      <c r="E437" s="163"/>
      <c r="F437" s="163"/>
      <c r="G437" s="163"/>
      <c r="H437" s="163"/>
      <c r="I437" s="163"/>
      <c r="J437" s="163"/>
      <c r="K437" s="163">
        <f>-40850</f>
        <v>-40850</v>
      </c>
      <c r="L437" s="163"/>
      <c r="M437" s="163"/>
      <c r="N437" s="163"/>
      <c r="O437" s="163"/>
      <c r="P437" s="163"/>
      <c r="Q437" s="163">
        <f>8419+32431</f>
        <v>40850</v>
      </c>
      <c r="R437" s="163">
        <f t="shared" si="75"/>
        <v>0</v>
      </c>
      <c r="S437" s="163"/>
      <c r="T437" s="163"/>
      <c r="U437" s="163"/>
      <c r="V437" s="163"/>
      <c r="W437" s="163"/>
      <c r="X437" s="164">
        <f t="shared" si="67"/>
        <v>0</v>
      </c>
      <c r="Y437" s="232">
        <f t="shared" si="68"/>
        <v>0</v>
      </c>
      <c r="Z437" s="357"/>
      <c r="AA437" s="326"/>
    </row>
    <row r="438" spans="1:27" ht="30" customHeight="1" x14ac:dyDescent="0.2">
      <c r="A438" s="26">
        <v>45</v>
      </c>
      <c r="B438" s="708" t="s">
        <v>638</v>
      </c>
      <c r="C438" s="38" t="s">
        <v>639</v>
      </c>
      <c r="D438" s="163"/>
      <c r="E438" s="163"/>
      <c r="F438" s="163"/>
      <c r="G438" s="163"/>
      <c r="H438" s="163"/>
      <c r="I438" s="163"/>
      <c r="J438" s="163">
        <f>17372</f>
        <v>17372</v>
      </c>
      <c r="K438" s="163">
        <f>-17372</f>
        <v>-17372</v>
      </c>
      <c r="L438" s="163"/>
      <c r="M438" s="163"/>
      <c r="N438" s="163"/>
      <c r="O438" s="163"/>
      <c r="P438" s="163"/>
      <c r="Q438" s="163"/>
      <c r="R438" s="163">
        <f t="shared" si="75"/>
        <v>0</v>
      </c>
      <c r="S438" s="163"/>
      <c r="T438" s="163"/>
      <c r="U438" s="163"/>
      <c r="V438" s="163"/>
      <c r="W438" s="163"/>
      <c r="X438" s="164">
        <f t="shared" si="67"/>
        <v>0</v>
      </c>
      <c r="Y438" s="232">
        <f t="shared" si="68"/>
        <v>0</v>
      </c>
      <c r="Z438" s="357"/>
      <c r="AA438" s="326"/>
    </row>
    <row r="439" spans="1:27" ht="21.95" customHeight="1" x14ac:dyDescent="0.25">
      <c r="A439" s="39">
        <v>46</v>
      </c>
      <c r="B439" s="526" t="s">
        <v>648</v>
      </c>
      <c r="C439" s="38" t="s">
        <v>645</v>
      </c>
      <c r="D439" s="163">
        <f>-3300</f>
        <v>-3300</v>
      </c>
      <c r="E439" s="163">
        <f>-643.5</f>
        <v>-643.5</v>
      </c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>
        <f t="shared" si="75"/>
        <v>-3943.5</v>
      </c>
      <c r="S439" s="163"/>
      <c r="T439" s="163"/>
      <c r="U439" s="163"/>
      <c r="V439" s="163"/>
      <c r="W439" s="163"/>
      <c r="X439" s="164">
        <f t="shared" si="67"/>
        <v>0</v>
      </c>
      <c r="Y439" s="232">
        <f t="shared" si="68"/>
        <v>-3943.5</v>
      </c>
      <c r="Z439" s="357">
        <f>3943.5</f>
        <v>3943.5</v>
      </c>
      <c r="AA439" s="326"/>
    </row>
    <row r="440" spans="1:27" ht="21.95" customHeight="1" x14ac:dyDescent="0.25">
      <c r="A440" s="39">
        <v>47</v>
      </c>
      <c r="B440" s="526" t="s">
        <v>640</v>
      </c>
      <c r="C440" s="38" t="s">
        <v>641</v>
      </c>
      <c r="D440" s="163"/>
      <c r="E440" s="163"/>
      <c r="F440" s="163"/>
      <c r="G440" s="163"/>
      <c r="H440" s="163"/>
      <c r="I440" s="163"/>
      <c r="J440" s="163"/>
      <c r="K440" s="163">
        <f>-3626-11374</f>
        <v>-15000</v>
      </c>
      <c r="L440" s="163"/>
      <c r="M440" s="163"/>
      <c r="N440" s="163"/>
      <c r="O440" s="163"/>
      <c r="P440" s="163"/>
      <c r="Q440" s="163">
        <f>15000</f>
        <v>15000</v>
      </c>
      <c r="R440" s="163">
        <f t="shared" si="75"/>
        <v>0</v>
      </c>
      <c r="S440" s="163"/>
      <c r="T440" s="163"/>
      <c r="U440" s="163"/>
      <c r="V440" s="163"/>
      <c r="W440" s="163"/>
      <c r="X440" s="164">
        <f t="shared" si="67"/>
        <v>0</v>
      </c>
      <c r="Y440" s="232">
        <f t="shared" si="68"/>
        <v>0</v>
      </c>
      <c r="Z440" s="357"/>
      <c r="AA440" s="326"/>
    </row>
    <row r="441" spans="1:27" ht="21.95" customHeight="1" x14ac:dyDescent="0.25">
      <c r="A441" s="39">
        <v>48</v>
      </c>
      <c r="B441" s="526" t="s">
        <v>642</v>
      </c>
      <c r="C441" s="38" t="s">
        <v>244</v>
      </c>
      <c r="D441" s="163"/>
      <c r="E441" s="163"/>
      <c r="F441" s="163"/>
      <c r="G441" s="163"/>
      <c r="H441" s="163"/>
      <c r="I441" s="163"/>
      <c r="J441" s="163">
        <f>50</f>
        <v>50</v>
      </c>
      <c r="K441" s="163">
        <f>-50</f>
        <v>-50</v>
      </c>
      <c r="L441" s="163"/>
      <c r="M441" s="163"/>
      <c r="N441" s="163"/>
      <c r="O441" s="163"/>
      <c r="P441" s="163"/>
      <c r="Q441" s="163"/>
      <c r="R441" s="163">
        <f t="shared" si="75"/>
        <v>0</v>
      </c>
      <c r="S441" s="163"/>
      <c r="T441" s="163"/>
      <c r="U441" s="163"/>
      <c r="V441" s="163"/>
      <c r="W441" s="163"/>
      <c r="X441" s="164">
        <f t="shared" si="67"/>
        <v>0</v>
      </c>
      <c r="Y441" s="232">
        <f t="shared" si="68"/>
        <v>0</v>
      </c>
      <c r="Z441" s="357"/>
      <c r="AA441" s="326"/>
    </row>
    <row r="442" spans="1:27" ht="21.95" customHeight="1" x14ac:dyDescent="0.25">
      <c r="A442" s="39">
        <v>49</v>
      </c>
      <c r="B442" s="526" t="s">
        <v>649</v>
      </c>
      <c r="C442" s="38" t="s">
        <v>606</v>
      </c>
      <c r="D442" s="163"/>
      <c r="E442" s="163"/>
      <c r="F442" s="163"/>
      <c r="G442" s="163"/>
      <c r="H442" s="163"/>
      <c r="I442" s="163"/>
      <c r="J442" s="163"/>
      <c r="K442" s="163">
        <f>-15049</f>
        <v>-15049</v>
      </c>
      <c r="L442" s="163"/>
      <c r="M442" s="163"/>
      <c r="N442" s="163"/>
      <c r="O442" s="163"/>
      <c r="P442" s="163"/>
      <c r="Q442" s="163"/>
      <c r="R442" s="163">
        <f t="shared" si="75"/>
        <v>-15049</v>
      </c>
      <c r="S442" s="163"/>
      <c r="T442" s="163"/>
      <c r="U442" s="163"/>
      <c r="V442" s="163"/>
      <c r="W442" s="163"/>
      <c r="X442" s="164">
        <f t="shared" si="67"/>
        <v>0</v>
      </c>
      <c r="Y442" s="232">
        <f t="shared" si="68"/>
        <v>-15049</v>
      </c>
      <c r="Z442" s="357">
        <f>15049</f>
        <v>15049</v>
      </c>
      <c r="AA442" s="326"/>
    </row>
    <row r="443" spans="1:27" ht="21.95" customHeight="1" x14ac:dyDescent="0.25">
      <c r="A443" s="39">
        <v>50</v>
      </c>
      <c r="B443" s="526" t="s">
        <v>668</v>
      </c>
      <c r="C443" s="38" t="s">
        <v>647</v>
      </c>
      <c r="D443" s="163"/>
      <c r="E443" s="163"/>
      <c r="F443" s="163">
        <f>-589.851</f>
        <v>-589.851</v>
      </c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>
        <f t="shared" si="75"/>
        <v>-589.851</v>
      </c>
      <c r="S443" s="163"/>
      <c r="T443" s="163"/>
      <c r="U443" s="163"/>
      <c r="V443" s="163"/>
      <c r="W443" s="163"/>
      <c r="X443" s="164">
        <f t="shared" si="67"/>
        <v>0</v>
      </c>
      <c r="Y443" s="232">
        <f t="shared" si="68"/>
        <v>-589.851</v>
      </c>
      <c r="Z443" s="357">
        <f>589.851</f>
        <v>589.851</v>
      </c>
      <c r="AA443" s="326"/>
    </row>
    <row r="444" spans="1:27" ht="21.95" customHeight="1" x14ac:dyDescent="0.25">
      <c r="A444" s="39">
        <v>51</v>
      </c>
      <c r="B444" s="526" t="s">
        <v>658</v>
      </c>
      <c r="C444" s="38" t="s">
        <v>659</v>
      </c>
      <c r="D444" s="163"/>
      <c r="E444" s="163"/>
      <c r="F444" s="163">
        <f>1651</f>
        <v>1651</v>
      </c>
      <c r="G444" s="163"/>
      <c r="H444" s="163"/>
      <c r="I444" s="163"/>
      <c r="J444" s="163"/>
      <c r="K444" s="163"/>
      <c r="L444" s="163">
        <f>-1300-351</f>
        <v>-1651</v>
      </c>
      <c r="M444" s="163"/>
      <c r="N444" s="163"/>
      <c r="O444" s="163"/>
      <c r="P444" s="163"/>
      <c r="Q444" s="163"/>
      <c r="R444" s="163">
        <f t="shared" si="75"/>
        <v>0</v>
      </c>
      <c r="S444" s="163"/>
      <c r="T444" s="163"/>
      <c r="U444" s="163"/>
      <c r="V444" s="163"/>
      <c r="W444" s="163"/>
      <c r="X444" s="164">
        <f t="shared" ref="X444" si="87">SUM(T444:W444)</f>
        <v>0</v>
      </c>
      <c r="Y444" s="232">
        <f t="shared" ref="Y444" si="88">R444+X444</f>
        <v>0</v>
      </c>
      <c r="Z444" s="357"/>
      <c r="AA444" s="326"/>
    </row>
    <row r="445" spans="1:27" ht="21.95" customHeight="1" x14ac:dyDescent="0.25">
      <c r="A445" s="39">
        <v>52</v>
      </c>
      <c r="B445" s="526" t="s">
        <v>650</v>
      </c>
      <c r="C445" s="38" t="s">
        <v>651</v>
      </c>
      <c r="D445" s="163">
        <f>-1023.876</f>
        <v>-1023.876</v>
      </c>
      <c r="E445" s="163">
        <f>-487.56</f>
        <v>-487.56</v>
      </c>
      <c r="F445" s="163">
        <f>-100</f>
        <v>-100</v>
      </c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>
        <f t="shared" si="75"/>
        <v>-1611.4359999999999</v>
      </c>
      <c r="S445" s="163"/>
      <c r="T445" s="163"/>
      <c r="U445" s="163"/>
      <c r="V445" s="163"/>
      <c r="W445" s="163"/>
      <c r="X445" s="164">
        <f t="shared" si="67"/>
        <v>0</v>
      </c>
      <c r="Y445" s="232">
        <f t="shared" si="68"/>
        <v>-1611.4359999999999</v>
      </c>
      <c r="Z445" s="357">
        <f>1611.436</f>
        <v>1611.4359999999999</v>
      </c>
      <c r="AA445" s="326"/>
    </row>
    <row r="446" spans="1:27" ht="21.95" customHeight="1" x14ac:dyDescent="0.25">
      <c r="A446" s="39">
        <v>53</v>
      </c>
      <c r="B446" s="526" t="s">
        <v>661</v>
      </c>
      <c r="C446" s="38" t="s">
        <v>244</v>
      </c>
      <c r="D446" s="163"/>
      <c r="E446" s="163"/>
      <c r="F446" s="163">
        <f>1606+434</f>
        <v>2040</v>
      </c>
      <c r="G446" s="163"/>
      <c r="H446" s="163"/>
      <c r="I446" s="163"/>
      <c r="J446" s="163"/>
      <c r="K446" s="163">
        <f>-2040</f>
        <v>-2040</v>
      </c>
      <c r="L446" s="163"/>
      <c r="M446" s="163"/>
      <c r="N446" s="163"/>
      <c r="O446" s="163"/>
      <c r="P446" s="163"/>
      <c r="Q446" s="163"/>
      <c r="R446" s="163">
        <f t="shared" si="75"/>
        <v>0</v>
      </c>
      <c r="S446" s="163"/>
      <c r="T446" s="163"/>
      <c r="U446" s="163"/>
      <c r="V446" s="163"/>
      <c r="W446" s="163"/>
      <c r="X446" s="164">
        <f t="shared" si="67"/>
        <v>0</v>
      </c>
      <c r="Y446" s="232">
        <f t="shared" si="68"/>
        <v>0</v>
      </c>
      <c r="Z446" s="357"/>
      <c r="AA446" s="326"/>
    </row>
    <row r="447" spans="1:27" ht="21.95" customHeight="1" x14ac:dyDescent="0.25">
      <c r="A447" s="39">
        <v>54</v>
      </c>
      <c r="B447" s="526" t="s">
        <v>662</v>
      </c>
      <c r="C447" s="38" t="s">
        <v>664</v>
      </c>
      <c r="D447" s="163"/>
      <c r="E447" s="163"/>
      <c r="F447" s="163">
        <f>750</f>
        <v>750</v>
      </c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>
        <f t="shared" si="75"/>
        <v>750</v>
      </c>
      <c r="S447" s="163"/>
      <c r="T447" s="163"/>
      <c r="U447" s="163"/>
      <c r="V447" s="163"/>
      <c r="W447" s="163"/>
      <c r="X447" s="164">
        <f t="shared" si="67"/>
        <v>0</v>
      </c>
      <c r="Y447" s="232">
        <f t="shared" si="68"/>
        <v>750</v>
      </c>
      <c r="Z447" s="357">
        <f>-750</f>
        <v>-750</v>
      </c>
      <c r="AA447" s="326"/>
    </row>
    <row r="448" spans="1:27" ht="21.95" customHeight="1" x14ac:dyDescent="0.25">
      <c r="A448" s="39">
        <v>55</v>
      </c>
      <c r="B448" s="526" t="s">
        <v>663</v>
      </c>
      <c r="C448" s="38" t="s">
        <v>666</v>
      </c>
      <c r="D448" s="163"/>
      <c r="E448" s="163"/>
      <c r="F448" s="163"/>
      <c r="G448" s="163"/>
      <c r="H448" s="163"/>
      <c r="I448" s="163"/>
      <c r="J448" s="163"/>
      <c r="K448" s="163">
        <f>-19050</f>
        <v>-19050</v>
      </c>
      <c r="L448" s="163">
        <f>15000+4050</f>
        <v>19050</v>
      </c>
      <c r="M448" s="163"/>
      <c r="N448" s="163"/>
      <c r="O448" s="163"/>
      <c r="P448" s="163"/>
      <c r="Q448" s="163"/>
      <c r="R448" s="163">
        <f t="shared" si="75"/>
        <v>0</v>
      </c>
      <c r="S448" s="163"/>
      <c r="T448" s="163"/>
      <c r="U448" s="163"/>
      <c r="V448" s="163"/>
      <c r="W448" s="163"/>
      <c r="X448" s="164">
        <f t="shared" si="67"/>
        <v>0</v>
      </c>
      <c r="Y448" s="232">
        <f t="shared" si="68"/>
        <v>0</v>
      </c>
      <c r="Z448" s="357"/>
      <c r="AA448" s="326"/>
    </row>
    <row r="449" spans="1:27" ht="21.95" customHeight="1" x14ac:dyDescent="0.25">
      <c r="A449" s="39">
        <v>56</v>
      </c>
      <c r="B449" s="526" t="s">
        <v>670</v>
      </c>
      <c r="C449" s="38" t="s">
        <v>671</v>
      </c>
      <c r="D449" s="163"/>
      <c r="E449" s="163"/>
      <c r="F449" s="163"/>
      <c r="G449" s="163"/>
      <c r="H449" s="163"/>
      <c r="I449" s="163"/>
      <c r="J449" s="163"/>
      <c r="K449" s="163">
        <f>-17653</f>
        <v>-17653</v>
      </c>
      <c r="L449" s="163"/>
      <c r="M449" s="163"/>
      <c r="N449" s="163"/>
      <c r="O449" s="163"/>
      <c r="P449" s="163"/>
      <c r="Q449" s="163"/>
      <c r="R449" s="163">
        <f t="shared" si="75"/>
        <v>-17653</v>
      </c>
      <c r="S449" s="163"/>
      <c r="T449" s="163"/>
      <c r="U449" s="163"/>
      <c r="V449" s="163"/>
      <c r="W449" s="163"/>
      <c r="X449" s="164">
        <f t="shared" ref="X449:X451" si="89">SUM(T449:W449)</f>
        <v>0</v>
      </c>
      <c r="Y449" s="232">
        <f t="shared" ref="Y449:Y451" si="90">R449+X449</f>
        <v>-17653</v>
      </c>
      <c r="Z449" s="357">
        <f>17653</f>
        <v>17653</v>
      </c>
      <c r="AA449" s="326"/>
    </row>
    <row r="450" spans="1:27" ht="21.95" customHeight="1" x14ac:dyDescent="0.25">
      <c r="A450" s="39">
        <v>57</v>
      </c>
      <c r="B450" s="526" t="s">
        <v>673</v>
      </c>
      <c r="C450" s="38" t="s">
        <v>674</v>
      </c>
      <c r="D450" s="163"/>
      <c r="E450" s="163"/>
      <c r="F450" s="163"/>
      <c r="G450" s="163"/>
      <c r="H450" s="163"/>
      <c r="I450" s="163"/>
      <c r="J450" s="163"/>
      <c r="K450" s="163">
        <f>-140000</f>
        <v>-140000</v>
      </c>
      <c r="L450" s="163"/>
      <c r="M450" s="163"/>
      <c r="N450" s="163"/>
      <c r="O450" s="163"/>
      <c r="P450" s="163"/>
      <c r="Q450" s="163">
        <f>140000</f>
        <v>140000</v>
      </c>
      <c r="R450" s="163">
        <f t="shared" si="75"/>
        <v>0</v>
      </c>
      <c r="S450" s="163"/>
      <c r="T450" s="163"/>
      <c r="U450" s="163"/>
      <c r="V450" s="163"/>
      <c r="W450" s="163"/>
      <c r="X450" s="164">
        <f t="shared" si="89"/>
        <v>0</v>
      </c>
      <c r="Y450" s="232">
        <f t="shared" si="90"/>
        <v>0</v>
      </c>
      <c r="Z450" s="357"/>
      <c r="AA450" s="326"/>
    </row>
    <row r="451" spans="1:27" ht="21.95" customHeight="1" x14ac:dyDescent="0.25">
      <c r="A451" s="39">
        <v>58</v>
      </c>
      <c r="B451" s="526" t="s">
        <v>675</v>
      </c>
      <c r="C451" s="38" t="s">
        <v>676</v>
      </c>
      <c r="D451" s="163"/>
      <c r="E451" s="163"/>
      <c r="F451" s="163"/>
      <c r="G451" s="163"/>
      <c r="H451" s="163"/>
      <c r="I451" s="163"/>
      <c r="J451" s="163"/>
      <c r="K451" s="163">
        <f>-11651</f>
        <v>-11651</v>
      </c>
      <c r="L451" s="163"/>
      <c r="M451" s="163"/>
      <c r="N451" s="163"/>
      <c r="O451" s="163"/>
      <c r="P451" s="163"/>
      <c r="Q451" s="163">
        <f>11651</f>
        <v>11651</v>
      </c>
      <c r="R451" s="163">
        <f t="shared" si="75"/>
        <v>0</v>
      </c>
      <c r="S451" s="163"/>
      <c r="T451" s="163"/>
      <c r="U451" s="163"/>
      <c r="V451" s="163"/>
      <c r="W451" s="163"/>
      <c r="X451" s="164">
        <f t="shared" si="89"/>
        <v>0</v>
      </c>
      <c r="Y451" s="232">
        <f t="shared" si="90"/>
        <v>0</v>
      </c>
      <c r="Z451" s="357"/>
      <c r="AA451" s="326"/>
    </row>
    <row r="452" spans="1:27" ht="21.95" customHeight="1" x14ac:dyDescent="0.25">
      <c r="A452" s="39">
        <v>59</v>
      </c>
      <c r="B452" s="526" t="s">
        <v>652</v>
      </c>
      <c r="C452" s="38" t="s">
        <v>653</v>
      </c>
      <c r="D452" s="163"/>
      <c r="E452" s="163"/>
      <c r="F452" s="163">
        <f>-3455.418</f>
        <v>-3455.4180000000001</v>
      </c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>
        <f t="shared" si="75"/>
        <v>-3455.4180000000001</v>
      </c>
      <c r="S452" s="163"/>
      <c r="T452" s="163"/>
      <c r="U452" s="163"/>
      <c r="V452" s="163"/>
      <c r="W452" s="163"/>
      <c r="X452" s="164">
        <f t="shared" si="67"/>
        <v>0</v>
      </c>
      <c r="Y452" s="232">
        <f t="shared" si="68"/>
        <v>-3455.4180000000001</v>
      </c>
      <c r="Z452" s="357">
        <f>3455.418</f>
        <v>3455.4180000000001</v>
      </c>
      <c r="AA452" s="326"/>
    </row>
    <row r="453" spans="1:27" ht="21.95" customHeight="1" x14ac:dyDescent="0.25">
      <c r="A453" s="39">
        <v>60</v>
      </c>
      <c r="B453" s="526" t="s">
        <v>654</v>
      </c>
      <c r="C453" s="38" t="s">
        <v>656</v>
      </c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>
        <f t="shared" si="75"/>
        <v>0</v>
      </c>
      <c r="S453" s="163"/>
      <c r="T453" s="163"/>
      <c r="U453" s="163"/>
      <c r="V453" s="163"/>
      <c r="W453" s="163"/>
      <c r="X453" s="164">
        <f t="shared" si="67"/>
        <v>0</v>
      </c>
      <c r="Y453" s="232">
        <f t="shared" si="68"/>
        <v>0</v>
      </c>
      <c r="Z453" s="357">
        <f>201.275-248.678</f>
        <v>-47.402999999999992</v>
      </c>
      <c r="AA453" s="326"/>
    </row>
    <row r="454" spans="1:27" ht="21.95" customHeight="1" x14ac:dyDescent="0.25">
      <c r="A454" s="39">
        <v>61</v>
      </c>
      <c r="B454" s="526" t="s">
        <v>654</v>
      </c>
      <c r="C454" s="38" t="s">
        <v>609</v>
      </c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>
        <f t="shared" si="75"/>
        <v>0</v>
      </c>
      <c r="S454" s="163"/>
      <c r="T454" s="163"/>
      <c r="U454" s="163"/>
      <c r="V454" s="163"/>
      <c r="W454" s="163"/>
      <c r="X454" s="164">
        <f t="shared" si="67"/>
        <v>0</v>
      </c>
      <c r="Y454" s="232">
        <f t="shared" si="68"/>
        <v>0</v>
      </c>
      <c r="Z454" s="357">
        <f>613.351</f>
        <v>613.351</v>
      </c>
      <c r="AA454" s="326"/>
    </row>
    <row r="455" spans="1:27" ht="21.95" customHeight="1" x14ac:dyDescent="0.25">
      <c r="A455" s="39">
        <v>62</v>
      </c>
      <c r="B455" s="526" t="s">
        <v>654</v>
      </c>
      <c r="C455" s="38" t="s">
        <v>613</v>
      </c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>
        <f t="shared" si="75"/>
        <v>0</v>
      </c>
      <c r="S455" s="163"/>
      <c r="T455" s="163"/>
      <c r="U455" s="163"/>
      <c r="V455" s="163"/>
      <c r="W455" s="163"/>
      <c r="X455" s="164">
        <f t="shared" si="67"/>
        <v>0</v>
      </c>
      <c r="Y455" s="232">
        <f t="shared" si="68"/>
        <v>0</v>
      </c>
      <c r="Z455" s="357">
        <f>43.977</f>
        <v>43.976999999999997</v>
      </c>
      <c r="AA455" s="326"/>
    </row>
    <row r="456" spans="1:27" ht="21.95" customHeight="1" x14ac:dyDescent="0.25">
      <c r="A456" s="39">
        <v>63</v>
      </c>
      <c r="B456" s="526" t="s">
        <v>655</v>
      </c>
      <c r="C456" s="38" t="s">
        <v>657</v>
      </c>
      <c r="D456" s="163"/>
      <c r="E456" s="163"/>
      <c r="F456" s="163"/>
      <c r="G456" s="163"/>
      <c r="H456" s="163"/>
      <c r="I456" s="163"/>
      <c r="J456" s="163"/>
      <c r="L456" s="163"/>
      <c r="M456" s="163"/>
      <c r="N456" s="163"/>
      <c r="O456" s="163"/>
      <c r="P456" s="163"/>
      <c r="Q456" s="163"/>
      <c r="R456" s="163">
        <f t="shared" si="75"/>
        <v>0</v>
      </c>
      <c r="S456" s="163"/>
      <c r="T456" s="163"/>
      <c r="U456" s="163"/>
      <c r="V456" s="163"/>
      <c r="W456" s="163"/>
      <c r="X456" s="164">
        <f t="shared" si="67"/>
        <v>0</v>
      </c>
      <c r="Y456" s="232">
        <f t="shared" si="68"/>
        <v>0</v>
      </c>
      <c r="Z456" s="364">
        <f>7931.069</f>
        <v>7931.0690000000004</v>
      </c>
      <c r="AA456" s="326"/>
    </row>
    <row r="457" spans="1:27" ht="21.95" customHeight="1" x14ac:dyDescent="0.25">
      <c r="A457" s="39">
        <v>64</v>
      </c>
      <c r="B457" s="526" t="s">
        <v>677</v>
      </c>
      <c r="C457" s="38" t="s">
        <v>678</v>
      </c>
      <c r="D457" s="163"/>
      <c r="E457" s="163"/>
      <c r="F457" s="163"/>
      <c r="G457" s="163"/>
      <c r="H457" s="163"/>
      <c r="I457" s="163"/>
      <c r="J457" s="163"/>
      <c r="K457" s="163">
        <f>-2900</f>
        <v>-2900</v>
      </c>
      <c r="L457" s="163"/>
      <c r="M457" s="163"/>
      <c r="N457" s="163"/>
      <c r="O457" s="163"/>
      <c r="P457" s="163"/>
      <c r="Q457" s="163"/>
      <c r="R457" s="163">
        <f t="shared" si="75"/>
        <v>-2900</v>
      </c>
      <c r="S457" s="163"/>
      <c r="T457" s="163"/>
      <c r="U457" s="163"/>
      <c r="V457" s="163"/>
      <c r="W457" s="163"/>
      <c r="X457" s="164">
        <f t="shared" si="67"/>
        <v>0</v>
      </c>
      <c r="Y457" s="232">
        <f t="shared" si="68"/>
        <v>-2900</v>
      </c>
      <c r="Z457" s="364">
        <f>2900</f>
        <v>2900</v>
      </c>
      <c r="AA457" s="326"/>
    </row>
    <row r="458" spans="1:27" ht="21.95" customHeight="1" x14ac:dyDescent="0.25">
      <c r="A458" s="39">
        <v>65</v>
      </c>
      <c r="B458" s="526" t="s">
        <v>680</v>
      </c>
      <c r="C458" s="38" t="s">
        <v>681</v>
      </c>
      <c r="D458" s="163"/>
      <c r="E458" s="163"/>
      <c r="F458" s="163"/>
      <c r="G458" s="163"/>
      <c r="H458" s="163"/>
      <c r="I458" s="163"/>
      <c r="J458" s="163"/>
      <c r="K458" s="163">
        <f>-6750</f>
        <v>-6750</v>
      </c>
      <c r="L458" s="163"/>
      <c r="M458" s="163"/>
      <c r="N458" s="163"/>
      <c r="O458" s="163"/>
      <c r="P458" s="163"/>
      <c r="Q458" s="163"/>
      <c r="R458" s="163">
        <f t="shared" si="75"/>
        <v>-6750</v>
      </c>
      <c r="S458" s="163"/>
      <c r="T458" s="163"/>
      <c r="U458" s="163"/>
      <c r="V458" s="163"/>
      <c r="W458" s="163"/>
      <c r="X458" s="164">
        <f t="shared" si="67"/>
        <v>0</v>
      </c>
      <c r="Y458" s="232">
        <f t="shared" si="68"/>
        <v>-6750</v>
      </c>
      <c r="Z458" s="364">
        <f>6750</f>
        <v>6750</v>
      </c>
      <c r="AA458" s="326"/>
    </row>
    <row r="459" spans="1:27" ht="21.95" customHeight="1" x14ac:dyDescent="0.25">
      <c r="A459" s="39">
        <v>66</v>
      </c>
      <c r="B459" s="526" t="s">
        <v>685</v>
      </c>
      <c r="C459" s="38" t="s">
        <v>684</v>
      </c>
      <c r="D459" s="163"/>
      <c r="E459" s="163"/>
      <c r="F459" s="163"/>
      <c r="G459" s="163"/>
      <c r="H459" s="163"/>
      <c r="I459" s="163"/>
      <c r="J459" s="163"/>
      <c r="K459" s="163">
        <f>-18867</f>
        <v>-18867</v>
      </c>
      <c r="L459" s="163"/>
      <c r="M459" s="163"/>
      <c r="N459" s="163"/>
      <c r="O459" s="163"/>
      <c r="P459" s="163"/>
      <c r="Q459" s="163"/>
      <c r="R459" s="163">
        <f t="shared" si="75"/>
        <v>-18867</v>
      </c>
      <c r="S459" s="163"/>
      <c r="T459" s="163"/>
      <c r="U459" s="163"/>
      <c r="V459" s="163"/>
      <c r="W459" s="163"/>
      <c r="X459" s="164">
        <f t="shared" si="67"/>
        <v>0</v>
      </c>
      <c r="Y459" s="232">
        <f t="shared" si="68"/>
        <v>-18867</v>
      </c>
      <c r="Z459" s="364">
        <f>18867</f>
        <v>18867</v>
      </c>
      <c r="AA459" s="326"/>
    </row>
    <row r="460" spans="1:27" ht="21.95" customHeight="1" x14ac:dyDescent="0.25">
      <c r="A460" s="39">
        <v>67</v>
      </c>
      <c r="B460" s="526" t="s">
        <v>686</v>
      </c>
      <c r="C460" s="38" t="s">
        <v>687</v>
      </c>
      <c r="D460" s="163"/>
      <c r="E460" s="163"/>
      <c r="F460" s="163"/>
      <c r="G460" s="163"/>
      <c r="H460" s="163"/>
      <c r="I460" s="163"/>
      <c r="J460" s="163"/>
      <c r="K460" s="163">
        <f>-5075</f>
        <v>-5075</v>
      </c>
      <c r="L460" s="163"/>
      <c r="M460" s="163"/>
      <c r="N460" s="163"/>
      <c r="O460" s="163"/>
      <c r="P460" s="163"/>
      <c r="Q460" s="163">
        <f>5075</f>
        <v>5075</v>
      </c>
      <c r="R460" s="163">
        <f t="shared" si="75"/>
        <v>0</v>
      </c>
      <c r="S460" s="163"/>
      <c r="T460" s="163"/>
      <c r="U460" s="163"/>
      <c r="V460" s="163"/>
      <c r="W460" s="163"/>
      <c r="X460" s="164">
        <f t="shared" si="67"/>
        <v>0</v>
      </c>
      <c r="Y460" s="232">
        <f t="shared" si="68"/>
        <v>0</v>
      </c>
      <c r="Z460" s="364"/>
      <c r="AA460" s="326"/>
    </row>
    <row r="461" spans="1:27" ht="21.95" customHeight="1" x14ac:dyDescent="0.25">
      <c r="A461" s="39">
        <v>68</v>
      </c>
      <c r="B461" s="526" t="s">
        <v>688</v>
      </c>
      <c r="C461" s="38" t="s">
        <v>689</v>
      </c>
      <c r="D461" s="163"/>
      <c r="E461" s="163"/>
      <c r="F461" s="163"/>
      <c r="G461" s="163"/>
      <c r="H461" s="163"/>
      <c r="I461" s="163"/>
      <c r="J461" s="163"/>
      <c r="K461" s="163">
        <f>-9360</f>
        <v>-9360</v>
      </c>
      <c r="L461" s="163"/>
      <c r="M461" s="163"/>
      <c r="N461" s="163"/>
      <c r="O461" s="163"/>
      <c r="P461" s="163"/>
      <c r="Q461" s="163"/>
      <c r="R461" s="163">
        <f t="shared" si="75"/>
        <v>-9360</v>
      </c>
      <c r="S461" s="163"/>
      <c r="T461" s="163"/>
      <c r="U461" s="163"/>
      <c r="V461" s="163"/>
      <c r="W461" s="163"/>
      <c r="X461" s="164">
        <f t="shared" ref="X461:X485" si="91">SUM(T461:W461)</f>
        <v>0</v>
      </c>
      <c r="Y461" s="232">
        <f t="shared" ref="Y461:Y485" si="92">R461+X461</f>
        <v>-9360</v>
      </c>
      <c r="Z461" s="364">
        <f>9360</f>
        <v>9360</v>
      </c>
      <c r="AA461" s="326"/>
    </row>
    <row r="462" spans="1:27" ht="21.95" customHeight="1" x14ac:dyDescent="0.25">
      <c r="A462" s="39">
        <v>69</v>
      </c>
      <c r="B462" s="526" t="s">
        <v>691</v>
      </c>
      <c r="C462" s="38" t="s">
        <v>692</v>
      </c>
      <c r="D462" s="163"/>
      <c r="E462" s="163"/>
      <c r="F462" s="163"/>
      <c r="G462" s="163"/>
      <c r="H462" s="163"/>
      <c r="I462" s="163"/>
      <c r="J462" s="163"/>
      <c r="K462" s="163">
        <f>-8845</f>
        <v>-8845</v>
      </c>
      <c r="L462" s="163"/>
      <c r="M462" s="163"/>
      <c r="N462" s="163"/>
      <c r="O462" s="163"/>
      <c r="P462" s="163"/>
      <c r="Q462" s="163"/>
      <c r="R462" s="163">
        <f t="shared" si="75"/>
        <v>-8845</v>
      </c>
      <c r="S462" s="163"/>
      <c r="T462" s="163"/>
      <c r="U462" s="163"/>
      <c r="V462" s="163"/>
      <c r="W462" s="163"/>
      <c r="X462" s="164">
        <f t="shared" si="91"/>
        <v>0</v>
      </c>
      <c r="Y462" s="232">
        <f t="shared" si="92"/>
        <v>-8845</v>
      </c>
      <c r="Z462" s="364">
        <f>8845</f>
        <v>8845</v>
      </c>
      <c r="AA462" s="326"/>
    </row>
    <row r="463" spans="1:27" ht="21.95" customHeight="1" x14ac:dyDescent="0.25">
      <c r="A463" s="39">
        <v>70</v>
      </c>
      <c r="B463" s="526" t="s">
        <v>694</v>
      </c>
      <c r="C463" s="38" t="s">
        <v>477</v>
      </c>
      <c r="D463" s="163"/>
      <c r="E463" s="163"/>
      <c r="F463" s="163"/>
      <c r="G463" s="163"/>
      <c r="H463" s="163"/>
      <c r="I463" s="163"/>
      <c r="J463" s="163"/>
      <c r="K463" s="163">
        <f>-635</f>
        <v>-635</v>
      </c>
      <c r="L463" s="163"/>
      <c r="M463" s="163"/>
      <c r="N463" s="163"/>
      <c r="O463" s="163"/>
      <c r="P463" s="163"/>
      <c r="Q463" s="163"/>
      <c r="R463" s="163">
        <f t="shared" si="75"/>
        <v>-635</v>
      </c>
      <c r="S463" s="163"/>
      <c r="T463" s="163"/>
      <c r="U463" s="163"/>
      <c r="V463" s="163"/>
      <c r="W463" s="163"/>
      <c r="X463" s="164">
        <f t="shared" si="91"/>
        <v>0</v>
      </c>
      <c r="Y463" s="232">
        <f t="shared" si="92"/>
        <v>-635</v>
      </c>
      <c r="Z463" s="364">
        <f>635</f>
        <v>635</v>
      </c>
      <c r="AA463" s="326"/>
    </row>
    <row r="464" spans="1:27" ht="21.95" customHeight="1" x14ac:dyDescent="0.25">
      <c r="A464" s="39">
        <v>71</v>
      </c>
      <c r="B464" s="526" t="s">
        <v>700</v>
      </c>
      <c r="C464" s="38" t="s">
        <v>701</v>
      </c>
      <c r="D464" s="163"/>
      <c r="E464" s="163"/>
      <c r="F464" s="163">
        <f>444</f>
        <v>444</v>
      </c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>
        <f t="shared" si="75"/>
        <v>444</v>
      </c>
      <c r="S464" s="163"/>
      <c r="T464" s="163"/>
      <c r="U464" s="163"/>
      <c r="V464" s="163"/>
      <c r="W464" s="163"/>
      <c r="X464" s="164">
        <f t="shared" si="91"/>
        <v>0</v>
      </c>
      <c r="Y464" s="232">
        <f t="shared" si="92"/>
        <v>444</v>
      </c>
      <c r="Z464" s="364"/>
      <c r="AA464" s="326"/>
    </row>
    <row r="465" spans="1:27" ht="32.25" customHeight="1" x14ac:dyDescent="0.2">
      <c r="A465" s="39">
        <v>72</v>
      </c>
      <c r="B465" s="708" t="s">
        <v>702</v>
      </c>
      <c r="C465" s="38" t="s">
        <v>703</v>
      </c>
      <c r="D465" s="163"/>
      <c r="E465" s="163"/>
      <c r="F465" s="163">
        <f>16787+4532</f>
        <v>21319</v>
      </c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>
        <f t="shared" si="75"/>
        <v>21319</v>
      </c>
      <c r="S465" s="163"/>
      <c r="T465" s="163"/>
      <c r="U465" s="163"/>
      <c r="V465" s="163"/>
      <c r="W465" s="163"/>
      <c r="X465" s="164">
        <f t="shared" si="91"/>
        <v>0</v>
      </c>
      <c r="Y465" s="232">
        <f t="shared" si="92"/>
        <v>21319</v>
      </c>
      <c r="Z465" s="364"/>
      <c r="AA465" s="326"/>
    </row>
    <row r="466" spans="1:27" ht="21.95" customHeight="1" x14ac:dyDescent="0.25">
      <c r="A466" s="39">
        <v>73</v>
      </c>
      <c r="B466" s="526" t="s">
        <v>704</v>
      </c>
      <c r="C466" s="38" t="s">
        <v>711</v>
      </c>
      <c r="D466" s="163"/>
      <c r="E466" s="163"/>
      <c r="F466" s="163">
        <f>9612.972+28837</f>
        <v>38449.972000000002</v>
      </c>
      <c r="G466" s="163"/>
      <c r="H466" s="163">
        <f>0.384+1567.254</f>
        <v>1567.6379999999999</v>
      </c>
      <c r="I466" s="163"/>
      <c r="J466" s="163"/>
      <c r="K466" s="163">
        <f>88276.217</f>
        <v>88276.217000000004</v>
      </c>
      <c r="L466" s="163"/>
      <c r="M466" s="163"/>
      <c r="N466" s="163"/>
      <c r="O466" s="163"/>
      <c r="P466" s="163"/>
      <c r="Q466" s="163"/>
      <c r="R466" s="163">
        <f t="shared" si="75"/>
        <v>128293.827</v>
      </c>
      <c r="S466" s="163"/>
      <c r="T466" s="163"/>
      <c r="U466" s="163"/>
      <c r="V466" s="163"/>
      <c r="W466" s="163"/>
      <c r="X466" s="164">
        <f t="shared" si="91"/>
        <v>0</v>
      </c>
      <c r="Y466" s="232">
        <f t="shared" si="92"/>
        <v>128293.827</v>
      </c>
      <c r="Z466" s="364"/>
      <c r="AA466" s="326"/>
    </row>
    <row r="467" spans="1:27" ht="21.95" customHeight="1" x14ac:dyDescent="0.25">
      <c r="A467" s="39">
        <v>74</v>
      </c>
      <c r="B467" s="526" t="s">
        <v>705</v>
      </c>
      <c r="C467" s="38" t="s">
        <v>712</v>
      </c>
      <c r="D467" s="163"/>
      <c r="E467" s="163"/>
      <c r="F467" s="163">
        <f>394+106</f>
        <v>500</v>
      </c>
      <c r="G467" s="163"/>
      <c r="H467" s="163"/>
      <c r="I467" s="163"/>
      <c r="J467" s="163"/>
      <c r="K467" s="163"/>
      <c r="L467" s="163">
        <f>-394-106</f>
        <v>-500</v>
      </c>
      <c r="M467" s="163"/>
      <c r="N467" s="163"/>
      <c r="O467" s="163"/>
      <c r="P467" s="163"/>
      <c r="Q467" s="163"/>
      <c r="R467" s="163">
        <f t="shared" si="75"/>
        <v>0</v>
      </c>
      <c r="S467" s="163"/>
      <c r="T467" s="163"/>
      <c r="U467" s="163"/>
      <c r="V467" s="163"/>
      <c r="W467" s="163"/>
      <c r="X467" s="164">
        <f t="shared" si="91"/>
        <v>0</v>
      </c>
      <c r="Y467" s="232">
        <f t="shared" si="92"/>
        <v>0</v>
      </c>
      <c r="Z467" s="364"/>
      <c r="AA467" s="326"/>
    </row>
    <row r="468" spans="1:27" ht="21.95" customHeight="1" x14ac:dyDescent="0.25">
      <c r="A468" s="39">
        <v>75</v>
      </c>
      <c r="B468" s="526" t="s">
        <v>706</v>
      </c>
      <c r="C468" s="38" t="s">
        <v>713</v>
      </c>
      <c r="D468" s="163">
        <f>38</f>
        <v>38</v>
      </c>
      <c r="E468" s="163"/>
      <c r="F468" s="163"/>
      <c r="G468" s="163"/>
      <c r="H468" s="163"/>
      <c r="I468" s="163"/>
      <c r="J468" s="163"/>
      <c r="K468" s="163"/>
      <c r="L468" s="163">
        <f>-30-8</f>
        <v>-38</v>
      </c>
      <c r="M468" s="163"/>
      <c r="N468" s="163"/>
      <c r="O468" s="163"/>
      <c r="P468" s="163"/>
      <c r="Q468" s="163"/>
      <c r="R468" s="163">
        <f t="shared" ref="R468:R489" si="93">SUM(D468:Q468)</f>
        <v>0</v>
      </c>
      <c r="S468" s="163"/>
      <c r="T468" s="163"/>
      <c r="U468" s="163"/>
      <c r="V468" s="163"/>
      <c r="W468" s="163"/>
      <c r="X468" s="164">
        <f t="shared" si="91"/>
        <v>0</v>
      </c>
      <c r="Y468" s="232">
        <f t="shared" si="92"/>
        <v>0</v>
      </c>
      <c r="Z468" s="364"/>
      <c r="AA468" s="326"/>
    </row>
    <row r="469" spans="1:27" ht="21.95" customHeight="1" x14ac:dyDescent="0.25">
      <c r="A469" s="39">
        <v>76</v>
      </c>
      <c r="B469" s="526" t="s">
        <v>707</v>
      </c>
      <c r="C469" s="38" t="s">
        <v>708</v>
      </c>
      <c r="D469" s="163"/>
      <c r="E469" s="163"/>
      <c r="F469" s="163"/>
      <c r="G469" s="163"/>
      <c r="H469" s="163"/>
      <c r="I469" s="163"/>
      <c r="J469" s="163"/>
      <c r="K469" s="163">
        <f>-27101</f>
        <v>-27101</v>
      </c>
      <c r="L469" s="163"/>
      <c r="M469" s="163"/>
      <c r="N469" s="163"/>
      <c r="O469" s="163"/>
      <c r="P469" s="163"/>
      <c r="Q469" s="163"/>
      <c r="R469" s="163">
        <f t="shared" si="93"/>
        <v>-27101</v>
      </c>
      <c r="S469" s="163"/>
      <c r="T469" s="163"/>
      <c r="U469" s="163"/>
      <c r="V469" s="163"/>
      <c r="W469" s="163"/>
      <c r="X469" s="164">
        <f t="shared" si="91"/>
        <v>0</v>
      </c>
      <c r="Y469" s="232">
        <f t="shared" si="92"/>
        <v>-27101</v>
      </c>
      <c r="Z469" s="357">
        <f>27101</f>
        <v>27101</v>
      </c>
      <c r="AA469" s="326"/>
    </row>
    <row r="470" spans="1:27" ht="21.95" customHeight="1" x14ac:dyDescent="0.25">
      <c r="A470" s="39">
        <v>77</v>
      </c>
      <c r="B470" s="526" t="s">
        <v>714</v>
      </c>
      <c r="C470" s="38" t="s">
        <v>715</v>
      </c>
      <c r="D470" s="163"/>
      <c r="E470" s="163"/>
      <c r="F470" s="163"/>
      <c r="G470" s="163"/>
      <c r="H470" s="163"/>
      <c r="I470" s="163"/>
      <c r="K470" s="163">
        <f>475</f>
        <v>475</v>
      </c>
      <c r="L470" s="163"/>
      <c r="M470" s="163"/>
      <c r="N470" s="163"/>
      <c r="O470" s="163"/>
      <c r="P470" s="163"/>
      <c r="Q470" s="163"/>
      <c r="R470" s="163">
        <f t="shared" si="93"/>
        <v>475</v>
      </c>
      <c r="S470" s="163"/>
      <c r="T470" s="163"/>
      <c r="U470" s="163"/>
      <c r="V470" s="163"/>
      <c r="W470" s="163"/>
      <c r="X470" s="164">
        <f t="shared" si="91"/>
        <v>0</v>
      </c>
      <c r="Y470" s="232">
        <f t="shared" si="92"/>
        <v>475</v>
      </c>
      <c r="Z470" s="357"/>
      <c r="AA470" s="326"/>
    </row>
    <row r="471" spans="1:27" ht="21.95" customHeight="1" x14ac:dyDescent="0.25">
      <c r="A471" s="39">
        <v>78</v>
      </c>
      <c r="B471" s="715" t="s">
        <v>720</v>
      </c>
      <c r="C471" s="38" t="s">
        <v>719</v>
      </c>
      <c r="D471" s="163"/>
      <c r="E471" s="163"/>
      <c r="F471" s="163">
        <f>1175</f>
        <v>1175</v>
      </c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>
        <f t="shared" si="93"/>
        <v>1175</v>
      </c>
      <c r="S471" s="163"/>
      <c r="T471" s="163"/>
      <c r="U471" s="163"/>
      <c r="V471" s="163"/>
      <c r="W471" s="163"/>
      <c r="X471" s="164">
        <f t="shared" si="91"/>
        <v>0</v>
      </c>
      <c r="Y471" s="232">
        <f t="shared" si="92"/>
        <v>1175</v>
      </c>
      <c r="Z471" s="357"/>
      <c r="AA471" s="326"/>
    </row>
    <row r="472" spans="1:27" ht="20.100000000000001" hidden="1" customHeight="1" x14ac:dyDescent="0.25">
      <c r="A472" s="26"/>
      <c r="B472" s="526"/>
      <c r="C472" s="38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>
        <f t="shared" si="93"/>
        <v>0</v>
      </c>
      <c r="S472" s="163"/>
      <c r="T472" s="163"/>
      <c r="U472" s="163"/>
      <c r="V472" s="163"/>
      <c r="W472" s="163"/>
      <c r="X472" s="164">
        <f t="shared" si="91"/>
        <v>0</v>
      </c>
      <c r="Y472" s="232">
        <f t="shared" si="92"/>
        <v>0</v>
      </c>
      <c r="Z472" s="357"/>
      <c r="AA472" s="326"/>
    </row>
    <row r="473" spans="1:27" ht="20.100000000000001" hidden="1" customHeight="1" x14ac:dyDescent="0.25">
      <c r="A473" s="26"/>
      <c r="B473" s="526"/>
      <c r="C473" s="38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>
        <f t="shared" si="93"/>
        <v>0</v>
      </c>
      <c r="S473" s="163"/>
      <c r="T473" s="163"/>
      <c r="U473" s="163"/>
      <c r="V473" s="163"/>
      <c r="W473" s="163"/>
      <c r="X473" s="164">
        <f t="shared" si="91"/>
        <v>0</v>
      </c>
      <c r="Y473" s="232">
        <f t="shared" si="92"/>
        <v>0</v>
      </c>
      <c r="Z473" s="357"/>
      <c r="AA473" s="326"/>
    </row>
    <row r="474" spans="1:27" ht="20.100000000000001" hidden="1" customHeight="1" x14ac:dyDescent="0.25">
      <c r="A474" s="26"/>
      <c r="B474" s="526"/>
      <c r="C474" s="38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>
        <f t="shared" si="93"/>
        <v>0</v>
      </c>
      <c r="S474" s="163"/>
      <c r="T474" s="163"/>
      <c r="U474" s="163"/>
      <c r="V474" s="163"/>
      <c r="W474" s="163"/>
      <c r="X474" s="164">
        <f t="shared" si="91"/>
        <v>0</v>
      </c>
      <c r="Y474" s="232">
        <f t="shared" si="92"/>
        <v>0</v>
      </c>
      <c r="Z474" s="357"/>
      <c r="AA474" s="326"/>
    </row>
    <row r="475" spans="1:27" ht="20.100000000000001" hidden="1" customHeight="1" x14ac:dyDescent="0.25">
      <c r="A475" s="26"/>
      <c r="B475" s="526"/>
      <c r="C475" s="38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>
        <f t="shared" si="93"/>
        <v>0</v>
      </c>
      <c r="S475" s="163"/>
      <c r="T475" s="163"/>
      <c r="U475" s="163"/>
      <c r="V475" s="163"/>
      <c r="W475" s="163"/>
      <c r="X475" s="164">
        <f t="shared" si="91"/>
        <v>0</v>
      </c>
      <c r="Y475" s="232">
        <f t="shared" si="92"/>
        <v>0</v>
      </c>
      <c r="Z475" s="357"/>
      <c r="AA475" s="326"/>
    </row>
    <row r="476" spans="1:27" ht="20.100000000000001" hidden="1" customHeight="1" x14ac:dyDescent="0.25">
      <c r="A476" s="26"/>
      <c r="B476" s="526"/>
      <c r="C476" s="38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>
        <f t="shared" si="93"/>
        <v>0</v>
      </c>
      <c r="S476" s="163"/>
      <c r="T476" s="163"/>
      <c r="U476" s="163"/>
      <c r="V476" s="163"/>
      <c r="W476" s="163"/>
      <c r="X476" s="164">
        <f t="shared" si="91"/>
        <v>0</v>
      </c>
      <c r="Y476" s="232">
        <f t="shared" si="92"/>
        <v>0</v>
      </c>
      <c r="Z476" s="357"/>
      <c r="AA476" s="326"/>
    </row>
    <row r="477" spans="1:27" ht="20.100000000000001" hidden="1" customHeight="1" x14ac:dyDescent="0.25">
      <c r="A477" s="26"/>
      <c r="B477" s="526"/>
      <c r="C477" s="38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>
        <f t="shared" si="93"/>
        <v>0</v>
      </c>
      <c r="S477" s="163"/>
      <c r="T477" s="163"/>
      <c r="U477" s="163"/>
      <c r="V477" s="163"/>
      <c r="W477" s="163"/>
      <c r="X477" s="164">
        <f t="shared" si="91"/>
        <v>0</v>
      </c>
      <c r="Y477" s="232">
        <f t="shared" si="92"/>
        <v>0</v>
      </c>
      <c r="Z477" s="357"/>
      <c r="AA477" s="326"/>
    </row>
    <row r="478" spans="1:27" ht="20.100000000000001" hidden="1" customHeight="1" x14ac:dyDescent="0.25">
      <c r="A478" s="26"/>
      <c r="B478" s="526"/>
      <c r="C478" s="38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>
        <f t="shared" si="93"/>
        <v>0</v>
      </c>
      <c r="S478" s="163"/>
      <c r="T478" s="163"/>
      <c r="U478" s="163"/>
      <c r="V478" s="163"/>
      <c r="W478" s="163"/>
      <c r="X478" s="164">
        <f t="shared" si="91"/>
        <v>0</v>
      </c>
      <c r="Y478" s="232">
        <f t="shared" si="92"/>
        <v>0</v>
      </c>
      <c r="Z478" s="357"/>
      <c r="AA478" s="326"/>
    </row>
    <row r="479" spans="1:27" ht="20.100000000000001" hidden="1" customHeight="1" x14ac:dyDescent="0.25">
      <c r="A479" s="26"/>
      <c r="B479" s="526"/>
      <c r="C479" s="38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>
        <f t="shared" si="93"/>
        <v>0</v>
      </c>
      <c r="S479" s="163"/>
      <c r="T479" s="163"/>
      <c r="U479" s="163"/>
      <c r="V479" s="163"/>
      <c r="W479" s="163"/>
      <c r="X479" s="164">
        <f t="shared" si="91"/>
        <v>0</v>
      </c>
      <c r="Y479" s="232">
        <f t="shared" si="92"/>
        <v>0</v>
      </c>
      <c r="Z479" s="357"/>
      <c r="AA479" s="326"/>
    </row>
    <row r="480" spans="1:27" ht="20.100000000000001" hidden="1" customHeight="1" x14ac:dyDescent="0.25">
      <c r="A480" s="26"/>
      <c r="B480" s="526"/>
      <c r="C480" s="38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>
        <f t="shared" si="93"/>
        <v>0</v>
      </c>
      <c r="S480" s="163"/>
      <c r="T480" s="163"/>
      <c r="U480" s="163"/>
      <c r="V480" s="163"/>
      <c r="W480" s="163"/>
      <c r="X480" s="164">
        <f t="shared" si="91"/>
        <v>0</v>
      </c>
      <c r="Y480" s="232">
        <f t="shared" si="92"/>
        <v>0</v>
      </c>
      <c r="Z480" s="357"/>
      <c r="AA480" s="326"/>
    </row>
    <row r="481" spans="1:28" ht="20.100000000000001" hidden="1" customHeight="1" x14ac:dyDescent="0.25">
      <c r="A481" s="26"/>
      <c r="B481" s="526"/>
      <c r="C481" s="38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>
        <f t="shared" si="93"/>
        <v>0</v>
      </c>
      <c r="S481" s="163"/>
      <c r="T481" s="163"/>
      <c r="U481" s="163"/>
      <c r="V481" s="163"/>
      <c r="W481" s="163"/>
      <c r="X481" s="164">
        <f t="shared" si="91"/>
        <v>0</v>
      </c>
      <c r="Y481" s="232">
        <f t="shared" si="92"/>
        <v>0</v>
      </c>
      <c r="Z481" s="357"/>
      <c r="AA481" s="326"/>
    </row>
    <row r="482" spans="1:28" ht="20.100000000000001" hidden="1" customHeight="1" x14ac:dyDescent="0.25">
      <c r="A482" s="26"/>
      <c r="B482" s="526"/>
      <c r="C482" s="38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>
        <f t="shared" si="93"/>
        <v>0</v>
      </c>
      <c r="S482" s="163"/>
      <c r="T482" s="163"/>
      <c r="U482" s="163"/>
      <c r="V482" s="163"/>
      <c r="W482" s="163"/>
      <c r="X482" s="164">
        <f t="shared" si="91"/>
        <v>0</v>
      </c>
      <c r="Y482" s="232">
        <f t="shared" si="92"/>
        <v>0</v>
      </c>
      <c r="Z482" s="357"/>
      <c r="AA482" s="326"/>
    </row>
    <row r="483" spans="1:28" ht="20.100000000000001" hidden="1" customHeight="1" x14ac:dyDescent="0.25">
      <c r="A483" s="26"/>
      <c r="B483" s="526"/>
      <c r="C483" s="38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>
        <f t="shared" si="93"/>
        <v>0</v>
      </c>
      <c r="S483" s="163"/>
      <c r="T483" s="163"/>
      <c r="U483" s="163"/>
      <c r="V483" s="163"/>
      <c r="W483" s="163"/>
      <c r="X483" s="164">
        <f t="shared" si="91"/>
        <v>0</v>
      </c>
      <c r="Y483" s="232">
        <f t="shared" si="92"/>
        <v>0</v>
      </c>
      <c r="Z483" s="357"/>
      <c r="AA483" s="326"/>
    </row>
    <row r="484" spans="1:28" ht="20.100000000000001" hidden="1" customHeight="1" x14ac:dyDescent="0.25">
      <c r="A484" s="26"/>
      <c r="B484" s="526"/>
      <c r="C484" s="38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>
        <f t="shared" si="93"/>
        <v>0</v>
      </c>
      <c r="S484" s="163"/>
      <c r="T484" s="163"/>
      <c r="U484" s="163"/>
      <c r="V484" s="163"/>
      <c r="W484" s="163"/>
      <c r="X484" s="164">
        <f t="shared" si="91"/>
        <v>0</v>
      </c>
      <c r="Y484" s="232">
        <f t="shared" si="92"/>
        <v>0</v>
      </c>
      <c r="Z484" s="357"/>
      <c r="AA484" s="326"/>
    </row>
    <row r="485" spans="1:28" ht="20.100000000000001" hidden="1" customHeight="1" x14ac:dyDescent="0.25">
      <c r="A485" s="26"/>
      <c r="B485" s="686"/>
      <c r="C485" s="196" t="s">
        <v>52</v>
      </c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>
        <f t="shared" si="93"/>
        <v>0</v>
      </c>
      <c r="S485" s="163"/>
      <c r="T485" s="163"/>
      <c r="U485" s="163"/>
      <c r="V485" s="163"/>
      <c r="W485" s="163"/>
      <c r="X485" s="164">
        <f t="shared" si="91"/>
        <v>0</v>
      </c>
      <c r="Y485" s="232">
        <f t="shared" si="92"/>
        <v>0</v>
      </c>
      <c r="Z485" s="357"/>
      <c r="AA485" s="326"/>
    </row>
    <row r="486" spans="1:28" ht="15" customHeight="1" thickBot="1" x14ac:dyDescent="0.25">
      <c r="A486" s="26"/>
      <c r="B486" s="687"/>
      <c r="C486" s="38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4"/>
      <c r="Y486" s="232"/>
      <c r="Z486" s="357"/>
      <c r="AA486" s="326"/>
    </row>
    <row r="487" spans="1:28" ht="24.75" customHeight="1" thickTop="1" thickBot="1" x14ac:dyDescent="0.25">
      <c r="A487" s="46"/>
      <c r="B487" s="253" t="s">
        <v>557</v>
      </c>
      <c r="C487" s="43" t="s">
        <v>25</v>
      </c>
      <c r="D487" s="367">
        <f t="shared" ref="D487:Q487" si="94">SUM(D393:D486)</f>
        <v>-27172.319999999996</v>
      </c>
      <c r="E487" s="173">
        <f t="shared" si="94"/>
        <v>-6079.7840000000006</v>
      </c>
      <c r="F487" s="173">
        <f t="shared" si="94"/>
        <v>274510.70299999998</v>
      </c>
      <c r="G487" s="173">
        <f t="shared" si="94"/>
        <v>0</v>
      </c>
      <c r="H487" s="173">
        <f t="shared" si="94"/>
        <v>1567.6379999999999</v>
      </c>
      <c r="I487" s="173">
        <f t="shared" si="94"/>
        <v>3718</v>
      </c>
      <c r="J487" s="173">
        <f t="shared" si="94"/>
        <v>12027</v>
      </c>
      <c r="K487" s="173">
        <f t="shared" si="94"/>
        <v>-351862.783</v>
      </c>
      <c r="L487" s="173">
        <f t="shared" si="94"/>
        <v>-100202</v>
      </c>
      <c r="M487" s="173">
        <f t="shared" si="94"/>
        <v>23</v>
      </c>
      <c r="N487" s="173">
        <f t="shared" si="94"/>
        <v>0</v>
      </c>
      <c r="O487" s="173">
        <f t="shared" si="94"/>
        <v>0</v>
      </c>
      <c r="P487" s="173">
        <f t="shared" si="94"/>
        <v>0</v>
      </c>
      <c r="Q487" s="173">
        <f t="shared" si="94"/>
        <v>233326</v>
      </c>
      <c r="R487" s="173">
        <f t="shared" si="93"/>
        <v>39855.453999999998</v>
      </c>
      <c r="S487" s="173"/>
      <c r="T487" s="173">
        <f>SUM(T393:T486)</f>
        <v>0</v>
      </c>
      <c r="U487" s="173">
        <f>SUM(U393:U486)</f>
        <v>0</v>
      </c>
      <c r="V487" s="173">
        <f>SUM(V393:V486)</f>
        <v>0</v>
      </c>
      <c r="W487" s="173">
        <f>SUM(W393:W486)</f>
        <v>0</v>
      </c>
      <c r="X487" s="173">
        <f>SUM(T487:W487)</f>
        <v>0</v>
      </c>
      <c r="Y487" s="165">
        <f>R487+X487</f>
        <v>39855.453999999998</v>
      </c>
      <c r="Z487" s="174">
        <f>SUM(Z393:Z486)</f>
        <v>165295.45399999997</v>
      </c>
      <c r="AA487" s="329"/>
    </row>
    <row r="488" spans="1:28" ht="27.75" customHeight="1" thickTop="1" thickBot="1" x14ac:dyDescent="0.25">
      <c r="A488" s="46"/>
      <c r="B488" s="42" t="s">
        <v>155</v>
      </c>
      <c r="C488" s="43" t="s">
        <v>125</v>
      </c>
      <c r="D488" s="542">
        <f t="shared" ref="D488:Q488" si="95">D392+D487</f>
        <v>103197.13000000002</v>
      </c>
      <c r="E488" s="542">
        <f t="shared" si="95"/>
        <v>24071.984</v>
      </c>
      <c r="F488" s="542">
        <f t="shared" si="95"/>
        <v>4729467.8339999998</v>
      </c>
      <c r="G488" s="542">
        <f t="shared" si="95"/>
        <v>155925</v>
      </c>
      <c r="H488" s="542">
        <f t="shared" si="95"/>
        <v>302509.66499999998</v>
      </c>
      <c r="I488" s="542">
        <f t="shared" si="95"/>
        <v>153718</v>
      </c>
      <c r="J488" s="542">
        <f t="shared" si="95"/>
        <v>682461</v>
      </c>
      <c r="K488" s="542">
        <f t="shared" si="95"/>
        <v>701418.22600000002</v>
      </c>
      <c r="L488" s="542">
        <f t="shared" si="95"/>
        <v>5545483</v>
      </c>
      <c r="M488" s="542">
        <f t="shared" si="95"/>
        <v>51509</v>
      </c>
      <c r="N488" s="542">
        <f t="shared" si="95"/>
        <v>15635</v>
      </c>
      <c r="O488" s="542">
        <f t="shared" si="95"/>
        <v>5000</v>
      </c>
      <c r="P488" s="542">
        <f t="shared" si="95"/>
        <v>0</v>
      </c>
      <c r="Q488" s="542">
        <f t="shared" si="95"/>
        <v>637176</v>
      </c>
      <c r="R488" s="542">
        <f t="shared" si="93"/>
        <v>13107571.839</v>
      </c>
      <c r="S488" s="173"/>
      <c r="T488" s="542">
        <f>T392+T487</f>
        <v>0</v>
      </c>
      <c r="U488" s="542">
        <f>U392+U487</f>
        <v>4832040.4440000001</v>
      </c>
      <c r="V488" s="542">
        <f>V392+V487</f>
        <v>39440.69</v>
      </c>
      <c r="W488" s="542">
        <f>W392+W487</f>
        <v>0</v>
      </c>
      <c r="X488" s="542">
        <f>SUM(T488:W488)</f>
        <v>4871481.1340000005</v>
      </c>
      <c r="Y488" s="542">
        <f>R488+X488</f>
        <v>17979052.973000001</v>
      </c>
      <c r="Z488" s="716">
        <f>Z392+Z487</f>
        <v>8154742.4509999994</v>
      </c>
      <c r="AA488" s="329"/>
      <c r="AB488" s="82">
        <f>Y488+Z488</f>
        <v>26133795.424000002</v>
      </c>
    </row>
    <row r="489" spans="1:28" ht="24.95" hidden="1" customHeight="1" thickTop="1" x14ac:dyDescent="0.2">
      <c r="A489" s="545"/>
      <c r="B489" s="178" t="s">
        <v>159</v>
      </c>
      <c r="C489" s="521" t="s">
        <v>18</v>
      </c>
      <c r="D489" s="522">
        <f t="shared" ref="D489:Q489" si="96">D488</f>
        <v>103197.13000000002</v>
      </c>
      <c r="E489" s="522">
        <f t="shared" si="96"/>
        <v>24071.984</v>
      </c>
      <c r="F489" s="522">
        <f t="shared" si="96"/>
        <v>4729467.8339999998</v>
      </c>
      <c r="G489" s="522">
        <f t="shared" si="96"/>
        <v>155925</v>
      </c>
      <c r="H489" s="522">
        <f t="shared" si="96"/>
        <v>302509.66499999998</v>
      </c>
      <c r="I489" s="522">
        <f t="shared" si="96"/>
        <v>153718</v>
      </c>
      <c r="J489" s="522">
        <f t="shared" si="96"/>
        <v>682461</v>
      </c>
      <c r="K489" s="522">
        <f t="shared" si="96"/>
        <v>701418.22600000002</v>
      </c>
      <c r="L489" s="522">
        <f t="shared" si="96"/>
        <v>5545483</v>
      </c>
      <c r="M489" s="522">
        <f t="shared" si="96"/>
        <v>51509</v>
      </c>
      <c r="N489" s="522">
        <f t="shared" si="96"/>
        <v>15635</v>
      </c>
      <c r="O489" s="522">
        <f t="shared" si="96"/>
        <v>5000</v>
      </c>
      <c r="P489" s="522">
        <f t="shared" si="96"/>
        <v>0</v>
      </c>
      <c r="Q489" s="522">
        <f t="shared" si="96"/>
        <v>637176</v>
      </c>
      <c r="R489" s="522">
        <f t="shared" si="93"/>
        <v>13107571.839</v>
      </c>
      <c r="S489" s="522"/>
      <c r="T489" s="522">
        <f>T488</f>
        <v>0</v>
      </c>
      <c r="U489" s="522">
        <f>U488</f>
        <v>4832040.4440000001</v>
      </c>
      <c r="V489" s="522">
        <f>V488</f>
        <v>39440.69</v>
      </c>
      <c r="W489" s="522">
        <f>W488</f>
        <v>0</v>
      </c>
      <c r="X489" s="523">
        <f>SUM(T489:W489)</f>
        <v>4871481.1340000005</v>
      </c>
      <c r="Y489" s="524">
        <f>R489+X489</f>
        <v>17979052.973000001</v>
      </c>
      <c r="Z489" s="525">
        <f>Z488</f>
        <v>8154742.4509999994</v>
      </c>
    </row>
    <row r="490" spans="1:28" ht="20.100000000000001" hidden="1" customHeight="1" x14ac:dyDescent="0.2">
      <c r="A490" s="26">
        <v>1</v>
      </c>
      <c r="B490" s="73"/>
      <c r="C490" s="38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>
        <f t="shared" ref="R490:R496" si="97">SUM(D490:Q490)</f>
        <v>0</v>
      </c>
      <c r="S490" s="163"/>
      <c r="T490" s="163"/>
      <c r="U490" s="163"/>
      <c r="V490" s="163"/>
      <c r="W490" s="163"/>
      <c r="X490" s="164">
        <f t="shared" ref="X490:X496" si="98">SUM(T490:W490)</f>
        <v>0</v>
      </c>
      <c r="Y490" s="232">
        <f t="shared" ref="Y490:Y496" si="99">R490+X490</f>
        <v>0</v>
      </c>
      <c r="Z490" s="357"/>
    </row>
    <row r="491" spans="1:28" ht="20.100000000000001" hidden="1" customHeight="1" x14ac:dyDescent="0.2">
      <c r="A491" s="26">
        <v>2</v>
      </c>
      <c r="B491" s="73"/>
      <c r="C491" s="38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>
        <f t="shared" si="97"/>
        <v>0</v>
      </c>
      <c r="S491" s="163"/>
      <c r="T491" s="163"/>
      <c r="U491" s="163"/>
      <c r="V491" s="163"/>
      <c r="W491" s="163"/>
      <c r="X491" s="164">
        <f t="shared" si="98"/>
        <v>0</v>
      </c>
      <c r="Y491" s="232">
        <f t="shared" si="99"/>
        <v>0</v>
      </c>
      <c r="Z491" s="357"/>
    </row>
    <row r="492" spans="1:28" ht="20.100000000000001" hidden="1" customHeight="1" x14ac:dyDescent="0.2">
      <c r="A492" s="26">
        <v>3</v>
      </c>
      <c r="B492" s="73"/>
      <c r="C492" s="38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>
        <f t="shared" si="97"/>
        <v>0</v>
      </c>
      <c r="S492" s="163"/>
      <c r="T492" s="163"/>
      <c r="U492" s="163"/>
      <c r="V492" s="163"/>
      <c r="W492" s="163"/>
      <c r="X492" s="164">
        <f t="shared" si="98"/>
        <v>0</v>
      </c>
      <c r="Y492" s="232">
        <f t="shared" si="99"/>
        <v>0</v>
      </c>
      <c r="Z492" s="357"/>
    </row>
    <row r="493" spans="1:28" ht="20.100000000000001" hidden="1" customHeight="1" x14ac:dyDescent="0.2">
      <c r="A493" s="26">
        <v>4</v>
      </c>
      <c r="B493" s="73"/>
      <c r="C493" s="38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>
        <f t="shared" si="97"/>
        <v>0</v>
      </c>
      <c r="S493" s="163"/>
      <c r="T493" s="163"/>
      <c r="U493" s="163"/>
      <c r="V493" s="163"/>
      <c r="W493" s="163"/>
      <c r="X493" s="164">
        <f t="shared" si="98"/>
        <v>0</v>
      </c>
      <c r="Y493" s="232">
        <f t="shared" si="99"/>
        <v>0</v>
      </c>
      <c r="Z493" s="357"/>
    </row>
    <row r="494" spans="1:28" ht="20.100000000000001" hidden="1" customHeight="1" x14ac:dyDescent="0.2">
      <c r="A494" s="26">
        <v>5</v>
      </c>
      <c r="B494" s="73"/>
      <c r="C494" s="38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>
        <f t="shared" si="97"/>
        <v>0</v>
      </c>
      <c r="S494" s="163"/>
      <c r="T494" s="163"/>
      <c r="U494" s="163"/>
      <c r="V494" s="163"/>
      <c r="W494" s="163"/>
      <c r="X494" s="164">
        <f t="shared" si="98"/>
        <v>0</v>
      </c>
      <c r="Y494" s="232">
        <f t="shared" si="99"/>
        <v>0</v>
      </c>
      <c r="Z494" s="357"/>
    </row>
    <row r="495" spans="1:28" ht="20.100000000000001" hidden="1" customHeight="1" x14ac:dyDescent="0.2">
      <c r="A495" s="26">
        <v>6</v>
      </c>
      <c r="B495" s="73"/>
      <c r="C495" s="38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>
        <f t="shared" si="97"/>
        <v>0</v>
      </c>
      <c r="S495" s="163"/>
      <c r="T495" s="163"/>
      <c r="U495" s="163"/>
      <c r="V495" s="163"/>
      <c r="W495" s="163"/>
      <c r="X495" s="164">
        <f t="shared" si="98"/>
        <v>0</v>
      </c>
      <c r="Y495" s="232">
        <f t="shared" si="99"/>
        <v>0</v>
      </c>
      <c r="Z495" s="357"/>
    </row>
    <row r="496" spans="1:28" ht="20.100000000000001" hidden="1" customHeight="1" x14ac:dyDescent="0.2">
      <c r="A496" s="26">
        <v>7</v>
      </c>
      <c r="B496" s="73"/>
      <c r="C496" s="38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>
        <f t="shared" si="97"/>
        <v>0</v>
      </c>
      <c r="S496" s="163"/>
      <c r="T496" s="163"/>
      <c r="U496" s="163"/>
      <c r="V496" s="163"/>
      <c r="W496" s="163"/>
      <c r="X496" s="164">
        <f t="shared" si="98"/>
        <v>0</v>
      </c>
      <c r="Y496" s="232">
        <f t="shared" si="99"/>
        <v>0</v>
      </c>
      <c r="Z496" s="357"/>
    </row>
    <row r="497" spans="1:26" ht="20.100000000000001" hidden="1" customHeight="1" x14ac:dyDescent="0.2">
      <c r="A497" s="26">
        <v>8</v>
      </c>
      <c r="B497" s="73"/>
      <c r="C497" s="38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>
        <f t="shared" ref="R497:R544" si="100">SUM(D497:Q497)</f>
        <v>0</v>
      </c>
      <c r="S497" s="163"/>
      <c r="T497" s="163"/>
      <c r="U497" s="163"/>
      <c r="V497" s="163"/>
      <c r="W497" s="163"/>
      <c r="X497" s="164">
        <f t="shared" ref="X497:X544" si="101">SUM(T497:W497)</f>
        <v>0</v>
      </c>
      <c r="Y497" s="232">
        <f t="shared" ref="Y497:Y544" si="102">R497+X497</f>
        <v>0</v>
      </c>
      <c r="Z497" s="357"/>
    </row>
    <row r="498" spans="1:26" ht="20.100000000000001" hidden="1" customHeight="1" x14ac:dyDescent="0.2">
      <c r="A498" s="26">
        <v>9</v>
      </c>
      <c r="B498" s="73"/>
      <c r="C498" s="38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>
        <f t="shared" si="100"/>
        <v>0</v>
      </c>
      <c r="S498" s="163"/>
      <c r="T498" s="163"/>
      <c r="U498" s="163"/>
      <c r="V498" s="163"/>
      <c r="W498" s="163"/>
      <c r="X498" s="164">
        <f t="shared" si="101"/>
        <v>0</v>
      </c>
      <c r="Y498" s="232">
        <f t="shared" si="102"/>
        <v>0</v>
      </c>
      <c r="Z498" s="357"/>
    </row>
    <row r="499" spans="1:26" ht="20.100000000000001" hidden="1" customHeight="1" x14ac:dyDescent="0.2">
      <c r="A499" s="26">
        <v>10</v>
      </c>
      <c r="B499" s="73"/>
      <c r="C499" s="38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>
        <f t="shared" si="100"/>
        <v>0</v>
      </c>
      <c r="S499" s="163"/>
      <c r="T499" s="163"/>
      <c r="U499" s="163"/>
      <c r="V499" s="163"/>
      <c r="W499" s="163"/>
      <c r="X499" s="164">
        <f t="shared" si="101"/>
        <v>0</v>
      </c>
      <c r="Y499" s="232">
        <f t="shared" si="102"/>
        <v>0</v>
      </c>
      <c r="Z499" s="357"/>
    </row>
    <row r="500" spans="1:26" ht="20.100000000000001" hidden="1" customHeight="1" x14ac:dyDescent="0.2">
      <c r="A500" s="26">
        <v>11</v>
      </c>
      <c r="B500" s="73"/>
      <c r="C500" s="38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>
        <f t="shared" si="100"/>
        <v>0</v>
      </c>
      <c r="S500" s="163"/>
      <c r="T500" s="163"/>
      <c r="U500" s="163"/>
      <c r="V500" s="163"/>
      <c r="W500" s="163"/>
      <c r="X500" s="164">
        <f t="shared" si="101"/>
        <v>0</v>
      </c>
      <c r="Y500" s="232">
        <f t="shared" si="102"/>
        <v>0</v>
      </c>
      <c r="Z500" s="357"/>
    </row>
    <row r="501" spans="1:26" ht="20.100000000000001" hidden="1" customHeight="1" x14ac:dyDescent="0.2">
      <c r="A501" s="26">
        <v>12</v>
      </c>
      <c r="B501" s="271"/>
      <c r="C501" s="38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>
        <f t="shared" si="100"/>
        <v>0</v>
      </c>
      <c r="S501" s="163"/>
      <c r="T501" s="163"/>
      <c r="U501" s="163"/>
      <c r="V501" s="163"/>
      <c r="W501" s="163"/>
      <c r="X501" s="164">
        <f t="shared" si="101"/>
        <v>0</v>
      </c>
      <c r="Y501" s="232">
        <f t="shared" si="102"/>
        <v>0</v>
      </c>
      <c r="Z501" s="357"/>
    </row>
    <row r="502" spans="1:26" ht="20.100000000000001" hidden="1" customHeight="1" x14ac:dyDescent="0.2">
      <c r="A502" s="26">
        <v>13</v>
      </c>
      <c r="B502" s="73"/>
      <c r="C502" s="38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>
        <f t="shared" si="100"/>
        <v>0</v>
      </c>
      <c r="S502" s="163"/>
      <c r="T502" s="163"/>
      <c r="U502" s="163"/>
      <c r="V502" s="163"/>
      <c r="W502" s="163"/>
      <c r="X502" s="164">
        <f t="shared" si="101"/>
        <v>0</v>
      </c>
      <c r="Y502" s="232">
        <f t="shared" si="102"/>
        <v>0</v>
      </c>
      <c r="Z502" s="357"/>
    </row>
    <row r="503" spans="1:26" ht="20.100000000000001" hidden="1" customHeight="1" x14ac:dyDescent="0.2">
      <c r="A503" s="26">
        <v>14</v>
      </c>
      <c r="B503" s="73"/>
      <c r="C503" s="38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>
        <f t="shared" si="100"/>
        <v>0</v>
      </c>
      <c r="S503" s="163"/>
      <c r="T503" s="163"/>
      <c r="U503" s="163"/>
      <c r="V503" s="163"/>
      <c r="W503" s="163"/>
      <c r="X503" s="164">
        <f t="shared" si="101"/>
        <v>0</v>
      </c>
      <c r="Y503" s="232">
        <f t="shared" si="102"/>
        <v>0</v>
      </c>
      <c r="Z503" s="357"/>
    </row>
    <row r="504" spans="1:26" ht="20.100000000000001" hidden="1" customHeight="1" thickTop="1" x14ac:dyDescent="0.2">
      <c r="A504" s="26">
        <v>15</v>
      </c>
      <c r="B504" s="73"/>
      <c r="C504" s="38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>
        <f t="shared" si="100"/>
        <v>0</v>
      </c>
      <c r="S504" s="163"/>
      <c r="T504" s="163"/>
      <c r="U504" s="163"/>
      <c r="V504" s="163"/>
      <c r="W504" s="163"/>
      <c r="X504" s="164">
        <f t="shared" si="101"/>
        <v>0</v>
      </c>
      <c r="Y504" s="232">
        <f t="shared" si="102"/>
        <v>0</v>
      </c>
      <c r="Z504" s="357"/>
    </row>
    <row r="505" spans="1:26" ht="20.100000000000001" hidden="1" customHeight="1" x14ac:dyDescent="0.2">
      <c r="A505" s="26"/>
      <c r="B505" s="73"/>
      <c r="C505" s="38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>
        <f t="shared" si="100"/>
        <v>0</v>
      </c>
      <c r="S505" s="163"/>
      <c r="T505" s="163"/>
      <c r="U505" s="163"/>
      <c r="V505" s="163"/>
      <c r="W505" s="163"/>
      <c r="X505" s="164">
        <f t="shared" si="101"/>
        <v>0</v>
      </c>
      <c r="Y505" s="232">
        <f t="shared" si="102"/>
        <v>0</v>
      </c>
      <c r="Z505" s="357"/>
    </row>
    <row r="506" spans="1:26" ht="20.100000000000001" hidden="1" customHeight="1" x14ac:dyDescent="0.2">
      <c r="A506" s="26">
        <v>16</v>
      </c>
      <c r="B506" s="271"/>
      <c r="C506" s="38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>
        <f t="shared" si="100"/>
        <v>0</v>
      </c>
      <c r="S506" s="163"/>
      <c r="T506" s="163"/>
      <c r="U506" s="163"/>
      <c r="V506" s="163"/>
      <c r="W506" s="163"/>
      <c r="X506" s="164">
        <f t="shared" si="101"/>
        <v>0</v>
      </c>
      <c r="Y506" s="232">
        <f t="shared" si="102"/>
        <v>0</v>
      </c>
      <c r="Z506" s="357"/>
    </row>
    <row r="507" spans="1:26" ht="20.100000000000001" hidden="1" customHeight="1" x14ac:dyDescent="0.2">
      <c r="A507" s="26">
        <v>17</v>
      </c>
      <c r="B507" s="73"/>
      <c r="C507" s="38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>
        <f t="shared" si="100"/>
        <v>0</v>
      </c>
      <c r="S507" s="163"/>
      <c r="T507" s="163"/>
      <c r="U507" s="163"/>
      <c r="V507" s="163"/>
      <c r="W507" s="163"/>
      <c r="X507" s="164">
        <f t="shared" si="101"/>
        <v>0</v>
      </c>
      <c r="Y507" s="232">
        <f t="shared" si="102"/>
        <v>0</v>
      </c>
      <c r="Z507" s="357"/>
    </row>
    <row r="508" spans="1:26" ht="20.100000000000001" hidden="1" customHeight="1" x14ac:dyDescent="0.2">
      <c r="A508" s="26">
        <v>18</v>
      </c>
      <c r="B508" s="73"/>
      <c r="C508" s="38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>
        <f t="shared" si="100"/>
        <v>0</v>
      </c>
      <c r="S508" s="163"/>
      <c r="T508" s="163"/>
      <c r="U508" s="163"/>
      <c r="V508" s="163"/>
      <c r="W508" s="163"/>
      <c r="X508" s="164">
        <f t="shared" si="101"/>
        <v>0</v>
      </c>
      <c r="Y508" s="232">
        <f t="shared" si="102"/>
        <v>0</v>
      </c>
      <c r="Z508" s="357"/>
    </row>
    <row r="509" spans="1:26" ht="20.100000000000001" hidden="1" customHeight="1" x14ac:dyDescent="0.2">
      <c r="A509" s="26">
        <v>19</v>
      </c>
      <c r="B509" s="73"/>
      <c r="C509" s="38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>
        <f t="shared" si="100"/>
        <v>0</v>
      </c>
      <c r="S509" s="163"/>
      <c r="T509" s="163"/>
      <c r="U509" s="163"/>
      <c r="V509" s="163"/>
      <c r="W509" s="163"/>
      <c r="X509" s="164">
        <f t="shared" si="101"/>
        <v>0</v>
      </c>
      <c r="Y509" s="232">
        <f t="shared" si="102"/>
        <v>0</v>
      </c>
      <c r="Z509" s="357"/>
    </row>
    <row r="510" spans="1:26" ht="20.100000000000001" hidden="1" customHeight="1" x14ac:dyDescent="0.2">
      <c r="A510" s="26">
        <v>20</v>
      </c>
      <c r="B510" s="73"/>
      <c r="C510" s="38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>
        <f t="shared" si="100"/>
        <v>0</v>
      </c>
      <c r="S510" s="163"/>
      <c r="T510" s="163"/>
      <c r="U510" s="163"/>
      <c r="V510" s="163"/>
      <c r="W510" s="163"/>
      <c r="X510" s="164">
        <f t="shared" si="101"/>
        <v>0</v>
      </c>
      <c r="Y510" s="232">
        <f t="shared" si="102"/>
        <v>0</v>
      </c>
      <c r="Z510" s="357"/>
    </row>
    <row r="511" spans="1:26" ht="20.100000000000001" hidden="1" customHeight="1" x14ac:dyDescent="0.2">
      <c r="A511" s="26">
        <v>21</v>
      </c>
      <c r="B511" s="73"/>
      <c r="C511" s="38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P511" s="163"/>
      <c r="Q511" s="163"/>
      <c r="R511" s="163">
        <f>SUM(D511:Q511)</f>
        <v>0</v>
      </c>
      <c r="S511" s="163"/>
      <c r="T511" s="163"/>
      <c r="U511" s="163"/>
      <c r="V511" s="163"/>
      <c r="W511" s="163"/>
      <c r="X511" s="164">
        <f t="shared" si="101"/>
        <v>0</v>
      </c>
      <c r="Y511" s="232">
        <f t="shared" si="102"/>
        <v>0</v>
      </c>
      <c r="Z511" s="357"/>
    </row>
    <row r="512" spans="1:26" ht="20.100000000000001" hidden="1" customHeight="1" x14ac:dyDescent="0.2">
      <c r="A512" s="26">
        <v>22</v>
      </c>
      <c r="B512" s="271"/>
      <c r="C512" s="38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>
        <f t="shared" si="100"/>
        <v>0</v>
      </c>
      <c r="S512" s="163"/>
      <c r="T512" s="163"/>
      <c r="U512" s="163"/>
      <c r="V512" s="163"/>
      <c r="W512" s="163"/>
      <c r="X512" s="164">
        <f t="shared" si="101"/>
        <v>0</v>
      </c>
      <c r="Y512" s="232">
        <f t="shared" si="102"/>
        <v>0</v>
      </c>
      <c r="Z512" s="357"/>
    </row>
    <row r="513" spans="1:26" ht="20.100000000000001" hidden="1" customHeight="1" x14ac:dyDescent="0.2">
      <c r="A513" s="26">
        <v>23</v>
      </c>
      <c r="B513" s="271"/>
      <c r="C513" s="38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>
        <f t="shared" si="100"/>
        <v>0</v>
      </c>
      <c r="S513" s="163"/>
      <c r="T513" s="163"/>
      <c r="U513" s="163"/>
      <c r="V513" s="163"/>
      <c r="W513" s="163"/>
      <c r="X513" s="164">
        <f t="shared" si="101"/>
        <v>0</v>
      </c>
      <c r="Y513" s="232">
        <f t="shared" si="102"/>
        <v>0</v>
      </c>
      <c r="Z513" s="357"/>
    </row>
    <row r="514" spans="1:26" ht="20.100000000000001" hidden="1" customHeight="1" x14ac:dyDescent="0.2">
      <c r="A514" s="26">
        <v>24</v>
      </c>
      <c r="B514" s="73"/>
      <c r="C514" s="38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>
        <f t="shared" si="100"/>
        <v>0</v>
      </c>
      <c r="S514" s="163"/>
      <c r="T514" s="163"/>
      <c r="U514" s="163"/>
      <c r="V514" s="163"/>
      <c r="W514" s="163"/>
      <c r="X514" s="164">
        <f t="shared" si="101"/>
        <v>0</v>
      </c>
      <c r="Y514" s="232">
        <f t="shared" si="102"/>
        <v>0</v>
      </c>
      <c r="Z514" s="357"/>
    </row>
    <row r="515" spans="1:26" ht="20.100000000000001" hidden="1" customHeight="1" x14ac:dyDescent="0.2">
      <c r="A515" s="26">
        <v>25</v>
      </c>
      <c r="B515" s="73"/>
      <c r="C515" s="38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>
        <f t="shared" si="100"/>
        <v>0</v>
      </c>
      <c r="S515" s="163"/>
      <c r="T515" s="163"/>
      <c r="U515" s="163"/>
      <c r="V515" s="163"/>
      <c r="W515" s="163"/>
      <c r="X515" s="164">
        <f t="shared" si="101"/>
        <v>0</v>
      </c>
      <c r="Y515" s="232">
        <f t="shared" si="102"/>
        <v>0</v>
      </c>
      <c r="Z515" s="357"/>
    </row>
    <row r="516" spans="1:26" ht="20.100000000000001" hidden="1" customHeight="1" x14ac:dyDescent="0.2">
      <c r="A516" s="26">
        <v>26</v>
      </c>
      <c r="B516" s="73"/>
      <c r="C516" s="38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>
        <f t="shared" si="100"/>
        <v>0</v>
      </c>
      <c r="S516" s="163"/>
      <c r="T516" s="163"/>
      <c r="U516" s="163"/>
      <c r="V516" s="163"/>
      <c r="W516" s="163"/>
      <c r="X516" s="164">
        <f t="shared" si="101"/>
        <v>0</v>
      </c>
      <c r="Y516" s="232">
        <f t="shared" si="102"/>
        <v>0</v>
      </c>
      <c r="Z516" s="357"/>
    </row>
    <row r="517" spans="1:26" ht="20.100000000000001" hidden="1" customHeight="1" x14ac:dyDescent="0.2">
      <c r="A517" s="26">
        <v>27</v>
      </c>
      <c r="B517" s="73"/>
      <c r="C517" s="38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>
        <f t="shared" si="100"/>
        <v>0</v>
      </c>
      <c r="S517" s="163"/>
      <c r="T517" s="163"/>
      <c r="U517" s="163"/>
      <c r="V517" s="163"/>
      <c r="W517" s="163"/>
      <c r="X517" s="164">
        <f t="shared" si="101"/>
        <v>0</v>
      </c>
      <c r="Y517" s="232">
        <f t="shared" si="102"/>
        <v>0</v>
      </c>
      <c r="Z517" s="357"/>
    </row>
    <row r="518" spans="1:26" ht="20.100000000000001" hidden="1" customHeight="1" thickTop="1" x14ac:dyDescent="0.2">
      <c r="A518" s="26">
        <v>28</v>
      </c>
      <c r="B518" s="271"/>
      <c r="C518" s="38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>
        <f t="shared" si="100"/>
        <v>0</v>
      </c>
      <c r="S518" s="163"/>
      <c r="T518" s="163"/>
      <c r="U518" s="163"/>
      <c r="V518" s="163"/>
      <c r="W518" s="163"/>
      <c r="X518" s="164">
        <f t="shared" si="101"/>
        <v>0</v>
      </c>
      <c r="Y518" s="232">
        <f t="shared" si="102"/>
        <v>0</v>
      </c>
      <c r="Z518" s="357"/>
    </row>
    <row r="519" spans="1:26" ht="20.100000000000001" hidden="1" customHeight="1" x14ac:dyDescent="0.2">
      <c r="A519" s="26">
        <v>29</v>
      </c>
      <c r="B519" s="73"/>
      <c r="C519" s="38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>
        <f t="shared" si="100"/>
        <v>0</v>
      </c>
      <c r="S519" s="163"/>
      <c r="T519" s="163"/>
      <c r="U519" s="163"/>
      <c r="V519" s="163"/>
      <c r="W519" s="163"/>
      <c r="X519" s="164">
        <f t="shared" si="101"/>
        <v>0</v>
      </c>
      <c r="Y519" s="232">
        <f t="shared" si="102"/>
        <v>0</v>
      </c>
      <c r="Z519" s="357"/>
    </row>
    <row r="520" spans="1:26" ht="20.100000000000001" hidden="1" customHeight="1" x14ac:dyDescent="0.2">
      <c r="A520" s="26">
        <v>30</v>
      </c>
      <c r="B520" s="271"/>
      <c r="C520" s="38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>
        <f t="shared" si="100"/>
        <v>0</v>
      </c>
      <c r="S520" s="163"/>
      <c r="T520" s="163"/>
      <c r="U520" s="163"/>
      <c r="V520" s="163"/>
      <c r="W520" s="163"/>
      <c r="X520" s="164">
        <f t="shared" si="101"/>
        <v>0</v>
      </c>
      <c r="Y520" s="232">
        <f t="shared" si="102"/>
        <v>0</v>
      </c>
      <c r="Z520" s="357"/>
    </row>
    <row r="521" spans="1:26" ht="20.100000000000001" hidden="1" customHeight="1" x14ac:dyDescent="0.2">
      <c r="A521" s="26">
        <v>31</v>
      </c>
      <c r="B521" s="73"/>
      <c r="C521" s="38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>
        <f t="shared" si="100"/>
        <v>0</v>
      </c>
      <c r="S521" s="163"/>
      <c r="T521" s="163"/>
      <c r="U521" s="163"/>
      <c r="V521" s="163"/>
      <c r="W521" s="163"/>
      <c r="X521" s="164">
        <f t="shared" si="101"/>
        <v>0</v>
      </c>
      <c r="Y521" s="232">
        <f t="shared" si="102"/>
        <v>0</v>
      </c>
      <c r="Z521" s="357"/>
    </row>
    <row r="522" spans="1:26" ht="20.100000000000001" hidden="1" customHeight="1" x14ac:dyDescent="0.2">
      <c r="A522" s="26">
        <v>32</v>
      </c>
      <c r="B522" s="73"/>
      <c r="C522" s="38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>
        <f t="shared" si="100"/>
        <v>0</v>
      </c>
      <c r="S522" s="163"/>
      <c r="T522" s="163"/>
      <c r="U522" s="163"/>
      <c r="V522" s="163"/>
      <c r="W522" s="163"/>
      <c r="X522" s="164">
        <f t="shared" si="101"/>
        <v>0</v>
      </c>
      <c r="Y522" s="232">
        <f t="shared" si="102"/>
        <v>0</v>
      </c>
      <c r="Z522" s="357"/>
    </row>
    <row r="523" spans="1:26" ht="20.100000000000001" hidden="1" customHeight="1" x14ac:dyDescent="0.2">
      <c r="A523" s="26">
        <v>33</v>
      </c>
      <c r="B523" s="271"/>
      <c r="C523" s="38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>
        <f t="shared" si="100"/>
        <v>0</v>
      </c>
      <c r="S523" s="163"/>
      <c r="T523" s="163"/>
      <c r="U523" s="163"/>
      <c r="V523" s="163"/>
      <c r="W523" s="163"/>
      <c r="X523" s="164">
        <f t="shared" si="101"/>
        <v>0</v>
      </c>
      <c r="Y523" s="232">
        <f t="shared" si="102"/>
        <v>0</v>
      </c>
      <c r="Z523" s="357"/>
    </row>
    <row r="524" spans="1:26" ht="20.100000000000001" hidden="1" customHeight="1" x14ac:dyDescent="0.2">
      <c r="A524" s="26">
        <v>34</v>
      </c>
      <c r="B524" s="73"/>
      <c r="C524" s="38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>
        <f t="shared" si="100"/>
        <v>0</v>
      </c>
      <c r="S524" s="163"/>
      <c r="T524" s="163"/>
      <c r="U524" s="163"/>
      <c r="V524" s="163"/>
      <c r="W524" s="163"/>
      <c r="X524" s="164">
        <f t="shared" si="101"/>
        <v>0</v>
      </c>
      <c r="Y524" s="232">
        <f t="shared" si="102"/>
        <v>0</v>
      </c>
      <c r="Z524" s="357"/>
    </row>
    <row r="525" spans="1:26" ht="20.100000000000001" hidden="1" customHeight="1" x14ac:dyDescent="0.2">
      <c r="A525" s="26">
        <v>35</v>
      </c>
      <c r="B525" s="73"/>
      <c r="C525" s="38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>
        <f t="shared" si="100"/>
        <v>0</v>
      </c>
      <c r="S525" s="163"/>
      <c r="T525" s="163"/>
      <c r="U525" s="163"/>
      <c r="V525" s="163"/>
      <c r="W525" s="163"/>
      <c r="X525" s="164">
        <f t="shared" si="101"/>
        <v>0</v>
      </c>
      <c r="Y525" s="232">
        <f t="shared" si="102"/>
        <v>0</v>
      </c>
      <c r="Z525" s="357"/>
    </row>
    <row r="526" spans="1:26" ht="20.100000000000001" hidden="1" customHeight="1" x14ac:dyDescent="0.2">
      <c r="A526" s="26">
        <v>36</v>
      </c>
      <c r="B526" s="73"/>
      <c r="C526" s="38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>
        <f t="shared" si="100"/>
        <v>0</v>
      </c>
      <c r="S526" s="163"/>
      <c r="T526" s="163"/>
      <c r="U526" s="163"/>
      <c r="V526" s="163"/>
      <c r="W526" s="163"/>
      <c r="X526" s="164">
        <f t="shared" si="101"/>
        <v>0</v>
      </c>
      <c r="Y526" s="232">
        <f t="shared" si="102"/>
        <v>0</v>
      </c>
      <c r="Z526" s="357"/>
    </row>
    <row r="527" spans="1:26" ht="20.100000000000001" hidden="1" customHeight="1" x14ac:dyDescent="0.2">
      <c r="A527" s="26">
        <v>37</v>
      </c>
      <c r="B527" s="271"/>
      <c r="C527" s="38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>
        <f t="shared" si="100"/>
        <v>0</v>
      </c>
      <c r="S527" s="163"/>
      <c r="T527" s="163"/>
      <c r="U527" s="163"/>
      <c r="V527" s="163"/>
      <c r="W527" s="163"/>
      <c r="X527" s="164">
        <f t="shared" si="101"/>
        <v>0</v>
      </c>
      <c r="Y527" s="232">
        <f t="shared" si="102"/>
        <v>0</v>
      </c>
      <c r="Z527" s="357"/>
    </row>
    <row r="528" spans="1:26" ht="20.100000000000001" hidden="1" customHeight="1" x14ac:dyDescent="0.2">
      <c r="A528" s="26">
        <v>38</v>
      </c>
      <c r="B528" s="73"/>
      <c r="C528" s="38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>
        <f t="shared" si="100"/>
        <v>0</v>
      </c>
      <c r="S528" s="163"/>
      <c r="T528" s="163"/>
      <c r="U528" s="163"/>
      <c r="V528" s="163"/>
      <c r="W528" s="163"/>
      <c r="X528" s="164">
        <f t="shared" si="101"/>
        <v>0</v>
      </c>
      <c r="Y528" s="232">
        <f t="shared" si="102"/>
        <v>0</v>
      </c>
      <c r="Z528" s="357"/>
    </row>
    <row r="529" spans="1:26" ht="20.100000000000001" hidden="1" customHeight="1" x14ac:dyDescent="0.2">
      <c r="A529" s="26">
        <v>39</v>
      </c>
      <c r="B529" s="73"/>
      <c r="C529" s="38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>
        <f t="shared" si="100"/>
        <v>0</v>
      </c>
      <c r="S529" s="163"/>
      <c r="T529" s="163"/>
      <c r="U529" s="163"/>
      <c r="V529" s="163"/>
      <c r="W529" s="163"/>
      <c r="X529" s="164">
        <f t="shared" si="101"/>
        <v>0</v>
      </c>
      <c r="Y529" s="232">
        <f t="shared" si="102"/>
        <v>0</v>
      </c>
      <c r="Z529" s="357"/>
    </row>
    <row r="530" spans="1:26" ht="20.100000000000001" hidden="1" customHeight="1" x14ac:dyDescent="0.2">
      <c r="A530" s="26">
        <v>40</v>
      </c>
      <c r="B530" s="73"/>
      <c r="C530" s="38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>
        <f t="shared" si="100"/>
        <v>0</v>
      </c>
      <c r="S530" s="163"/>
      <c r="T530" s="163"/>
      <c r="U530" s="163"/>
      <c r="V530" s="163"/>
      <c r="W530" s="163"/>
      <c r="X530" s="164">
        <f t="shared" si="101"/>
        <v>0</v>
      </c>
      <c r="Y530" s="232">
        <f t="shared" si="102"/>
        <v>0</v>
      </c>
      <c r="Z530" s="357"/>
    </row>
    <row r="531" spans="1:26" ht="20.100000000000001" hidden="1" customHeight="1" x14ac:dyDescent="0.2">
      <c r="A531" s="26">
        <v>41</v>
      </c>
      <c r="B531" s="271"/>
      <c r="C531" s="38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>
        <f t="shared" si="100"/>
        <v>0</v>
      </c>
      <c r="S531" s="163"/>
      <c r="T531" s="163"/>
      <c r="U531" s="163"/>
      <c r="V531" s="163"/>
      <c r="W531" s="163"/>
      <c r="X531" s="164">
        <f t="shared" si="101"/>
        <v>0</v>
      </c>
      <c r="Y531" s="232">
        <f t="shared" si="102"/>
        <v>0</v>
      </c>
      <c r="Z531" s="357"/>
    </row>
    <row r="532" spans="1:26" ht="20.100000000000001" hidden="1" customHeight="1" x14ac:dyDescent="0.2">
      <c r="A532" s="26">
        <v>42</v>
      </c>
      <c r="B532" s="73"/>
      <c r="C532" s="38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>
        <f t="shared" si="100"/>
        <v>0</v>
      </c>
      <c r="S532" s="163"/>
      <c r="T532" s="163"/>
      <c r="U532" s="163"/>
      <c r="V532" s="163"/>
      <c r="W532" s="163"/>
      <c r="X532" s="164">
        <f t="shared" si="101"/>
        <v>0</v>
      </c>
      <c r="Y532" s="232">
        <f t="shared" si="102"/>
        <v>0</v>
      </c>
      <c r="Z532" s="357"/>
    </row>
    <row r="533" spans="1:26" ht="20.100000000000001" hidden="1" customHeight="1" x14ac:dyDescent="0.2">
      <c r="A533" s="26">
        <v>43</v>
      </c>
      <c r="B533" s="271"/>
      <c r="C533" s="38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>
        <f t="shared" si="100"/>
        <v>0</v>
      </c>
      <c r="S533" s="163"/>
      <c r="T533" s="163"/>
      <c r="U533" s="163"/>
      <c r="V533" s="163"/>
      <c r="W533" s="163"/>
      <c r="X533" s="164">
        <f t="shared" si="101"/>
        <v>0</v>
      </c>
      <c r="Y533" s="232">
        <f t="shared" si="102"/>
        <v>0</v>
      </c>
      <c r="Z533" s="357"/>
    </row>
    <row r="534" spans="1:26" ht="20.100000000000001" hidden="1" customHeight="1" x14ac:dyDescent="0.2">
      <c r="A534" s="26">
        <v>44</v>
      </c>
      <c r="B534" s="73"/>
      <c r="C534" s="38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>
        <f t="shared" si="100"/>
        <v>0</v>
      </c>
      <c r="S534" s="163"/>
      <c r="T534" s="163"/>
      <c r="U534" s="163"/>
      <c r="V534" s="163"/>
      <c r="W534" s="163"/>
      <c r="X534" s="164">
        <f t="shared" si="101"/>
        <v>0</v>
      </c>
      <c r="Y534" s="232">
        <f t="shared" si="102"/>
        <v>0</v>
      </c>
      <c r="Z534" s="357"/>
    </row>
    <row r="535" spans="1:26" ht="20.100000000000001" hidden="1" customHeight="1" x14ac:dyDescent="0.2">
      <c r="A535" s="26">
        <v>45</v>
      </c>
      <c r="B535" s="271"/>
      <c r="C535" s="38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>
        <f t="shared" si="100"/>
        <v>0</v>
      </c>
      <c r="S535" s="163"/>
      <c r="T535" s="163"/>
      <c r="U535" s="163"/>
      <c r="V535" s="163"/>
      <c r="W535" s="163"/>
      <c r="X535" s="164">
        <f t="shared" si="101"/>
        <v>0</v>
      </c>
      <c r="Y535" s="232">
        <f t="shared" si="102"/>
        <v>0</v>
      </c>
      <c r="Z535" s="357"/>
    </row>
    <row r="536" spans="1:26" ht="20.100000000000001" hidden="1" customHeight="1" x14ac:dyDescent="0.2">
      <c r="A536" s="26">
        <v>46</v>
      </c>
      <c r="B536" s="73"/>
      <c r="C536" s="38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>
        <f t="shared" si="100"/>
        <v>0</v>
      </c>
      <c r="S536" s="163"/>
      <c r="T536" s="163"/>
      <c r="U536" s="163"/>
      <c r="V536" s="163"/>
      <c r="W536" s="163"/>
      <c r="X536" s="164">
        <f t="shared" si="101"/>
        <v>0</v>
      </c>
      <c r="Y536" s="232">
        <f t="shared" si="102"/>
        <v>0</v>
      </c>
      <c r="Z536" s="357"/>
    </row>
    <row r="537" spans="1:26" ht="20.100000000000001" hidden="1" customHeight="1" x14ac:dyDescent="0.2">
      <c r="A537" s="26">
        <v>47</v>
      </c>
      <c r="B537" s="271"/>
      <c r="C537" s="38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>
        <f t="shared" si="100"/>
        <v>0</v>
      </c>
      <c r="S537" s="163"/>
      <c r="T537" s="163"/>
      <c r="U537" s="163"/>
      <c r="V537" s="163"/>
      <c r="W537" s="163"/>
      <c r="X537" s="164">
        <f t="shared" si="101"/>
        <v>0</v>
      </c>
      <c r="Y537" s="232">
        <f t="shared" si="102"/>
        <v>0</v>
      </c>
      <c r="Z537" s="357"/>
    </row>
    <row r="538" spans="1:26" ht="20.100000000000001" hidden="1" customHeight="1" x14ac:dyDescent="0.2">
      <c r="A538" s="26">
        <v>48</v>
      </c>
      <c r="B538" s="73"/>
      <c r="C538" s="38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>
        <f t="shared" si="100"/>
        <v>0</v>
      </c>
      <c r="S538" s="163"/>
      <c r="T538" s="163"/>
      <c r="U538" s="163"/>
      <c r="V538" s="163"/>
      <c r="W538" s="163"/>
      <c r="X538" s="164">
        <f t="shared" si="101"/>
        <v>0</v>
      </c>
      <c r="Y538" s="232">
        <f t="shared" si="102"/>
        <v>0</v>
      </c>
      <c r="Z538" s="357"/>
    </row>
    <row r="539" spans="1:26" ht="20.100000000000001" hidden="1" customHeight="1" x14ac:dyDescent="0.2">
      <c r="A539" s="26">
        <v>49</v>
      </c>
      <c r="B539" s="73"/>
      <c r="C539" s="38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>
        <f t="shared" si="100"/>
        <v>0</v>
      </c>
      <c r="S539" s="163"/>
      <c r="T539" s="163"/>
      <c r="U539" s="163"/>
      <c r="V539" s="163"/>
      <c r="W539" s="163"/>
      <c r="X539" s="164">
        <f t="shared" si="101"/>
        <v>0</v>
      </c>
      <c r="Y539" s="232">
        <f t="shared" si="102"/>
        <v>0</v>
      </c>
      <c r="Z539" s="357"/>
    </row>
    <row r="540" spans="1:26" ht="20.100000000000001" hidden="1" customHeight="1" x14ac:dyDescent="0.2">
      <c r="A540" s="26"/>
      <c r="B540" s="73"/>
      <c r="C540" s="38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>
        <f t="shared" si="100"/>
        <v>0</v>
      </c>
      <c r="S540" s="163"/>
      <c r="T540" s="163"/>
      <c r="U540" s="163"/>
      <c r="V540" s="163"/>
      <c r="W540" s="163"/>
      <c r="X540" s="164">
        <f t="shared" si="101"/>
        <v>0</v>
      </c>
      <c r="Y540" s="232">
        <f t="shared" si="102"/>
        <v>0</v>
      </c>
      <c r="Z540" s="357"/>
    </row>
    <row r="541" spans="1:26" ht="20.100000000000001" hidden="1" customHeight="1" x14ac:dyDescent="0.2">
      <c r="A541" s="26"/>
      <c r="B541" s="73"/>
      <c r="C541" s="38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>
        <f t="shared" si="100"/>
        <v>0</v>
      </c>
      <c r="S541" s="163"/>
      <c r="T541" s="163"/>
      <c r="U541" s="163"/>
      <c r="V541" s="163"/>
      <c r="W541" s="163"/>
      <c r="X541" s="164">
        <f t="shared" si="101"/>
        <v>0</v>
      </c>
      <c r="Y541" s="232">
        <f t="shared" si="102"/>
        <v>0</v>
      </c>
      <c r="Z541" s="357"/>
    </row>
    <row r="542" spans="1:26" ht="20.100000000000001" hidden="1" customHeight="1" x14ac:dyDescent="0.2">
      <c r="A542" s="26"/>
      <c r="B542" s="73"/>
      <c r="C542" s="38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>
        <f t="shared" si="100"/>
        <v>0</v>
      </c>
      <c r="S542" s="163"/>
      <c r="T542" s="163"/>
      <c r="U542" s="163"/>
      <c r="V542" s="163"/>
      <c r="W542" s="163"/>
      <c r="X542" s="164">
        <f t="shared" si="101"/>
        <v>0</v>
      </c>
      <c r="Y542" s="232">
        <f t="shared" si="102"/>
        <v>0</v>
      </c>
      <c r="Z542" s="357"/>
    </row>
    <row r="543" spans="1:26" hidden="1" x14ac:dyDescent="0.2">
      <c r="A543" s="26"/>
      <c r="B543" s="73"/>
      <c r="C543" s="38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>
        <f t="shared" si="100"/>
        <v>0</v>
      </c>
      <c r="S543" s="163"/>
      <c r="T543" s="163"/>
      <c r="U543" s="163"/>
      <c r="V543" s="163"/>
      <c r="W543" s="163"/>
      <c r="X543" s="164">
        <f t="shared" si="101"/>
        <v>0</v>
      </c>
      <c r="Y543" s="232">
        <f t="shared" si="102"/>
        <v>0</v>
      </c>
      <c r="Z543" s="357"/>
    </row>
    <row r="544" spans="1:26" ht="20.100000000000001" hidden="1" customHeight="1" x14ac:dyDescent="0.2">
      <c r="A544" s="26"/>
      <c r="B544" s="267"/>
      <c r="C544" s="196" t="s">
        <v>52</v>
      </c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>
        <f t="shared" si="100"/>
        <v>0</v>
      </c>
      <c r="S544" s="163"/>
      <c r="T544" s="163"/>
      <c r="U544" s="163"/>
      <c r="V544" s="163"/>
      <c r="W544" s="163"/>
      <c r="X544" s="164">
        <f t="shared" si="101"/>
        <v>0</v>
      </c>
      <c r="Y544" s="232">
        <f t="shared" si="102"/>
        <v>0</v>
      </c>
      <c r="Z544" s="357"/>
    </row>
    <row r="545" spans="1:28" ht="18" hidden="1" thickTop="1" thickBot="1" x14ac:dyDescent="0.3">
      <c r="A545" s="535"/>
      <c r="B545" s="536"/>
      <c r="C545" s="537"/>
      <c r="D545" s="537"/>
      <c r="E545" s="537"/>
      <c r="F545" s="537"/>
      <c r="G545" s="537"/>
      <c r="H545" s="537"/>
      <c r="I545" s="537"/>
      <c r="J545" s="537"/>
      <c r="K545" s="537"/>
      <c r="L545" s="537"/>
      <c r="M545" s="537"/>
      <c r="N545" s="537"/>
      <c r="O545" s="537"/>
      <c r="P545" s="537"/>
      <c r="Q545" s="537"/>
      <c r="R545" s="537"/>
      <c r="S545" s="537"/>
      <c r="T545" s="537"/>
      <c r="U545" s="537"/>
      <c r="V545" s="537"/>
      <c r="W545" s="537"/>
      <c r="X545" s="537"/>
      <c r="Y545" s="538"/>
      <c r="Z545" s="539"/>
    </row>
    <row r="546" spans="1:28" ht="24.95" hidden="1" customHeight="1" thickTop="1" thickBot="1" x14ac:dyDescent="0.25">
      <c r="A546" s="46"/>
      <c r="B546" s="2"/>
      <c r="C546" s="43" t="s">
        <v>25</v>
      </c>
      <c r="D546" s="173">
        <f>SUM(D490:D545)</f>
        <v>0</v>
      </c>
      <c r="E546" s="173">
        <f t="shared" ref="E546:Q546" si="103">SUM(E490:E545)</f>
        <v>0</v>
      </c>
      <c r="F546" s="173">
        <f t="shared" si="103"/>
        <v>0</v>
      </c>
      <c r="G546" s="173">
        <f t="shared" si="103"/>
        <v>0</v>
      </c>
      <c r="H546" s="173">
        <f t="shared" si="103"/>
        <v>0</v>
      </c>
      <c r="I546" s="173">
        <f t="shared" si="103"/>
        <v>0</v>
      </c>
      <c r="J546" s="173">
        <f t="shared" si="103"/>
        <v>0</v>
      </c>
      <c r="K546" s="173">
        <f t="shared" si="103"/>
        <v>0</v>
      </c>
      <c r="L546" s="173">
        <f t="shared" si="103"/>
        <v>0</v>
      </c>
      <c r="M546" s="173">
        <f t="shared" si="103"/>
        <v>0</v>
      </c>
      <c r="N546" s="173">
        <f t="shared" si="103"/>
        <v>0</v>
      </c>
      <c r="O546" s="173">
        <f t="shared" si="103"/>
        <v>0</v>
      </c>
      <c r="P546" s="173">
        <f t="shared" si="103"/>
        <v>0</v>
      </c>
      <c r="Q546" s="173">
        <f t="shared" si="103"/>
        <v>0</v>
      </c>
      <c r="R546" s="173">
        <f>SUM(D546:Q546)</f>
        <v>0</v>
      </c>
      <c r="S546" s="173"/>
      <c r="T546" s="173">
        <f>SUM(T490:T545)</f>
        <v>0</v>
      </c>
      <c r="U546" s="173">
        <f>SUM(U490:U545)</f>
        <v>0</v>
      </c>
      <c r="V546" s="173">
        <f>SUM(V490:V545)</f>
        <v>0</v>
      </c>
      <c r="W546" s="173">
        <f>SUM(W490:W545)</f>
        <v>0</v>
      </c>
      <c r="X546" s="435">
        <f>SUM(T546:W546)</f>
        <v>0</v>
      </c>
      <c r="Y546" s="345">
        <f>R546+X546</f>
        <v>0</v>
      </c>
      <c r="Z546" s="174">
        <f>SUM(Z490:Z545)</f>
        <v>0</v>
      </c>
    </row>
    <row r="547" spans="1:28" ht="24.95" hidden="1" customHeight="1" thickTop="1" thickBot="1" x14ac:dyDescent="0.25">
      <c r="A547" s="46"/>
      <c r="B547" s="42" t="s">
        <v>159</v>
      </c>
      <c r="C547" s="43" t="s">
        <v>125</v>
      </c>
      <c r="D547" s="512">
        <f>D489+D546</f>
        <v>103197.13000000002</v>
      </c>
      <c r="E547" s="512">
        <f t="shared" ref="E547:Q547" si="104">E489+E546</f>
        <v>24071.984</v>
      </c>
      <c r="F547" s="512">
        <f t="shared" si="104"/>
        <v>4729467.8339999998</v>
      </c>
      <c r="G547" s="512">
        <f t="shared" si="104"/>
        <v>155925</v>
      </c>
      <c r="H547" s="512">
        <f t="shared" si="104"/>
        <v>302509.66499999998</v>
      </c>
      <c r="I547" s="512">
        <f t="shared" si="104"/>
        <v>153718</v>
      </c>
      <c r="J547" s="512">
        <f t="shared" si="104"/>
        <v>682461</v>
      </c>
      <c r="K547" s="512">
        <f t="shared" si="104"/>
        <v>701418.22600000002</v>
      </c>
      <c r="L547" s="512">
        <f t="shared" si="104"/>
        <v>5545483</v>
      </c>
      <c r="M547" s="512">
        <f t="shared" si="104"/>
        <v>51509</v>
      </c>
      <c r="N547" s="512">
        <f t="shared" si="104"/>
        <v>15635</v>
      </c>
      <c r="O547" s="512">
        <f t="shared" si="104"/>
        <v>5000</v>
      </c>
      <c r="P547" s="512">
        <f t="shared" si="104"/>
        <v>0</v>
      </c>
      <c r="Q547" s="512">
        <f t="shared" si="104"/>
        <v>637176</v>
      </c>
      <c r="R547" s="512">
        <f>SUM(D547:Q547)</f>
        <v>13107571.839</v>
      </c>
      <c r="S547" s="165"/>
      <c r="T547" s="512">
        <f>T489+T546</f>
        <v>0</v>
      </c>
      <c r="U547" s="512">
        <f>U489+U546</f>
        <v>4832040.4440000001</v>
      </c>
      <c r="V547" s="512">
        <f>V489+V546</f>
        <v>39440.69</v>
      </c>
      <c r="W547" s="512">
        <f>W489+W546</f>
        <v>0</v>
      </c>
      <c r="X547" s="513">
        <f>SUM(T547:W547)</f>
        <v>4871481.1340000005</v>
      </c>
      <c r="Y547" s="513">
        <f>R547+X547</f>
        <v>17979052.973000001</v>
      </c>
      <c r="Z547" s="514">
        <f>Z489+Z546</f>
        <v>8154742.4509999994</v>
      </c>
      <c r="AB547" s="82">
        <f>Y547+Z547</f>
        <v>26133795.424000002</v>
      </c>
    </row>
    <row r="548" spans="1:28" ht="17.25" thickTop="1" x14ac:dyDescent="0.25">
      <c r="Y548" s="52"/>
      <c r="Z548" s="2"/>
    </row>
    <row r="549" spans="1:28" ht="18.75" hidden="1" thickTop="1" thickBot="1" x14ac:dyDescent="0.3">
      <c r="C549" s="2" t="s">
        <v>72</v>
      </c>
      <c r="D549" s="295">
        <v>103197</v>
      </c>
      <c r="E549" s="199">
        <v>24071.984</v>
      </c>
      <c r="F549" s="360">
        <v>4729468</v>
      </c>
      <c r="G549" s="199">
        <v>155925</v>
      </c>
      <c r="H549" s="199">
        <v>302510</v>
      </c>
      <c r="I549" s="360">
        <v>153718</v>
      </c>
      <c r="J549" s="199">
        <v>682461</v>
      </c>
      <c r="K549" s="199">
        <v>701418</v>
      </c>
      <c r="L549" s="199">
        <v>5545483</v>
      </c>
      <c r="M549" s="199">
        <v>51509</v>
      </c>
      <c r="N549" s="199">
        <v>15635</v>
      </c>
      <c r="O549" s="199">
        <v>5000</v>
      </c>
      <c r="P549" s="199">
        <v>0</v>
      </c>
      <c r="Q549" s="199">
        <v>637176</v>
      </c>
      <c r="R549" s="199">
        <v>13107572</v>
      </c>
      <c r="S549" s="199"/>
      <c r="T549" s="199">
        <v>0</v>
      </c>
      <c r="U549" s="199">
        <v>4832040.4440000001</v>
      </c>
      <c r="V549" s="199">
        <v>39440.69</v>
      </c>
      <c r="W549" s="199">
        <v>0</v>
      </c>
      <c r="X549" s="199">
        <v>4871481.1340000005</v>
      </c>
      <c r="Y549" s="199">
        <v>17979053</v>
      </c>
      <c r="Z549" s="360">
        <v>8154742</v>
      </c>
      <c r="AA549" s="127">
        <f>SUM(Y549:Z549)</f>
        <v>26133795</v>
      </c>
    </row>
    <row r="550" spans="1:28" ht="17.25" hidden="1" thickTop="1" x14ac:dyDescent="0.25">
      <c r="F550" s="166"/>
      <c r="Y550" s="52"/>
      <c r="Z550" s="2"/>
    </row>
    <row r="551" spans="1:28" hidden="1" x14ac:dyDescent="0.25">
      <c r="C551" s="2" t="s">
        <v>73</v>
      </c>
      <c r="D551" s="166">
        <f>D549-D547</f>
        <v>-0.13000000001920853</v>
      </c>
      <c r="E551" s="166">
        <f t="shared" ref="E551:Z551" si="105">E549-E547</f>
        <v>0</v>
      </c>
      <c r="F551" s="643">
        <f>F549-F547</f>
        <v>0.16600000020116568</v>
      </c>
      <c r="G551" s="166">
        <f t="shared" si="105"/>
        <v>0</v>
      </c>
      <c r="H551" s="166">
        <f t="shared" si="105"/>
        <v>0.33500000002095476</v>
      </c>
      <c r="I551" s="166">
        <f t="shared" si="105"/>
        <v>0</v>
      </c>
      <c r="J551" s="166">
        <f t="shared" si="105"/>
        <v>0</v>
      </c>
      <c r="K551" s="643">
        <f t="shared" si="105"/>
        <v>-0.22600000002421439</v>
      </c>
      <c r="L551" s="643">
        <f t="shared" si="105"/>
        <v>0</v>
      </c>
      <c r="M551" s="643">
        <f t="shared" si="105"/>
        <v>0</v>
      </c>
      <c r="N551" s="166">
        <f t="shared" si="105"/>
        <v>0</v>
      </c>
      <c r="O551" s="166">
        <f t="shared" si="105"/>
        <v>0</v>
      </c>
      <c r="P551" s="166">
        <f t="shared" si="105"/>
        <v>0</v>
      </c>
      <c r="Q551" s="166">
        <f t="shared" si="105"/>
        <v>0</v>
      </c>
      <c r="R551" s="166">
        <f t="shared" si="105"/>
        <v>0.16100000031292439</v>
      </c>
      <c r="S551" s="166"/>
      <c r="T551" s="166">
        <f t="shared" si="105"/>
        <v>0</v>
      </c>
      <c r="U551" s="166">
        <f t="shared" si="105"/>
        <v>0</v>
      </c>
      <c r="V551" s="166">
        <f t="shared" si="105"/>
        <v>0</v>
      </c>
      <c r="W551" s="166">
        <f t="shared" si="105"/>
        <v>0</v>
      </c>
      <c r="X551" s="166">
        <f t="shared" si="105"/>
        <v>0</v>
      </c>
      <c r="Y551" s="166">
        <f t="shared" si="105"/>
        <v>2.6999998837709427E-2</v>
      </c>
      <c r="Z551" s="166">
        <f t="shared" si="105"/>
        <v>-0.45099999941885471</v>
      </c>
      <c r="AA551" s="166"/>
    </row>
    <row r="552" spans="1:28" hidden="1" x14ac:dyDescent="0.25">
      <c r="Z552" s="2"/>
    </row>
    <row r="553" spans="1:28" hidden="1" x14ac:dyDescent="0.25">
      <c r="F553" s="361"/>
      <c r="Z553" s="2"/>
    </row>
  </sheetData>
  <mergeCells count="8">
    <mergeCell ref="AJ14:AK14"/>
    <mergeCell ref="A2:Z2"/>
    <mergeCell ref="A4:Z4"/>
    <mergeCell ref="D7:Z7"/>
    <mergeCell ref="AJ9:AK9"/>
    <mergeCell ref="D8:K8"/>
    <mergeCell ref="L8:Q8"/>
    <mergeCell ref="T8:W8"/>
  </mergeCells>
  <phoneticPr fontId="3" type="noConversion"/>
  <printOptions horizontalCentered="1"/>
  <pageMargins left="0" right="0" top="0.37" bottom="0.35" header="0.21" footer="0.15748031496062992"/>
  <pageSetup paperSize="9" scale="40" firstPageNumber="0" orientation="landscape" horizontalDpi="300" verticalDpi="300" r:id="rId1"/>
  <headerFooter alignWithMargins="0"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3"/>
  <sheetViews>
    <sheetView topLeftCell="A7" zoomScale="75" zoomScaleNormal="75" workbookViewId="0">
      <pane xSplit="3" ySplit="10" topLeftCell="D17" activePane="bottomRight" state="frozen"/>
      <selection activeCell="A7" sqref="A7"/>
      <selection pane="topRight" activeCell="D7" sqref="D7"/>
      <selection pane="bottomLeft" activeCell="A17" sqref="A17"/>
      <selection pane="bottomRight" activeCell="X184" sqref="X184"/>
    </sheetView>
  </sheetViews>
  <sheetFormatPr defaultRowHeight="16.5" x14ac:dyDescent="0.25"/>
  <cols>
    <col min="1" max="1" width="6.28515625" style="1" customWidth="1"/>
    <col min="2" max="2" width="12.7109375" style="1" hidden="1" customWidth="1"/>
    <col min="3" max="3" width="57.7109375" style="2" customWidth="1"/>
    <col min="4" max="14" width="12.7109375" style="2" customWidth="1"/>
    <col min="15" max="15" width="15.7109375" style="2" customWidth="1"/>
    <col min="16" max="16" width="1.85546875" style="2" customWidth="1"/>
    <col min="17" max="17" width="11.28515625" style="2" customWidth="1"/>
    <col min="18" max="18" width="11.85546875" style="2" customWidth="1"/>
    <col min="19" max="19" width="11.28515625" style="2" customWidth="1"/>
    <col min="20" max="20" width="10" style="2" customWidth="1"/>
    <col min="21" max="21" width="15.7109375" style="2" customWidth="1"/>
    <col min="22" max="22" width="1.85546875" style="2" customWidth="1"/>
    <col min="23" max="23" width="15.7109375" style="2" customWidth="1"/>
    <col min="24" max="24" width="17.140625" style="2" customWidth="1"/>
    <col min="25" max="25" width="11" style="2" customWidth="1"/>
    <col min="26" max="26" width="10.7109375" style="2" customWidth="1"/>
    <col min="27" max="32" width="9.140625" style="2"/>
    <col min="33" max="34" width="10.7109375" style="2" customWidth="1"/>
    <col min="35" max="35" width="10.28515625" style="2" customWidth="1"/>
    <col min="36" max="36" width="10" style="2" customWidth="1"/>
    <col min="37" max="37" width="10.28515625" style="2" customWidth="1"/>
    <col min="38" max="38" width="10.7109375" style="2" customWidth="1"/>
    <col min="39" max="39" width="10.5703125" style="2" customWidth="1"/>
    <col min="40" max="43" width="9.140625" style="2"/>
    <col min="44" max="44" width="11" style="2" customWidth="1"/>
    <col min="45" max="16384" width="9.140625" style="2"/>
  </cols>
  <sheetData>
    <row r="1" spans="1:38" ht="20.25" customHeight="1" x14ac:dyDescent="0.25">
      <c r="V1" s="3"/>
      <c r="W1" s="180"/>
      <c r="X1" s="180" t="s">
        <v>70</v>
      </c>
    </row>
    <row r="2" spans="1:38" ht="30" customHeight="1" x14ac:dyDescent="0.3">
      <c r="A2" s="725" t="s">
        <v>0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</row>
    <row r="3" spans="1:38" ht="30" customHeight="1" x14ac:dyDescent="0.3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</row>
    <row r="4" spans="1:38" ht="50.1" customHeight="1" x14ac:dyDescent="0.3">
      <c r="A4" s="738" t="s">
        <v>560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</row>
    <row r="5" spans="1:38" ht="24.9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8" ht="17.2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 t="s">
        <v>1</v>
      </c>
    </row>
    <row r="7" spans="1:38" ht="18" customHeight="1" thickTop="1" x14ac:dyDescent="0.25">
      <c r="A7" s="7"/>
      <c r="B7" s="8"/>
      <c r="C7" s="9"/>
      <c r="D7" s="717" t="s">
        <v>93</v>
      </c>
      <c r="E7" s="718"/>
      <c r="F7" s="719"/>
      <c r="G7" s="375"/>
      <c r="H7" s="376"/>
      <c r="I7" s="377" t="s">
        <v>4</v>
      </c>
      <c r="J7" s="720" t="s">
        <v>101</v>
      </c>
      <c r="K7" s="721"/>
      <c r="L7" s="375"/>
      <c r="M7" s="378" t="s">
        <v>102</v>
      </c>
      <c r="N7" s="379"/>
      <c r="O7" s="380" t="s">
        <v>109</v>
      </c>
      <c r="P7" s="14"/>
      <c r="Q7" s="722" t="s">
        <v>111</v>
      </c>
      <c r="R7" s="723"/>
      <c r="S7" s="723"/>
      <c r="T7" s="724"/>
      <c r="U7" s="381" t="s">
        <v>120</v>
      </c>
      <c r="V7" s="369"/>
      <c r="W7" s="741" t="s">
        <v>2</v>
      </c>
      <c r="X7" s="756"/>
    </row>
    <row r="8" spans="1:38" x14ac:dyDescent="0.25">
      <c r="A8" s="11"/>
      <c r="B8" s="12"/>
      <c r="C8" s="13" t="s">
        <v>3</v>
      </c>
      <c r="D8" s="16" t="s">
        <v>94</v>
      </c>
      <c r="E8" s="13" t="s">
        <v>95</v>
      </c>
      <c r="F8" s="4" t="s">
        <v>96</v>
      </c>
      <c r="G8" s="17" t="s">
        <v>103</v>
      </c>
      <c r="H8" s="17" t="s">
        <v>5</v>
      </c>
      <c r="I8" s="17" t="s">
        <v>15</v>
      </c>
      <c r="J8" s="13" t="s">
        <v>6</v>
      </c>
      <c r="K8" s="13" t="s">
        <v>104</v>
      </c>
      <c r="L8" s="371" t="s">
        <v>78</v>
      </c>
      <c r="M8" s="13" t="s">
        <v>105</v>
      </c>
      <c r="N8" s="17" t="s">
        <v>4</v>
      </c>
      <c r="O8" s="372" t="s">
        <v>110</v>
      </c>
      <c r="P8" s="17"/>
      <c r="Q8" s="17" t="s">
        <v>112</v>
      </c>
      <c r="R8" s="17" t="s">
        <v>113</v>
      </c>
      <c r="S8" s="17" t="s">
        <v>201</v>
      </c>
      <c r="T8" s="17" t="s">
        <v>4</v>
      </c>
      <c r="U8" s="373" t="s">
        <v>121</v>
      </c>
      <c r="V8" s="368"/>
      <c r="W8" s="742" t="s">
        <v>7</v>
      </c>
      <c r="X8" s="757" t="s">
        <v>84</v>
      </c>
    </row>
    <row r="9" spans="1:38" x14ac:dyDescent="0.25">
      <c r="A9" s="18" t="s">
        <v>8</v>
      </c>
      <c r="B9" s="13"/>
      <c r="C9" s="13" t="s">
        <v>9</v>
      </c>
      <c r="D9" s="17" t="s">
        <v>15</v>
      </c>
      <c r="E9" s="13" t="s">
        <v>97</v>
      </c>
      <c r="F9" s="4" t="s">
        <v>58</v>
      </c>
      <c r="G9" s="17" t="s">
        <v>10</v>
      </c>
      <c r="H9" s="13" t="s">
        <v>10</v>
      </c>
      <c r="I9" s="13" t="s">
        <v>11</v>
      </c>
      <c r="J9" s="13" t="s">
        <v>11</v>
      </c>
      <c r="K9" s="13" t="s">
        <v>58</v>
      </c>
      <c r="L9" s="282" t="s">
        <v>79</v>
      </c>
      <c r="M9" s="17" t="s">
        <v>106</v>
      </c>
      <c r="N9" s="17" t="s">
        <v>80</v>
      </c>
      <c r="O9" s="372" t="s">
        <v>10</v>
      </c>
      <c r="P9" s="17"/>
      <c r="Q9" s="17" t="s">
        <v>114</v>
      </c>
      <c r="R9" s="17" t="s">
        <v>115</v>
      </c>
      <c r="S9" s="17" t="s">
        <v>202</v>
      </c>
      <c r="T9" s="17" t="s">
        <v>160</v>
      </c>
      <c r="U9" s="373" t="s">
        <v>10</v>
      </c>
      <c r="V9" s="370"/>
      <c r="W9" s="742" t="s">
        <v>12</v>
      </c>
      <c r="X9" s="757" t="s">
        <v>85</v>
      </c>
    </row>
    <row r="10" spans="1:38" x14ac:dyDescent="0.25">
      <c r="A10" s="11"/>
      <c r="B10" s="12"/>
      <c r="C10" s="13" t="s">
        <v>13</v>
      </c>
      <c r="D10" s="17" t="s">
        <v>98</v>
      </c>
      <c r="E10" s="13" t="s">
        <v>99</v>
      </c>
      <c r="F10" s="4" t="s">
        <v>100</v>
      </c>
      <c r="G10" s="17"/>
      <c r="H10" s="13"/>
      <c r="I10" s="13" t="s">
        <v>77</v>
      </c>
      <c r="J10" s="13" t="s">
        <v>107</v>
      </c>
      <c r="K10" s="13" t="s">
        <v>100</v>
      </c>
      <c r="L10" s="13" t="s">
        <v>10</v>
      </c>
      <c r="M10" s="17" t="s">
        <v>35</v>
      </c>
      <c r="N10" s="17" t="s">
        <v>108</v>
      </c>
      <c r="O10" s="372" t="s">
        <v>12</v>
      </c>
      <c r="P10" s="17"/>
      <c r="Q10" s="17" t="s">
        <v>116</v>
      </c>
      <c r="R10" s="17" t="s">
        <v>117</v>
      </c>
      <c r="S10" s="17" t="s">
        <v>203</v>
      </c>
      <c r="T10" s="17" t="s">
        <v>161</v>
      </c>
      <c r="U10" s="373" t="s">
        <v>12</v>
      </c>
      <c r="V10" s="370"/>
      <c r="W10" s="743" t="s">
        <v>123</v>
      </c>
      <c r="X10" s="758" t="s">
        <v>86</v>
      </c>
    </row>
    <row r="11" spans="1:38" x14ac:dyDescent="0.25">
      <c r="A11" s="11"/>
      <c r="B11" s="12"/>
      <c r="C11" s="13"/>
      <c r="D11" s="17"/>
      <c r="E11" s="13" t="s">
        <v>16</v>
      </c>
      <c r="F11" s="4" t="s">
        <v>76</v>
      </c>
      <c r="G11" s="17"/>
      <c r="H11" s="13"/>
      <c r="I11" s="13" t="s">
        <v>17</v>
      </c>
      <c r="J11" s="13" t="s">
        <v>44</v>
      </c>
      <c r="K11" s="13" t="s">
        <v>76</v>
      </c>
      <c r="L11" s="13"/>
      <c r="M11" s="20" t="s">
        <v>14</v>
      </c>
      <c r="N11" s="20" t="s">
        <v>17</v>
      </c>
      <c r="O11" s="4" t="s">
        <v>119</v>
      </c>
      <c r="P11" s="20"/>
      <c r="Q11" s="17" t="s">
        <v>16</v>
      </c>
      <c r="R11" s="20" t="s">
        <v>118</v>
      </c>
      <c r="S11" s="20" t="s">
        <v>204</v>
      </c>
      <c r="T11" s="20" t="s">
        <v>10</v>
      </c>
      <c r="U11" s="20" t="s">
        <v>122</v>
      </c>
      <c r="V11" s="21"/>
      <c r="W11" s="742"/>
      <c r="X11" s="758" t="s">
        <v>58</v>
      </c>
    </row>
    <row r="12" spans="1:38" hidden="1" x14ac:dyDescent="0.25">
      <c r="A12" s="107"/>
      <c r="B12" s="108"/>
      <c r="C12" s="109"/>
      <c r="D12" s="16" t="s">
        <v>182</v>
      </c>
      <c r="E12" s="109" t="s">
        <v>183</v>
      </c>
      <c r="F12" s="110" t="s">
        <v>184</v>
      </c>
      <c r="G12" s="16" t="s">
        <v>185</v>
      </c>
      <c r="H12" s="109" t="s">
        <v>186</v>
      </c>
      <c r="I12" s="109" t="s">
        <v>187</v>
      </c>
      <c r="J12" s="109" t="s">
        <v>188</v>
      </c>
      <c r="K12" s="118" t="s">
        <v>189</v>
      </c>
      <c r="L12" s="109" t="s">
        <v>190</v>
      </c>
      <c r="M12" s="111" t="s">
        <v>191</v>
      </c>
      <c r="N12" s="112" t="s">
        <v>192</v>
      </c>
      <c r="O12" s="110"/>
      <c r="P12" s="20"/>
      <c r="Q12" s="16" t="s">
        <v>193</v>
      </c>
      <c r="R12" s="112" t="s">
        <v>194</v>
      </c>
      <c r="S12" s="112" t="s">
        <v>195</v>
      </c>
      <c r="T12" s="109" t="s">
        <v>196</v>
      </c>
      <c r="U12" s="16"/>
      <c r="V12" s="113"/>
      <c r="W12" s="744"/>
      <c r="X12" s="113"/>
    </row>
    <row r="13" spans="1:38" ht="20.25" customHeight="1" x14ac:dyDescent="0.2">
      <c r="A13" s="186">
        <v>1</v>
      </c>
      <c r="B13" s="210"/>
      <c r="C13" s="210">
        <v>2</v>
      </c>
      <c r="D13" s="210">
        <v>3</v>
      </c>
      <c r="E13" s="210">
        <v>4</v>
      </c>
      <c r="F13" s="210">
        <v>5</v>
      </c>
      <c r="G13" s="210">
        <v>6</v>
      </c>
      <c r="H13" s="210">
        <v>7</v>
      </c>
      <c r="I13" s="210">
        <v>8</v>
      </c>
      <c r="J13" s="210">
        <v>9</v>
      </c>
      <c r="K13" s="210">
        <v>10</v>
      </c>
      <c r="L13" s="210">
        <v>11</v>
      </c>
      <c r="M13" s="210">
        <v>12</v>
      </c>
      <c r="N13" s="210">
        <v>13</v>
      </c>
      <c r="O13" s="210">
        <v>14</v>
      </c>
      <c r="P13" s="210"/>
      <c r="Q13" s="210">
        <v>15</v>
      </c>
      <c r="R13" s="210">
        <v>16</v>
      </c>
      <c r="S13" s="210">
        <v>17</v>
      </c>
      <c r="T13" s="210">
        <v>18</v>
      </c>
      <c r="U13" s="210">
        <v>19</v>
      </c>
      <c r="V13" s="211"/>
      <c r="W13" s="745">
        <v>20</v>
      </c>
      <c r="X13" s="211">
        <v>21</v>
      </c>
    </row>
    <row r="14" spans="1:38" ht="22.5" customHeight="1" x14ac:dyDescent="0.25">
      <c r="A14" s="22"/>
      <c r="B14" s="23"/>
      <c r="C14" s="24" t="s">
        <v>51</v>
      </c>
      <c r="D14" s="25">
        <v>0</v>
      </c>
      <c r="E14" s="25">
        <v>0</v>
      </c>
      <c r="F14" s="25">
        <v>0</v>
      </c>
      <c r="G14" s="25">
        <v>4500</v>
      </c>
      <c r="H14" s="25">
        <v>9959</v>
      </c>
      <c r="I14" s="151">
        <v>0</v>
      </c>
      <c r="J14" s="25">
        <v>0</v>
      </c>
      <c r="K14" s="25">
        <v>0</v>
      </c>
      <c r="L14" s="25">
        <v>50</v>
      </c>
      <c r="M14" s="25">
        <v>1200</v>
      </c>
      <c r="N14" s="25">
        <v>0</v>
      </c>
      <c r="O14" s="382">
        <f>SUM(D14:N14)</f>
        <v>15709</v>
      </c>
      <c r="P14" s="25"/>
      <c r="Q14" s="25">
        <v>0</v>
      </c>
      <c r="R14" s="25">
        <v>0</v>
      </c>
      <c r="S14" s="25">
        <v>0</v>
      </c>
      <c r="T14" s="25">
        <v>0</v>
      </c>
      <c r="U14" s="382">
        <f>SUM(Q14:T14)</f>
        <v>0</v>
      </c>
      <c r="V14" s="150"/>
      <c r="W14" s="746">
        <f>O14+U14</f>
        <v>15709</v>
      </c>
      <c r="X14" s="759">
        <v>3439520</v>
      </c>
    </row>
    <row r="15" spans="1:38" ht="20.100000000000001" hidden="1" customHeight="1" x14ac:dyDescent="0.25">
      <c r="A15" s="153"/>
      <c r="B15" s="133"/>
      <c r="C15" s="28" t="s">
        <v>83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138"/>
      <c r="W15" s="230">
        <f>O15+U15</f>
        <v>0</v>
      </c>
      <c r="X15" s="203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</row>
    <row r="16" spans="1:38" ht="20.100000000000001" hidden="1" customHeight="1" x14ac:dyDescent="0.25">
      <c r="A16" s="153"/>
      <c r="B16" s="27" t="s">
        <v>81</v>
      </c>
      <c r="C16" s="24" t="s">
        <v>18</v>
      </c>
      <c r="D16" s="148">
        <f t="shared" ref="D16:W16" si="0">SUM(D14:D15)</f>
        <v>0</v>
      </c>
      <c r="E16" s="148">
        <f t="shared" si="0"/>
        <v>0</v>
      </c>
      <c r="F16" s="148">
        <f t="shared" si="0"/>
        <v>0</v>
      </c>
      <c r="G16" s="148">
        <f t="shared" si="0"/>
        <v>4500</v>
      </c>
      <c r="H16" s="148">
        <f t="shared" si="0"/>
        <v>9959</v>
      </c>
      <c r="I16" s="148">
        <f t="shared" si="0"/>
        <v>0</v>
      </c>
      <c r="J16" s="148">
        <f t="shared" si="0"/>
        <v>0</v>
      </c>
      <c r="K16" s="148">
        <f t="shared" si="0"/>
        <v>0</v>
      </c>
      <c r="L16" s="148">
        <f t="shared" si="0"/>
        <v>50</v>
      </c>
      <c r="M16" s="148">
        <f t="shared" si="0"/>
        <v>1200</v>
      </c>
      <c r="N16" s="148">
        <f t="shared" si="0"/>
        <v>0</v>
      </c>
      <c r="O16" s="411">
        <f t="shared" si="0"/>
        <v>15709</v>
      </c>
      <c r="P16" s="148"/>
      <c r="Q16" s="148">
        <f>SUM(Q14:Q15)</f>
        <v>0</v>
      </c>
      <c r="R16" s="148">
        <f>SUM(R14:R15)</f>
        <v>0</v>
      </c>
      <c r="S16" s="148">
        <f>SUM(S14:S15)</f>
        <v>0</v>
      </c>
      <c r="T16" s="148">
        <f t="shared" si="0"/>
        <v>0</v>
      </c>
      <c r="U16" s="148">
        <f t="shared" si="0"/>
        <v>0</v>
      </c>
      <c r="V16" s="148"/>
      <c r="W16" s="231">
        <f t="shared" si="0"/>
        <v>15709</v>
      </c>
      <c r="X16" s="396">
        <f>SUM(X14:X15)</f>
        <v>3439520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/>
    </row>
    <row r="17" spans="1:38" ht="30" hidden="1" customHeight="1" x14ac:dyDescent="0.25">
      <c r="A17" s="79"/>
      <c r="B17" s="133"/>
      <c r="C17" s="28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>
        <f t="shared" ref="O17:O28" si="1">SUM(D17:N17)</f>
        <v>0</v>
      </c>
      <c r="P17" s="71"/>
      <c r="Q17" s="71"/>
      <c r="R17" s="71"/>
      <c r="S17" s="71"/>
      <c r="T17" s="71"/>
      <c r="U17" s="71"/>
      <c r="V17" s="155"/>
      <c r="W17" s="232"/>
      <c r="X17" s="403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1:38" ht="30" hidden="1" customHeight="1" x14ac:dyDescent="0.25">
      <c r="A18" s="79">
        <v>1</v>
      </c>
      <c r="B18" s="559" t="s">
        <v>207</v>
      </c>
      <c r="C18" s="28" t="s">
        <v>213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>
        <f t="shared" si="1"/>
        <v>0</v>
      </c>
      <c r="P18" s="71"/>
      <c r="Q18" s="71"/>
      <c r="R18" s="71"/>
      <c r="S18" s="71"/>
      <c r="T18" s="71"/>
      <c r="U18" s="71">
        <f t="shared" ref="U18:U28" si="2">SUM(Q18:T18)</f>
        <v>0</v>
      </c>
      <c r="V18" s="155"/>
      <c r="W18" s="232">
        <f t="shared" ref="W18:W28" si="3">O18+U18</f>
        <v>0</v>
      </c>
      <c r="X18" s="403">
        <f>-1895</f>
        <v>-1895</v>
      </c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/>
    </row>
    <row r="19" spans="1:38" ht="30" hidden="1" customHeight="1" x14ac:dyDescent="0.25">
      <c r="A19" s="79">
        <v>2</v>
      </c>
      <c r="B19" s="221" t="s">
        <v>208</v>
      </c>
      <c r="C19" s="28" t="s">
        <v>215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>
        <f t="shared" si="1"/>
        <v>0</v>
      </c>
      <c r="P19" s="71"/>
      <c r="Q19" s="71"/>
      <c r="R19" s="71"/>
      <c r="S19" s="71"/>
      <c r="T19" s="71"/>
      <c r="U19" s="71">
        <f t="shared" si="2"/>
        <v>0</v>
      </c>
      <c r="V19" s="155"/>
      <c r="W19" s="232">
        <f t="shared" si="3"/>
        <v>0</v>
      </c>
      <c r="X19" s="403">
        <f>20250</f>
        <v>20250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</row>
    <row r="20" spans="1:38" ht="30" hidden="1" customHeight="1" x14ac:dyDescent="0.25">
      <c r="A20" s="79">
        <v>3</v>
      </c>
      <c r="B20" s="221" t="str">
        <f>'4.sz.melléklet'!$B$21</f>
        <v>EIM-H-9
EIM-16</v>
      </c>
      <c r="C20" s="33" t="s">
        <v>238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>
        <f t="shared" si="1"/>
        <v>0</v>
      </c>
      <c r="P20" s="71"/>
      <c r="Q20" s="71"/>
      <c r="R20" s="71"/>
      <c r="S20" s="71"/>
      <c r="T20" s="71"/>
      <c r="U20" s="71">
        <f t="shared" si="2"/>
        <v>0</v>
      </c>
      <c r="V20" s="155"/>
      <c r="W20" s="232">
        <f t="shared" si="3"/>
        <v>0</v>
      </c>
      <c r="X20" s="403">
        <f>1801</f>
        <v>1801</v>
      </c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</row>
    <row r="21" spans="1:38" ht="30" hidden="1" customHeight="1" x14ac:dyDescent="0.25">
      <c r="A21" s="79">
        <v>4</v>
      </c>
      <c r="B21" s="221" t="s">
        <v>240</v>
      </c>
      <c r="C21" s="33" t="s">
        <v>241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>
        <f t="shared" si="1"/>
        <v>0</v>
      </c>
      <c r="P21" s="71"/>
      <c r="Q21" s="71"/>
      <c r="R21" s="71"/>
      <c r="S21" s="71"/>
      <c r="T21" s="71"/>
      <c r="U21" s="71">
        <f t="shared" si="2"/>
        <v>0</v>
      </c>
      <c r="V21" s="155"/>
      <c r="W21" s="232">
        <f t="shared" si="3"/>
        <v>0</v>
      </c>
      <c r="X21" s="403">
        <f>-107</f>
        <v>-107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</row>
    <row r="22" spans="1:38" ht="30" hidden="1" customHeight="1" x14ac:dyDescent="0.25">
      <c r="A22" s="79">
        <v>5</v>
      </c>
      <c r="B22" s="221" t="s">
        <v>246</v>
      </c>
      <c r="C22" s="33" t="s">
        <v>245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>
        <f t="shared" si="1"/>
        <v>0</v>
      </c>
      <c r="P22" s="71"/>
      <c r="Q22" s="71"/>
      <c r="R22" s="71"/>
      <c r="S22" s="71"/>
      <c r="T22" s="71"/>
      <c r="U22" s="71">
        <f t="shared" si="2"/>
        <v>0</v>
      </c>
      <c r="V22" s="155"/>
      <c r="W22" s="232">
        <f t="shared" si="3"/>
        <v>0</v>
      </c>
      <c r="X22" s="403">
        <f>235.948</f>
        <v>235.94800000000001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1:38" ht="30" hidden="1" customHeight="1" x14ac:dyDescent="0.25">
      <c r="A23" s="79">
        <v>6</v>
      </c>
      <c r="B23" s="221" t="s">
        <v>247</v>
      </c>
      <c r="C23" s="33" t="s">
        <v>248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>
        <f t="shared" si="1"/>
        <v>0</v>
      </c>
      <c r="P23" s="71"/>
      <c r="Q23" s="71"/>
      <c r="R23" s="71"/>
      <c r="S23" s="71"/>
      <c r="T23" s="71"/>
      <c r="U23" s="71">
        <f t="shared" si="2"/>
        <v>0</v>
      </c>
      <c r="V23" s="155"/>
      <c r="W23" s="232">
        <f t="shared" si="3"/>
        <v>0</v>
      </c>
      <c r="X23" s="403">
        <f>578.62</f>
        <v>578.62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</row>
    <row r="24" spans="1:38" ht="30" hidden="1" customHeight="1" x14ac:dyDescent="0.25">
      <c r="A24" s="220">
        <v>7</v>
      </c>
      <c r="B24" s="221" t="s">
        <v>266</v>
      </c>
      <c r="C24" s="412" t="s">
        <v>265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>
        <f t="shared" si="1"/>
        <v>0</v>
      </c>
      <c r="P24" s="71"/>
      <c r="Q24" s="71"/>
      <c r="R24" s="71"/>
      <c r="S24" s="71"/>
      <c r="T24" s="71"/>
      <c r="U24" s="71">
        <f t="shared" si="2"/>
        <v>0</v>
      </c>
      <c r="V24" s="155"/>
      <c r="W24" s="232">
        <f t="shared" si="3"/>
        <v>0</v>
      </c>
      <c r="X24" s="403">
        <f>10160</f>
        <v>10160</v>
      </c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9"/>
    </row>
    <row r="25" spans="1:38" ht="30" hidden="1" customHeight="1" x14ac:dyDescent="0.25">
      <c r="A25" s="79">
        <v>8</v>
      </c>
      <c r="B25" s="221" t="s">
        <v>289</v>
      </c>
      <c r="C25" s="33" t="s">
        <v>287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>
        <f t="shared" si="1"/>
        <v>0</v>
      </c>
      <c r="P25" s="71"/>
      <c r="Q25" s="71"/>
      <c r="R25" s="71"/>
      <c r="S25" s="71"/>
      <c r="T25" s="71"/>
      <c r="U25" s="71">
        <f t="shared" si="2"/>
        <v>0</v>
      </c>
      <c r="V25" s="155"/>
      <c r="W25" s="232">
        <f t="shared" si="3"/>
        <v>0</v>
      </c>
      <c r="X25" s="403">
        <f>11256</f>
        <v>11256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38" ht="30" hidden="1" customHeight="1" x14ac:dyDescent="0.25">
      <c r="A26" s="220"/>
      <c r="B26" s="221"/>
      <c r="C26" s="33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>
        <f t="shared" si="1"/>
        <v>0</v>
      </c>
      <c r="P26" s="71"/>
      <c r="Q26" s="71"/>
      <c r="R26" s="71"/>
      <c r="S26" s="71"/>
      <c r="T26" s="71"/>
      <c r="U26" s="71">
        <f t="shared" si="2"/>
        <v>0</v>
      </c>
      <c r="V26" s="155"/>
      <c r="W26" s="232">
        <f t="shared" si="3"/>
        <v>0</v>
      </c>
      <c r="X26" s="403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9"/>
    </row>
    <row r="27" spans="1:38" ht="30" hidden="1" customHeight="1" x14ac:dyDescent="0.25">
      <c r="A27" s="220"/>
      <c r="B27" s="221"/>
      <c r="C27" s="3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>
        <f t="shared" si="1"/>
        <v>0</v>
      </c>
      <c r="P27" s="71"/>
      <c r="Q27" s="71"/>
      <c r="R27" s="71"/>
      <c r="S27" s="71"/>
      <c r="T27" s="71"/>
      <c r="U27" s="71">
        <f t="shared" si="2"/>
        <v>0</v>
      </c>
      <c r="V27" s="155"/>
      <c r="W27" s="232">
        <f t="shared" si="3"/>
        <v>0</v>
      </c>
      <c r="X27" s="403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9"/>
    </row>
    <row r="28" spans="1:38" ht="30" hidden="1" customHeight="1" x14ac:dyDescent="0.25">
      <c r="A28" s="79"/>
      <c r="B28" s="134"/>
      <c r="C28" s="28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>
        <f t="shared" si="1"/>
        <v>0</v>
      </c>
      <c r="P28" s="71"/>
      <c r="Q28" s="71"/>
      <c r="R28" s="71"/>
      <c r="S28" s="71"/>
      <c r="T28" s="71"/>
      <c r="U28" s="71">
        <f t="shared" si="2"/>
        <v>0</v>
      </c>
      <c r="V28" s="155"/>
      <c r="W28" s="232">
        <f t="shared" si="3"/>
        <v>0</v>
      </c>
      <c r="X28" s="403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</row>
    <row r="29" spans="1:38" ht="9.9499999999999993" hidden="1" customHeight="1" x14ac:dyDescent="0.25">
      <c r="A29" s="79"/>
      <c r="B29" s="134"/>
      <c r="C29" s="28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155"/>
      <c r="W29" s="232"/>
      <c r="X29" s="403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9"/>
    </row>
    <row r="30" spans="1:38" ht="30" hidden="1" customHeight="1" x14ac:dyDescent="0.25">
      <c r="A30" s="205" t="s">
        <v>64</v>
      </c>
      <c r="B30" s="201"/>
      <c r="C30" s="206" t="s">
        <v>62</v>
      </c>
      <c r="D30" s="71">
        <f t="shared" ref="D30:O30" si="4">SUM(D17:D29)</f>
        <v>0</v>
      </c>
      <c r="E30" s="71">
        <f t="shared" si="4"/>
        <v>0</v>
      </c>
      <c r="F30" s="71">
        <f t="shared" si="4"/>
        <v>0</v>
      </c>
      <c r="G30" s="71">
        <f t="shared" si="4"/>
        <v>0</v>
      </c>
      <c r="H30" s="71">
        <f t="shared" si="4"/>
        <v>0</v>
      </c>
      <c r="I30" s="71">
        <f t="shared" si="4"/>
        <v>0</v>
      </c>
      <c r="J30" s="71">
        <f t="shared" si="4"/>
        <v>0</v>
      </c>
      <c r="K30" s="71">
        <f t="shared" si="4"/>
        <v>0</v>
      </c>
      <c r="L30" s="71">
        <f t="shared" si="4"/>
        <v>0</v>
      </c>
      <c r="M30" s="71">
        <f t="shared" si="4"/>
        <v>0</v>
      </c>
      <c r="N30" s="71">
        <f t="shared" si="4"/>
        <v>0</v>
      </c>
      <c r="O30" s="71">
        <f t="shared" si="4"/>
        <v>0</v>
      </c>
      <c r="P30" s="71"/>
      <c r="Q30" s="71"/>
      <c r="R30" s="71"/>
      <c r="S30" s="71">
        <f>SUM(S17:S29)</f>
        <v>0</v>
      </c>
      <c r="T30" s="71">
        <f>SUM(T17:T29)</f>
        <v>0</v>
      </c>
      <c r="U30" s="71">
        <f>SUM(U17:U29)</f>
        <v>0</v>
      </c>
      <c r="V30" s="203"/>
      <c r="W30" s="233">
        <f>O30+U30</f>
        <v>0</v>
      </c>
      <c r="X30" s="403">
        <f>SUM(X17:X29)</f>
        <v>42279.567999999999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/>
    </row>
    <row r="31" spans="1:38" ht="9.9499999999999993" hidden="1" customHeight="1" x14ac:dyDescent="0.25">
      <c r="A31" s="79"/>
      <c r="B31" s="134"/>
      <c r="C31" s="28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155"/>
      <c r="W31" s="232"/>
      <c r="X31" s="403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9"/>
    </row>
    <row r="32" spans="1:38" ht="30" hidden="1" customHeight="1" x14ac:dyDescent="0.25">
      <c r="A32" s="79">
        <v>9</v>
      </c>
      <c r="B32" s="221" t="s">
        <v>216</v>
      </c>
      <c r="C32" s="644" t="s">
        <v>217</v>
      </c>
      <c r="D32" s="415"/>
      <c r="E32" s="415"/>
      <c r="F32" s="158">
        <f>17736.381</f>
        <v>17736.381000000001</v>
      </c>
      <c r="G32" s="415"/>
      <c r="H32" s="612"/>
      <c r="I32" s="415"/>
      <c r="J32" s="415"/>
      <c r="K32" s="415"/>
      <c r="L32" s="415"/>
      <c r="M32" s="415"/>
      <c r="N32" s="415"/>
      <c r="O32" s="158">
        <f>SUM(D32:N32)</f>
        <v>17736.381000000001</v>
      </c>
      <c r="P32" s="415"/>
      <c r="Q32" s="415"/>
      <c r="R32" s="415"/>
      <c r="S32" s="415"/>
      <c r="T32" s="415"/>
      <c r="U32" s="415">
        <f>SUM(Q32:T32)</f>
        <v>0</v>
      </c>
      <c r="V32" s="155"/>
      <c r="W32" s="232">
        <f>O32+U32</f>
        <v>17736.381000000001</v>
      </c>
      <c r="X32" s="403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9"/>
    </row>
    <row r="33" spans="1:38" ht="30" hidden="1" customHeight="1" x14ac:dyDescent="0.25">
      <c r="A33" s="79">
        <v>10</v>
      </c>
      <c r="B33" s="221" t="s">
        <v>299</v>
      </c>
      <c r="C33" s="121" t="s">
        <v>300</v>
      </c>
      <c r="D33" s="415"/>
      <c r="E33" s="415"/>
      <c r="F33" s="158"/>
      <c r="G33" s="415"/>
      <c r="H33" s="612">
        <f>267+72</f>
        <v>339</v>
      </c>
      <c r="I33" s="415"/>
      <c r="J33" s="415"/>
      <c r="K33" s="415"/>
      <c r="L33" s="415"/>
      <c r="M33" s="415"/>
      <c r="N33" s="415"/>
      <c r="O33" s="158">
        <f>SUM(D33:N33)</f>
        <v>339</v>
      </c>
      <c r="P33" s="415"/>
      <c r="Q33" s="415"/>
      <c r="R33" s="415"/>
      <c r="S33" s="415"/>
      <c r="T33" s="415"/>
      <c r="U33" s="415">
        <f>SUM(Q33:T33)</f>
        <v>0</v>
      </c>
      <c r="V33" s="155"/>
      <c r="W33" s="232">
        <f>O33+U33</f>
        <v>339</v>
      </c>
      <c r="X33" s="403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9"/>
    </row>
    <row r="34" spans="1:38" ht="30" hidden="1" customHeight="1" x14ac:dyDescent="0.25">
      <c r="A34" s="79">
        <v>11</v>
      </c>
      <c r="B34" s="221" t="s">
        <v>297</v>
      </c>
      <c r="C34" s="121" t="s">
        <v>298</v>
      </c>
      <c r="D34" s="415"/>
      <c r="E34" s="415"/>
      <c r="F34" s="158">
        <f>1709.232</f>
        <v>1709.232</v>
      </c>
      <c r="G34" s="415"/>
      <c r="H34" s="612"/>
      <c r="I34" s="415"/>
      <c r="J34" s="415"/>
      <c r="K34" s="415"/>
      <c r="L34" s="415"/>
      <c r="M34" s="415"/>
      <c r="N34" s="415"/>
      <c r="O34" s="158">
        <f>SUM(D34:N34)</f>
        <v>1709.232</v>
      </c>
      <c r="P34" s="415"/>
      <c r="Q34" s="415"/>
      <c r="R34" s="415"/>
      <c r="S34" s="415"/>
      <c r="T34" s="415"/>
      <c r="U34" s="415">
        <f>SUM(Q34:T34)</f>
        <v>0</v>
      </c>
      <c r="V34" s="155"/>
      <c r="W34" s="232">
        <f>O34+U34</f>
        <v>1709.232</v>
      </c>
      <c r="X34" s="403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9"/>
    </row>
    <row r="35" spans="1:38" ht="30" hidden="1" customHeight="1" x14ac:dyDescent="0.25">
      <c r="A35" s="79" t="s">
        <v>89</v>
      </c>
      <c r="B35" s="559" t="s">
        <v>292</v>
      </c>
      <c r="C35" s="40" t="s">
        <v>287</v>
      </c>
      <c r="D35" s="415"/>
      <c r="E35" s="415"/>
      <c r="F35" s="612"/>
      <c r="G35" s="415"/>
      <c r="H35" s="415"/>
      <c r="I35" s="415"/>
      <c r="J35" s="415"/>
      <c r="K35" s="415"/>
      <c r="L35" s="415"/>
      <c r="M35" s="415"/>
      <c r="N35" s="415"/>
      <c r="O35" s="415">
        <f>SUM(D35:N35)</f>
        <v>0</v>
      </c>
      <c r="P35" s="415"/>
      <c r="Q35" s="415"/>
      <c r="R35" s="158"/>
      <c r="S35" s="415"/>
      <c r="T35" s="415"/>
      <c r="U35" s="158">
        <f>SUM(Q35:T35)</f>
        <v>0</v>
      </c>
      <c r="V35" s="155"/>
      <c r="W35" s="232">
        <f>O35+U35</f>
        <v>0</v>
      </c>
      <c r="X35" s="403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9"/>
    </row>
    <row r="36" spans="1:38" ht="30" hidden="1" customHeight="1" x14ac:dyDescent="0.25">
      <c r="A36" s="79">
        <v>12</v>
      </c>
      <c r="B36" s="559" t="s">
        <v>293</v>
      </c>
      <c r="C36" s="28" t="s">
        <v>294</v>
      </c>
      <c r="D36" s="415"/>
      <c r="E36" s="415"/>
      <c r="F36" s="415"/>
      <c r="G36" s="415"/>
      <c r="H36" s="415">
        <f>383</f>
        <v>383</v>
      </c>
      <c r="I36" s="415"/>
      <c r="J36" s="415"/>
      <c r="K36" s="415"/>
      <c r="L36" s="415"/>
      <c r="M36" s="415"/>
      <c r="N36" s="415"/>
      <c r="O36" s="415">
        <f>SUM(D36:N36)</f>
        <v>383</v>
      </c>
      <c r="P36" s="415"/>
      <c r="Q36" s="415"/>
      <c r="R36" s="415"/>
      <c r="S36" s="415"/>
      <c r="T36" s="415"/>
      <c r="U36" s="415">
        <f>SUM(Q36:T36)</f>
        <v>0</v>
      </c>
      <c r="V36" s="155"/>
      <c r="W36" s="232">
        <f>O36+U36</f>
        <v>383</v>
      </c>
      <c r="X36" s="403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9"/>
    </row>
    <row r="37" spans="1:38" ht="30" hidden="1" customHeight="1" x14ac:dyDescent="0.25">
      <c r="A37" s="79" t="s">
        <v>89</v>
      </c>
      <c r="B37" s="221"/>
      <c r="C37" s="28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>
        <f t="shared" ref="O37:O42" si="5">SUM(D37:N37)</f>
        <v>0</v>
      </c>
      <c r="P37" s="415"/>
      <c r="Q37" s="415"/>
      <c r="R37" s="415"/>
      <c r="S37" s="415"/>
      <c r="T37" s="415"/>
      <c r="U37" s="415">
        <f t="shared" ref="U37:U42" si="6">SUM(Q37:T37)</f>
        <v>0</v>
      </c>
      <c r="V37" s="155"/>
      <c r="W37" s="232">
        <f t="shared" ref="W37:W42" si="7">O37+U37</f>
        <v>0</v>
      </c>
      <c r="X37" s="403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9"/>
    </row>
    <row r="38" spans="1:38" ht="30" hidden="1" customHeight="1" x14ac:dyDescent="0.25">
      <c r="A38" s="79" t="s">
        <v>89</v>
      </c>
      <c r="B38" s="221"/>
      <c r="C38" s="28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>
        <f t="shared" si="5"/>
        <v>0</v>
      </c>
      <c r="P38" s="415"/>
      <c r="Q38" s="415"/>
      <c r="R38" s="415"/>
      <c r="S38" s="415"/>
      <c r="T38" s="415"/>
      <c r="U38" s="415">
        <f t="shared" si="6"/>
        <v>0</v>
      </c>
      <c r="V38" s="155"/>
      <c r="W38" s="232">
        <f t="shared" si="7"/>
        <v>0</v>
      </c>
      <c r="X38" s="403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9"/>
    </row>
    <row r="39" spans="1:38" ht="30" hidden="1" customHeight="1" x14ac:dyDescent="0.25">
      <c r="A39" s="79"/>
      <c r="B39" s="134"/>
      <c r="C39" s="28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>
        <f t="shared" si="5"/>
        <v>0</v>
      </c>
      <c r="P39" s="415"/>
      <c r="Q39" s="415"/>
      <c r="R39" s="415"/>
      <c r="S39" s="415"/>
      <c r="T39" s="415"/>
      <c r="U39" s="415">
        <f t="shared" si="6"/>
        <v>0</v>
      </c>
      <c r="V39" s="155"/>
      <c r="W39" s="232">
        <f t="shared" si="7"/>
        <v>0</v>
      </c>
      <c r="X39" s="403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/>
    </row>
    <row r="40" spans="1:38" ht="30" hidden="1" customHeight="1" x14ac:dyDescent="0.25">
      <c r="A40" s="79"/>
      <c r="B40" s="134"/>
      <c r="C40" s="28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>
        <f t="shared" si="5"/>
        <v>0</v>
      </c>
      <c r="P40" s="415"/>
      <c r="Q40" s="415"/>
      <c r="R40" s="415"/>
      <c r="S40" s="415"/>
      <c r="T40" s="415"/>
      <c r="U40" s="415">
        <f t="shared" si="6"/>
        <v>0</v>
      </c>
      <c r="V40" s="155"/>
      <c r="W40" s="232">
        <f t="shared" si="7"/>
        <v>0</v>
      </c>
      <c r="X40" s="403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9"/>
    </row>
    <row r="41" spans="1:38" ht="30" hidden="1" customHeight="1" x14ac:dyDescent="0.25">
      <c r="A41" s="79"/>
      <c r="B41" s="134"/>
      <c r="C41" s="28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>
        <f t="shared" si="5"/>
        <v>0</v>
      </c>
      <c r="P41" s="415"/>
      <c r="Q41" s="415"/>
      <c r="R41" s="415"/>
      <c r="S41" s="415"/>
      <c r="T41" s="415"/>
      <c r="U41" s="415">
        <f t="shared" si="6"/>
        <v>0</v>
      </c>
      <c r="V41" s="155"/>
      <c r="W41" s="232">
        <f t="shared" si="7"/>
        <v>0</v>
      </c>
      <c r="X41" s="403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9"/>
    </row>
    <row r="42" spans="1:38" ht="30" hidden="1" customHeight="1" x14ac:dyDescent="0.25">
      <c r="A42" s="79"/>
      <c r="B42" s="134"/>
      <c r="C42" s="28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>
        <f t="shared" si="5"/>
        <v>0</v>
      </c>
      <c r="P42" s="415"/>
      <c r="Q42" s="415"/>
      <c r="R42" s="415"/>
      <c r="S42" s="415"/>
      <c r="T42" s="415"/>
      <c r="U42" s="415">
        <f t="shared" si="6"/>
        <v>0</v>
      </c>
      <c r="V42" s="155"/>
      <c r="W42" s="232">
        <f t="shared" si="7"/>
        <v>0</v>
      </c>
      <c r="X42" s="403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/>
    </row>
    <row r="43" spans="1:38" ht="9.9499999999999993" hidden="1" customHeight="1" x14ac:dyDescent="0.25">
      <c r="A43" s="79"/>
      <c r="B43" s="134"/>
      <c r="C43" s="28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155"/>
      <c r="W43" s="232"/>
      <c r="X43" s="403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</row>
    <row r="44" spans="1:38" ht="30" hidden="1" customHeight="1" x14ac:dyDescent="0.25">
      <c r="A44" s="205" t="s">
        <v>65</v>
      </c>
      <c r="B44" s="201"/>
      <c r="C44" s="206" t="s">
        <v>63</v>
      </c>
      <c r="D44" s="560"/>
      <c r="E44" s="415">
        <f>SUM(E32:E43)</f>
        <v>0</v>
      </c>
      <c r="F44" s="415">
        <f t="shared" ref="F44:K44" si="8">SUM(F32:F43)</f>
        <v>19445.613000000001</v>
      </c>
      <c r="G44" s="415">
        <f t="shared" si="8"/>
        <v>0</v>
      </c>
      <c r="H44" s="415">
        <f t="shared" si="8"/>
        <v>722</v>
      </c>
      <c r="I44" s="415">
        <f t="shared" si="8"/>
        <v>0</v>
      </c>
      <c r="J44" s="415">
        <f t="shared" si="8"/>
        <v>0</v>
      </c>
      <c r="K44" s="415">
        <f t="shared" si="8"/>
        <v>0</v>
      </c>
      <c r="L44" s="415">
        <f t="shared" ref="L44:U44" si="9">SUM(L32:L43)</f>
        <v>0</v>
      </c>
      <c r="M44" s="415">
        <f t="shared" si="9"/>
        <v>0</v>
      </c>
      <c r="N44" s="415">
        <f t="shared" si="9"/>
        <v>0</v>
      </c>
      <c r="O44" s="415">
        <f t="shared" si="9"/>
        <v>20167.613000000001</v>
      </c>
      <c r="P44" s="415"/>
      <c r="Q44" s="415"/>
      <c r="R44" s="415"/>
      <c r="S44" s="415">
        <f t="shared" si="9"/>
        <v>0</v>
      </c>
      <c r="T44" s="415">
        <f t="shared" si="9"/>
        <v>0</v>
      </c>
      <c r="U44" s="415">
        <f t="shared" si="9"/>
        <v>0</v>
      </c>
      <c r="V44" s="203"/>
      <c r="W44" s="233">
        <f>O44+U44</f>
        <v>20167.613000000001</v>
      </c>
      <c r="X44" s="403">
        <f>SUM(X32:X43)</f>
        <v>0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</row>
    <row r="45" spans="1:38" ht="20.100000000000001" hidden="1" customHeight="1" thickBot="1" x14ac:dyDescent="0.3">
      <c r="A45" s="67"/>
      <c r="B45" s="114"/>
      <c r="C45" s="28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139"/>
      <c r="W45" s="234"/>
      <c r="X45" s="203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/>
    </row>
    <row r="46" spans="1:38" ht="24.95" hidden="1" customHeight="1" thickTop="1" thickBot="1" x14ac:dyDescent="0.3">
      <c r="A46" s="35"/>
      <c r="B46" s="36"/>
      <c r="C46" s="43" t="s">
        <v>66</v>
      </c>
      <c r="D46" s="37">
        <f t="shared" ref="D46:U46" si="10">D30+D44</f>
        <v>0</v>
      </c>
      <c r="E46" s="37">
        <f t="shared" si="10"/>
        <v>0</v>
      </c>
      <c r="F46" s="37">
        <f t="shared" si="10"/>
        <v>19445.613000000001</v>
      </c>
      <c r="G46" s="37">
        <f t="shared" si="10"/>
        <v>0</v>
      </c>
      <c r="H46" s="37">
        <f t="shared" si="10"/>
        <v>722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37">
        <f t="shared" si="10"/>
        <v>0</v>
      </c>
      <c r="N46" s="37">
        <f t="shared" si="10"/>
        <v>0</v>
      </c>
      <c r="O46" s="37">
        <f t="shared" si="10"/>
        <v>20167.613000000001</v>
      </c>
      <c r="P46" s="37"/>
      <c r="Q46" s="37">
        <f>Q30+Q44</f>
        <v>0</v>
      </c>
      <c r="R46" s="37">
        <f>R30+R44</f>
        <v>0</v>
      </c>
      <c r="S46" s="37">
        <f t="shared" si="10"/>
        <v>0</v>
      </c>
      <c r="T46" s="37">
        <f t="shared" si="10"/>
        <v>0</v>
      </c>
      <c r="U46" s="37">
        <f t="shared" si="10"/>
        <v>0</v>
      </c>
      <c r="V46" s="204"/>
      <c r="W46" s="235">
        <f>W30+W44</f>
        <v>20167.613000000001</v>
      </c>
      <c r="X46" s="204">
        <f>X30+X44</f>
        <v>42279.567999999999</v>
      </c>
    </row>
    <row r="47" spans="1:38" ht="24.95" hidden="1" customHeight="1" thickTop="1" thickBot="1" x14ac:dyDescent="0.3">
      <c r="A47" s="35"/>
      <c r="B47" s="36"/>
      <c r="C47" s="43" t="s">
        <v>124</v>
      </c>
      <c r="D47" s="199">
        <f t="shared" ref="D47:O47" si="11">D16+D46</f>
        <v>0</v>
      </c>
      <c r="E47" s="199">
        <f t="shared" si="11"/>
        <v>0</v>
      </c>
      <c r="F47" s="199">
        <f t="shared" si="11"/>
        <v>19445.613000000001</v>
      </c>
      <c r="G47" s="199">
        <f t="shared" si="11"/>
        <v>4500</v>
      </c>
      <c r="H47" s="199">
        <f t="shared" si="11"/>
        <v>10681</v>
      </c>
      <c r="I47" s="199">
        <f t="shared" si="11"/>
        <v>0</v>
      </c>
      <c r="J47" s="199">
        <f t="shared" si="11"/>
        <v>0</v>
      </c>
      <c r="K47" s="199">
        <f t="shared" si="11"/>
        <v>0</v>
      </c>
      <c r="L47" s="199">
        <f t="shared" si="11"/>
        <v>50</v>
      </c>
      <c r="M47" s="199">
        <f t="shared" si="11"/>
        <v>1200</v>
      </c>
      <c r="N47" s="37">
        <f t="shared" si="11"/>
        <v>0</v>
      </c>
      <c r="O47" s="37">
        <f t="shared" si="11"/>
        <v>35876.612999999998</v>
      </c>
      <c r="P47" s="37"/>
      <c r="Q47" s="37">
        <f>Q16+Q46</f>
        <v>0</v>
      </c>
      <c r="R47" s="37">
        <f>R16+R46</f>
        <v>0</v>
      </c>
      <c r="S47" s="37">
        <f>S16+S46</f>
        <v>0</v>
      </c>
      <c r="T47" s="37">
        <f>T16+T46</f>
        <v>0</v>
      </c>
      <c r="U47" s="37">
        <f>U16+U46</f>
        <v>0</v>
      </c>
      <c r="V47" s="37"/>
      <c r="W47" s="235">
        <f>O47+U47</f>
        <v>35876.612999999998</v>
      </c>
      <c r="X47" s="266">
        <f>X16+X46</f>
        <v>3481799.568</v>
      </c>
    </row>
    <row r="48" spans="1:38" ht="15" hidden="1" customHeight="1" thickTop="1" thickBot="1" x14ac:dyDescent="0.3">
      <c r="A48" s="35"/>
      <c r="B48" s="36"/>
      <c r="C48" s="43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37"/>
      <c r="O48" s="37"/>
      <c r="P48" s="37"/>
      <c r="Q48" s="37"/>
      <c r="R48" s="37"/>
      <c r="S48" s="37"/>
      <c r="T48" s="37"/>
      <c r="U48" s="37"/>
      <c r="V48" s="37"/>
      <c r="W48" s="235"/>
      <c r="X48" s="266"/>
    </row>
    <row r="49" spans="1:24" ht="24.95" hidden="1" customHeight="1" thickTop="1" thickBot="1" x14ac:dyDescent="0.3">
      <c r="A49" s="35"/>
      <c r="B49" s="36"/>
      <c r="C49" s="288" t="s">
        <v>199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37"/>
      <c r="O49" s="37">
        <f>SUM(D49:N49)</f>
        <v>0</v>
      </c>
      <c r="P49" s="37"/>
      <c r="Q49" s="37"/>
      <c r="R49" s="625">
        <v>260627.83900000001</v>
      </c>
      <c r="S49" s="587"/>
      <c r="T49" s="37"/>
      <c r="U49" s="626">
        <f>SUM(Q49:T49)</f>
        <v>260627.83900000001</v>
      </c>
      <c r="V49" s="37"/>
      <c r="W49" s="235">
        <f>O49+U49</f>
        <v>260627.83900000001</v>
      </c>
      <c r="X49" s="266">
        <v>26424</v>
      </c>
    </row>
    <row r="50" spans="1:24" ht="15" hidden="1" customHeight="1" thickTop="1" thickBot="1" x14ac:dyDescent="0.3">
      <c r="A50" s="35"/>
      <c r="B50" s="36"/>
      <c r="C50" s="288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37"/>
      <c r="O50" s="37"/>
      <c r="P50" s="37"/>
      <c r="Q50" s="37"/>
      <c r="R50" s="37"/>
      <c r="S50" s="37"/>
      <c r="T50" s="37"/>
      <c r="U50" s="37"/>
      <c r="V50" s="37"/>
      <c r="W50" s="235"/>
      <c r="X50" s="266"/>
    </row>
    <row r="51" spans="1:24" ht="24.95" hidden="1" customHeight="1" thickTop="1" thickBot="1" x14ac:dyDescent="0.3">
      <c r="A51" s="35"/>
      <c r="B51" s="36"/>
      <c r="C51" s="288" t="s">
        <v>61</v>
      </c>
      <c r="D51" s="199"/>
      <c r="E51" s="199"/>
      <c r="F51" s="199"/>
      <c r="G51" s="199"/>
      <c r="H51" s="199"/>
      <c r="I51" s="199"/>
      <c r="J51" s="199"/>
      <c r="K51" s="199"/>
      <c r="L51" s="199"/>
      <c r="M51" s="37"/>
      <c r="N51" s="37"/>
      <c r="O51" s="37">
        <f>SUM(D51:N51)</f>
        <v>0</v>
      </c>
      <c r="P51" s="37"/>
      <c r="Q51" s="37"/>
      <c r="R51" s="37"/>
      <c r="S51" s="37"/>
      <c r="T51" s="37"/>
      <c r="U51" s="37">
        <f>SUM(Q51:T51)</f>
        <v>0</v>
      </c>
      <c r="V51" s="199"/>
      <c r="W51" s="235">
        <f>O51+U51</f>
        <v>0</v>
      </c>
      <c r="X51" s="266"/>
    </row>
    <row r="52" spans="1:24" ht="15" hidden="1" customHeight="1" thickTop="1" thickBot="1" x14ac:dyDescent="0.3">
      <c r="A52" s="35"/>
      <c r="B52" s="36"/>
      <c r="C52" s="288"/>
      <c r="D52" s="199"/>
      <c r="E52" s="199"/>
      <c r="F52" s="199"/>
      <c r="G52" s="199"/>
      <c r="H52" s="199"/>
      <c r="I52" s="199"/>
      <c r="J52" s="199"/>
      <c r="K52" s="199"/>
      <c r="L52" s="199"/>
      <c r="M52" s="37"/>
      <c r="N52" s="37"/>
      <c r="O52" s="37"/>
      <c r="P52" s="37"/>
      <c r="Q52" s="37"/>
      <c r="R52" s="37"/>
      <c r="S52" s="37"/>
      <c r="T52" s="37"/>
      <c r="U52" s="37"/>
      <c r="V52" s="199"/>
      <c r="W52" s="235"/>
      <c r="X52" s="266"/>
    </row>
    <row r="53" spans="1:24" ht="30" hidden="1" customHeight="1" thickTop="1" thickBot="1" x14ac:dyDescent="0.3">
      <c r="A53" s="35"/>
      <c r="B53" s="219" t="s">
        <v>144</v>
      </c>
      <c r="C53" s="43" t="s">
        <v>200</v>
      </c>
      <c r="D53" s="37">
        <f t="shared" ref="D53:U53" si="12">D47+D49+D51</f>
        <v>0</v>
      </c>
      <c r="E53" s="37">
        <f t="shared" si="12"/>
        <v>0</v>
      </c>
      <c r="F53" s="37">
        <f t="shared" si="12"/>
        <v>19445.613000000001</v>
      </c>
      <c r="G53" s="37">
        <f t="shared" si="12"/>
        <v>4500</v>
      </c>
      <c r="H53" s="37">
        <f t="shared" si="12"/>
        <v>10681</v>
      </c>
      <c r="I53" s="37">
        <f t="shared" si="12"/>
        <v>0</v>
      </c>
      <c r="J53" s="37">
        <f t="shared" si="12"/>
        <v>0</v>
      </c>
      <c r="K53" s="37">
        <f t="shared" si="12"/>
        <v>0</v>
      </c>
      <c r="L53" s="37">
        <f t="shared" si="12"/>
        <v>50</v>
      </c>
      <c r="M53" s="37">
        <f t="shared" si="12"/>
        <v>1200</v>
      </c>
      <c r="N53" s="37">
        <f t="shared" si="12"/>
        <v>0</v>
      </c>
      <c r="O53" s="37">
        <f t="shared" si="12"/>
        <v>35876.612999999998</v>
      </c>
      <c r="P53" s="37"/>
      <c r="Q53" s="37">
        <f t="shared" si="12"/>
        <v>0</v>
      </c>
      <c r="R53" s="37">
        <f t="shared" si="12"/>
        <v>260627.83900000001</v>
      </c>
      <c r="S53" s="37">
        <f t="shared" si="12"/>
        <v>0</v>
      </c>
      <c r="T53" s="37">
        <f t="shared" si="12"/>
        <v>0</v>
      </c>
      <c r="U53" s="37">
        <f t="shared" si="12"/>
        <v>260627.83900000001</v>
      </c>
      <c r="V53" s="199"/>
      <c r="W53" s="235">
        <f>W47+W49+W51</f>
        <v>296504.45199999999</v>
      </c>
      <c r="X53" s="266">
        <f>X47+X49</f>
        <v>3508223.568</v>
      </c>
    </row>
    <row r="54" spans="1:24" ht="24.95" hidden="1" customHeight="1" thickTop="1" x14ac:dyDescent="0.25">
      <c r="A54" s="22"/>
      <c r="B54" s="23"/>
      <c r="C54" s="24" t="s">
        <v>18</v>
      </c>
      <c r="D54" s="25">
        <f t="shared" ref="D54:L54" si="13">D53</f>
        <v>0</v>
      </c>
      <c r="E54" s="25">
        <f t="shared" si="13"/>
        <v>0</v>
      </c>
      <c r="F54" s="25">
        <f t="shared" si="13"/>
        <v>19445.613000000001</v>
      </c>
      <c r="G54" s="25">
        <f t="shared" si="13"/>
        <v>4500</v>
      </c>
      <c r="H54" s="25">
        <f t="shared" si="13"/>
        <v>10681</v>
      </c>
      <c r="I54" s="25">
        <f t="shared" si="13"/>
        <v>0</v>
      </c>
      <c r="J54" s="25">
        <f t="shared" si="13"/>
        <v>0</v>
      </c>
      <c r="K54" s="25">
        <f t="shared" si="13"/>
        <v>0</v>
      </c>
      <c r="L54" s="25">
        <f t="shared" si="13"/>
        <v>50</v>
      </c>
      <c r="M54" s="25">
        <f t="shared" ref="M54:U54" si="14">M53</f>
        <v>1200</v>
      </c>
      <c r="N54" s="25">
        <f t="shared" si="14"/>
        <v>0</v>
      </c>
      <c r="O54" s="25">
        <f t="shared" si="14"/>
        <v>35876.612999999998</v>
      </c>
      <c r="P54" s="25"/>
      <c r="Q54" s="25">
        <f>Q53</f>
        <v>0</v>
      </c>
      <c r="R54" s="25">
        <f>R53</f>
        <v>260627.83900000001</v>
      </c>
      <c r="S54" s="25">
        <f t="shared" si="14"/>
        <v>0</v>
      </c>
      <c r="T54" s="25">
        <f t="shared" si="14"/>
        <v>0</v>
      </c>
      <c r="U54" s="25">
        <f t="shared" si="14"/>
        <v>260627.83900000001</v>
      </c>
      <c r="V54" s="25"/>
      <c r="W54" s="236">
        <f>O54+U54</f>
        <v>296504.45199999999</v>
      </c>
      <c r="X54" s="137">
        <f>X53</f>
        <v>3508223.568</v>
      </c>
    </row>
    <row r="55" spans="1:24" ht="24.95" hidden="1" customHeight="1" x14ac:dyDescent="0.25">
      <c r="A55" s="465"/>
      <c r="B55" s="466"/>
      <c r="C55" s="467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9"/>
      <c r="W55" s="468"/>
      <c r="X55" s="760"/>
    </row>
    <row r="56" spans="1:24" ht="30" hidden="1" customHeight="1" x14ac:dyDescent="0.2">
      <c r="A56" s="39">
        <v>1</v>
      </c>
      <c r="B56" s="176" t="s">
        <v>339</v>
      </c>
      <c r="C56" s="33" t="s">
        <v>337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469">
        <f t="shared" ref="O56:O71" si="15">SUM(D56:N56)</f>
        <v>0</v>
      </c>
      <c r="P56" s="298"/>
      <c r="Q56" s="298"/>
      <c r="R56" s="298"/>
      <c r="S56" s="298"/>
      <c r="T56" s="298"/>
      <c r="U56" s="469">
        <f t="shared" ref="U56:U70" si="16">SUM(Q56:T56)</f>
        <v>0</v>
      </c>
      <c r="V56" s="299"/>
      <c r="W56" s="242">
        <f t="shared" ref="W56:W70" si="17">O56+U56</f>
        <v>0</v>
      </c>
      <c r="X56" s="398">
        <f>-455</f>
        <v>-455</v>
      </c>
    </row>
    <row r="57" spans="1:24" ht="30" hidden="1" customHeight="1" x14ac:dyDescent="0.2">
      <c r="A57" s="39">
        <v>2</v>
      </c>
      <c r="B57" s="176" t="s">
        <v>369</v>
      </c>
      <c r="C57" s="40" t="s">
        <v>370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>
        <f t="shared" si="15"/>
        <v>0</v>
      </c>
      <c r="P57" s="226"/>
      <c r="Q57" s="226"/>
      <c r="R57" s="226"/>
      <c r="S57" s="226"/>
      <c r="T57" s="226"/>
      <c r="U57" s="226">
        <f t="shared" si="16"/>
        <v>0</v>
      </c>
      <c r="V57" s="227"/>
      <c r="W57" s="242">
        <f t="shared" si="17"/>
        <v>0</v>
      </c>
      <c r="X57" s="398">
        <v>620.08500000000004</v>
      </c>
    </row>
    <row r="58" spans="1:24" ht="30" hidden="1" customHeight="1" x14ac:dyDescent="0.2">
      <c r="A58" s="39">
        <v>3</v>
      </c>
      <c r="B58" s="650" t="s">
        <v>374</v>
      </c>
      <c r="C58" s="40" t="s">
        <v>373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>
        <f t="shared" si="15"/>
        <v>0</v>
      </c>
      <c r="P58" s="226"/>
      <c r="Q58" s="226"/>
      <c r="R58" s="226"/>
      <c r="S58" s="226"/>
      <c r="T58" s="226"/>
      <c r="U58" s="226">
        <f t="shared" si="16"/>
        <v>0</v>
      </c>
      <c r="V58" s="227"/>
      <c r="W58" s="242">
        <f t="shared" si="17"/>
        <v>0</v>
      </c>
      <c r="X58" s="398">
        <f>4620</f>
        <v>4620</v>
      </c>
    </row>
    <row r="59" spans="1:24" ht="30" hidden="1" customHeight="1" x14ac:dyDescent="0.2">
      <c r="A59" s="39">
        <v>4</v>
      </c>
      <c r="B59" s="176" t="s">
        <v>389</v>
      </c>
      <c r="C59" s="40" t="s">
        <v>388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>
        <f t="shared" si="15"/>
        <v>0</v>
      </c>
      <c r="P59" s="226"/>
      <c r="Q59" s="226"/>
      <c r="R59" s="226"/>
      <c r="S59" s="226"/>
      <c r="T59" s="226"/>
      <c r="U59" s="226">
        <f t="shared" si="16"/>
        <v>0</v>
      </c>
      <c r="V59" s="227"/>
      <c r="W59" s="242">
        <f t="shared" si="17"/>
        <v>0</v>
      </c>
      <c r="X59" s="398">
        <f>18969</f>
        <v>18969</v>
      </c>
    </row>
    <row r="60" spans="1:24" ht="30" hidden="1" customHeight="1" x14ac:dyDescent="0.2">
      <c r="A60" s="39">
        <v>5</v>
      </c>
      <c r="B60" s="176" t="s">
        <v>394</v>
      </c>
      <c r="C60" s="40" t="s">
        <v>393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>
        <f t="shared" si="15"/>
        <v>0</v>
      </c>
      <c r="P60" s="226"/>
      <c r="Q60" s="226"/>
      <c r="R60" s="226"/>
      <c r="S60" s="226"/>
      <c r="T60" s="226"/>
      <c r="U60" s="226">
        <f t="shared" si="16"/>
        <v>0</v>
      </c>
      <c r="V60" s="227"/>
      <c r="W60" s="242">
        <f t="shared" si="17"/>
        <v>0</v>
      </c>
      <c r="X60" s="398">
        <f>18415</f>
        <v>18415</v>
      </c>
    </row>
    <row r="61" spans="1:24" ht="30" hidden="1" customHeight="1" x14ac:dyDescent="0.2">
      <c r="A61" s="39">
        <v>6</v>
      </c>
      <c r="B61" s="176" t="s">
        <v>397</v>
      </c>
      <c r="C61" s="40" t="s">
        <v>396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>
        <f t="shared" si="15"/>
        <v>0</v>
      </c>
      <c r="P61" s="226"/>
      <c r="Q61" s="226"/>
      <c r="R61" s="226"/>
      <c r="S61" s="226"/>
      <c r="T61" s="226"/>
      <c r="U61" s="226">
        <f t="shared" si="16"/>
        <v>0</v>
      </c>
      <c r="V61" s="227"/>
      <c r="W61" s="242">
        <f t="shared" si="17"/>
        <v>0</v>
      </c>
      <c r="X61" s="398">
        <f>12447</f>
        <v>12447</v>
      </c>
    </row>
    <row r="62" spans="1:24" ht="30" hidden="1" customHeight="1" x14ac:dyDescent="0.2">
      <c r="A62" s="39">
        <v>7</v>
      </c>
      <c r="B62" s="176" t="s">
        <v>414</v>
      </c>
      <c r="C62" s="40" t="s">
        <v>413</v>
      </c>
      <c r="D62" s="226"/>
      <c r="E62" s="226"/>
      <c r="F62" s="226"/>
      <c r="G62" s="226"/>
      <c r="H62" s="226"/>
      <c r="I62" s="226"/>
      <c r="J62" s="226"/>
      <c r="K62" s="226"/>
      <c r="L62" s="226">
        <f>2010</f>
        <v>2010</v>
      </c>
      <c r="M62" s="226"/>
      <c r="N62" s="226"/>
      <c r="O62" s="226">
        <f t="shared" si="15"/>
        <v>2010</v>
      </c>
      <c r="P62" s="226"/>
      <c r="Q62" s="226"/>
      <c r="R62" s="226"/>
      <c r="S62" s="226"/>
      <c r="T62" s="226"/>
      <c r="U62" s="226">
        <f t="shared" si="16"/>
        <v>0</v>
      </c>
      <c r="V62" s="227"/>
      <c r="W62" s="242">
        <f t="shared" si="17"/>
        <v>2010</v>
      </c>
      <c r="X62" s="398">
        <f>-2010</f>
        <v>-2010</v>
      </c>
    </row>
    <row r="63" spans="1:24" ht="30" hidden="1" customHeight="1" x14ac:dyDescent="0.2">
      <c r="A63" s="39">
        <v>8</v>
      </c>
      <c r="B63" s="176" t="s">
        <v>431</v>
      </c>
      <c r="C63" s="40" t="s">
        <v>430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>
        <f t="shared" si="15"/>
        <v>0</v>
      </c>
      <c r="P63" s="226"/>
      <c r="Q63" s="226"/>
      <c r="R63" s="226"/>
      <c r="S63" s="226"/>
      <c r="T63" s="226"/>
      <c r="U63" s="226">
        <f t="shared" si="16"/>
        <v>0</v>
      </c>
      <c r="V63" s="227"/>
      <c r="W63" s="242">
        <f t="shared" si="17"/>
        <v>0</v>
      </c>
      <c r="X63" s="398">
        <f>17044</f>
        <v>17044</v>
      </c>
    </row>
    <row r="64" spans="1:24" ht="30" hidden="1" customHeight="1" x14ac:dyDescent="0.2">
      <c r="A64" s="39">
        <v>9</v>
      </c>
      <c r="B64" s="176" t="s">
        <v>433</v>
      </c>
      <c r="C64" s="40" t="s">
        <v>432</v>
      </c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>
        <f t="shared" si="15"/>
        <v>0</v>
      </c>
      <c r="P64" s="226"/>
      <c r="Q64" s="226"/>
      <c r="R64" s="226"/>
      <c r="S64" s="226"/>
      <c r="T64" s="226"/>
      <c r="U64" s="226">
        <f t="shared" si="16"/>
        <v>0</v>
      </c>
      <c r="V64" s="227"/>
      <c r="W64" s="242">
        <f t="shared" si="17"/>
        <v>0</v>
      </c>
      <c r="X64" s="398">
        <f>3126</f>
        <v>3126</v>
      </c>
    </row>
    <row r="65" spans="1:24" ht="30" hidden="1" customHeight="1" x14ac:dyDescent="0.2">
      <c r="A65" s="39">
        <v>10</v>
      </c>
      <c r="B65" s="654" t="s">
        <v>446</v>
      </c>
      <c r="C65" s="40" t="s">
        <v>445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>
        <f t="shared" si="15"/>
        <v>0</v>
      </c>
      <c r="P65" s="226"/>
      <c r="Q65" s="226"/>
      <c r="R65" s="226"/>
      <c r="S65" s="226"/>
      <c r="T65" s="226"/>
      <c r="U65" s="226">
        <f t="shared" si="16"/>
        <v>0</v>
      </c>
      <c r="V65" s="227"/>
      <c r="W65" s="242">
        <f t="shared" si="17"/>
        <v>0</v>
      </c>
      <c r="X65" s="398">
        <f>586.268</f>
        <v>586.26800000000003</v>
      </c>
    </row>
    <row r="66" spans="1:24" ht="24.95" hidden="1" customHeight="1" x14ac:dyDescent="0.2">
      <c r="A66" s="39"/>
      <c r="B66" s="297"/>
      <c r="C66" s="28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>
        <f t="shared" si="15"/>
        <v>0</v>
      </c>
      <c r="P66" s="226"/>
      <c r="Q66" s="226"/>
      <c r="R66" s="226"/>
      <c r="S66" s="226"/>
      <c r="T66" s="226"/>
      <c r="U66" s="226">
        <f t="shared" si="16"/>
        <v>0</v>
      </c>
      <c r="V66" s="227"/>
      <c r="W66" s="242">
        <f t="shared" si="17"/>
        <v>0</v>
      </c>
      <c r="X66" s="761"/>
    </row>
    <row r="67" spans="1:24" ht="24.95" hidden="1" customHeight="1" x14ac:dyDescent="0.2">
      <c r="A67" s="39"/>
      <c r="B67" s="74"/>
      <c r="C67" s="28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>
        <f t="shared" si="15"/>
        <v>0</v>
      </c>
      <c r="P67" s="226"/>
      <c r="Q67" s="226"/>
      <c r="R67" s="226"/>
      <c r="S67" s="226"/>
      <c r="T67" s="226"/>
      <c r="U67" s="226">
        <f t="shared" si="16"/>
        <v>0</v>
      </c>
      <c r="V67" s="227"/>
      <c r="W67" s="242">
        <f t="shared" si="17"/>
        <v>0</v>
      </c>
      <c r="X67" s="761"/>
    </row>
    <row r="68" spans="1:24" ht="24.95" hidden="1" customHeight="1" x14ac:dyDescent="0.2">
      <c r="A68" s="39"/>
      <c r="B68" s="74"/>
      <c r="C68" s="40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>
        <f t="shared" si="15"/>
        <v>0</v>
      </c>
      <c r="P68" s="226"/>
      <c r="Q68" s="226"/>
      <c r="R68" s="226"/>
      <c r="S68" s="226"/>
      <c r="T68" s="226"/>
      <c r="U68" s="226">
        <f t="shared" si="16"/>
        <v>0</v>
      </c>
      <c r="V68" s="227"/>
      <c r="W68" s="242">
        <f t="shared" si="17"/>
        <v>0</v>
      </c>
      <c r="X68" s="761"/>
    </row>
    <row r="69" spans="1:24" ht="24.95" hidden="1" customHeight="1" x14ac:dyDescent="0.2">
      <c r="A69" s="39"/>
      <c r="B69" s="27"/>
      <c r="C69" s="40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>
        <f t="shared" si="15"/>
        <v>0</v>
      </c>
      <c r="P69" s="226"/>
      <c r="Q69" s="226"/>
      <c r="R69" s="226"/>
      <c r="S69" s="226"/>
      <c r="T69" s="226"/>
      <c r="U69" s="226">
        <f t="shared" si="16"/>
        <v>0</v>
      </c>
      <c r="V69" s="227"/>
      <c r="W69" s="242">
        <f t="shared" si="17"/>
        <v>0</v>
      </c>
      <c r="X69" s="761"/>
    </row>
    <row r="70" spans="1:24" ht="24.95" hidden="1" customHeight="1" x14ac:dyDescent="0.2">
      <c r="A70" s="39"/>
      <c r="B70" s="27"/>
      <c r="C70" s="40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>
        <f t="shared" si="15"/>
        <v>0</v>
      </c>
      <c r="P70" s="226"/>
      <c r="Q70" s="226"/>
      <c r="R70" s="226"/>
      <c r="S70" s="226"/>
      <c r="T70" s="226"/>
      <c r="U70" s="226">
        <f t="shared" si="16"/>
        <v>0</v>
      </c>
      <c r="V70" s="227"/>
      <c r="W70" s="242">
        <f t="shared" si="17"/>
        <v>0</v>
      </c>
      <c r="X70" s="761"/>
    </row>
    <row r="71" spans="1:24" ht="24.95" hidden="1" customHeight="1" x14ac:dyDescent="0.2">
      <c r="A71" s="39"/>
      <c r="B71" s="27"/>
      <c r="C71" s="40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>
        <f t="shared" si="15"/>
        <v>0</v>
      </c>
      <c r="P71" s="226"/>
      <c r="Q71" s="226"/>
      <c r="R71" s="226"/>
      <c r="S71" s="226"/>
      <c r="T71" s="226"/>
      <c r="U71" s="226"/>
      <c r="V71" s="227"/>
      <c r="W71" s="242"/>
      <c r="X71" s="761"/>
    </row>
    <row r="72" spans="1:24" ht="24.95" hidden="1" customHeight="1" x14ac:dyDescent="0.2">
      <c r="A72" s="39"/>
      <c r="B72" s="133"/>
      <c r="C72" s="40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7"/>
      <c r="W72" s="242"/>
      <c r="X72" s="761"/>
    </row>
    <row r="73" spans="1:24" ht="9.9499999999999993" hidden="1" customHeight="1" x14ac:dyDescent="0.2">
      <c r="A73" s="39"/>
      <c r="B73" s="122"/>
      <c r="C73" s="40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7"/>
      <c r="W73" s="242"/>
      <c r="X73" s="761"/>
    </row>
    <row r="74" spans="1:24" ht="30" hidden="1" customHeight="1" x14ac:dyDescent="0.2">
      <c r="A74" s="205" t="s">
        <v>64</v>
      </c>
      <c r="B74" s="201"/>
      <c r="C74" s="206" t="s">
        <v>62</v>
      </c>
      <c r="D74" s="71">
        <f t="shared" ref="D74:O74" si="18">SUM(D56:D73)</f>
        <v>0</v>
      </c>
      <c r="E74" s="71">
        <f t="shared" si="18"/>
        <v>0</v>
      </c>
      <c r="F74" s="71">
        <f t="shared" si="18"/>
        <v>0</v>
      </c>
      <c r="G74" s="71">
        <f t="shared" si="18"/>
        <v>0</v>
      </c>
      <c r="H74" s="71">
        <f t="shared" si="18"/>
        <v>0</v>
      </c>
      <c r="I74" s="71">
        <f t="shared" si="18"/>
        <v>0</v>
      </c>
      <c r="J74" s="71">
        <f t="shared" si="18"/>
        <v>0</v>
      </c>
      <c r="K74" s="71">
        <f t="shared" si="18"/>
        <v>0</v>
      </c>
      <c r="L74" s="71">
        <f t="shared" si="18"/>
        <v>2010</v>
      </c>
      <c r="M74" s="71">
        <f t="shared" si="18"/>
        <v>0</v>
      </c>
      <c r="N74" s="71">
        <f t="shared" si="18"/>
        <v>0</v>
      </c>
      <c r="O74" s="71">
        <f t="shared" si="18"/>
        <v>2010</v>
      </c>
      <c r="P74" s="71"/>
      <c r="Q74" s="71">
        <f>SUM(Q56:Q73)</f>
        <v>0</v>
      </c>
      <c r="R74" s="71">
        <f>SUM(R56:R73)</f>
        <v>0</v>
      </c>
      <c r="S74" s="71">
        <f>SUM(S56:S73)</f>
        <v>0</v>
      </c>
      <c r="T74" s="71">
        <f>SUM(T56:T73)</f>
        <v>0</v>
      </c>
      <c r="U74" s="71">
        <f>SUM(U56:U73)</f>
        <v>0</v>
      </c>
      <c r="V74" s="71"/>
      <c r="W74" s="243">
        <f>O74+U74</f>
        <v>2010</v>
      </c>
      <c r="X74" s="203">
        <f>SUM(X56:X73)</f>
        <v>73362.352999999988</v>
      </c>
    </row>
    <row r="75" spans="1:24" ht="20.100000000000001" hidden="1" customHeight="1" x14ac:dyDescent="0.2">
      <c r="A75" s="220"/>
      <c r="B75" s="221"/>
      <c r="C75" s="121"/>
      <c r="D75" s="71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7"/>
      <c r="W75" s="242"/>
      <c r="X75" s="761"/>
    </row>
    <row r="76" spans="1:24" ht="30" hidden="1" customHeight="1" x14ac:dyDescent="0.2">
      <c r="A76" s="39" t="s">
        <v>89</v>
      </c>
      <c r="B76" s="651" t="s">
        <v>367</v>
      </c>
      <c r="C76" s="40" t="s">
        <v>368</v>
      </c>
      <c r="D76" s="167"/>
      <c r="E76" s="167"/>
      <c r="F76" s="167">
        <f>758.306</f>
        <v>758.30600000000004</v>
      </c>
      <c r="G76" s="167"/>
      <c r="H76" s="167"/>
      <c r="I76" s="167"/>
      <c r="J76" s="167"/>
      <c r="K76" s="167"/>
      <c r="L76" s="167"/>
      <c r="M76" s="167"/>
      <c r="N76" s="167"/>
      <c r="O76" s="167">
        <f>SUM(D76:N76)</f>
        <v>758.30600000000004</v>
      </c>
      <c r="P76" s="167"/>
      <c r="Q76" s="167"/>
      <c r="R76" s="167"/>
      <c r="S76" s="167"/>
      <c r="T76" s="167"/>
      <c r="U76" s="167">
        <f>SUM(Q76:T76)</f>
        <v>0</v>
      </c>
      <c r="V76" s="168"/>
      <c r="W76" s="463">
        <f>O76+U76</f>
        <v>758.30600000000004</v>
      </c>
      <c r="X76" s="398"/>
    </row>
    <row r="77" spans="1:24" ht="30" hidden="1" customHeight="1" x14ac:dyDescent="0.2">
      <c r="A77" s="175" t="s">
        <v>89</v>
      </c>
      <c r="B77" s="176"/>
      <c r="C77" s="40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>
        <f>SUM(D77:N77)</f>
        <v>0</v>
      </c>
      <c r="P77" s="167"/>
      <c r="Q77" s="167"/>
      <c r="R77" s="167"/>
      <c r="S77" s="167"/>
      <c r="T77" s="167"/>
      <c r="U77" s="167">
        <f>SUM(Q77:T77)</f>
        <v>0</v>
      </c>
      <c r="V77" s="168"/>
      <c r="W77" s="463">
        <f>O77+U77</f>
        <v>0</v>
      </c>
      <c r="X77" s="398"/>
    </row>
    <row r="78" spans="1:24" ht="30" hidden="1" customHeight="1" x14ac:dyDescent="0.2">
      <c r="A78" s="39" t="s">
        <v>89</v>
      </c>
      <c r="B78" s="176"/>
      <c r="C78" s="28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>
        <f>SUM(D78:N78)</f>
        <v>0</v>
      </c>
      <c r="P78" s="167"/>
      <c r="Q78" s="167"/>
      <c r="R78" s="167"/>
      <c r="S78" s="167"/>
      <c r="T78" s="167"/>
      <c r="U78" s="167">
        <f>SUM(Q78:T78)</f>
        <v>0</v>
      </c>
      <c r="V78" s="168"/>
      <c r="W78" s="463">
        <f>O78+U78</f>
        <v>0</v>
      </c>
      <c r="X78" s="398"/>
    </row>
    <row r="79" spans="1:24" ht="24.95" hidden="1" customHeight="1" x14ac:dyDescent="0.2">
      <c r="A79" s="39"/>
      <c r="B79" s="176"/>
      <c r="C79" s="40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8"/>
      <c r="W79" s="463"/>
      <c r="X79" s="398"/>
    </row>
    <row r="80" spans="1:24" ht="24.95" hidden="1" customHeight="1" x14ac:dyDescent="0.2">
      <c r="A80" s="39"/>
      <c r="B80" s="120"/>
      <c r="C80" s="40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8"/>
      <c r="W80" s="463"/>
      <c r="X80" s="398"/>
    </row>
    <row r="81" spans="1:24" ht="9.9499999999999993" hidden="1" customHeight="1" x14ac:dyDescent="0.2">
      <c r="A81" s="39"/>
      <c r="B81" s="120"/>
      <c r="C81" s="40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7"/>
      <c r="W81" s="242"/>
      <c r="X81" s="761"/>
    </row>
    <row r="82" spans="1:24" ht="30" hidden="1" customHeight="1" x14ac:dyDescent="0.2">
      <c r="A82" s="205" t="s">
        <v>65</v>
      </c>
      <c r="B82" s="201"/>
      <c r="C82" s="206" t="s">
        <v>63</v>
      </c>
      <c r="D82" s="152">
        <f t="shared" ref="D82:O82" si="19">SUM(D76:D81)</f>
        <v>0</v>
      </c>
      <c r="E82" s="152">
        <f t="shared" si="19"/>
        <v>0</v>
      </c>
      <c r="F82" s="152">
        <f t="shared" si="19"/>
        <v>758.30600000000004</v>
      </c>
      <c r="G82" s="152">
        <f t="shared" si="19"/>
        <v>0</v>
      </c>
      <c r="H82" s="152">
        <f t="shared" si="19"/>
        <v>0</v>
      </c>
      <c r="I82" s="152">
        <f t="shared" si="19"/>
        <v>0</v>
      </c>
      <c r="J82" s="152">
        <f t="shared" si="19"/>
        <v>0</v>
      </c>
      <c r="K82" s="152">
        <f t="shared" si="19"/>
        <v>0</v>
      </c>
      <c r="L82" s="152">
        <f t="shared" si="19"/>
        <v>0</v>
      </c>
      <c r="M82" s="152">
        <f t="shared" si="19"/>
        <v>0</v>
      </c>
      <c r="N82" s="152">
        <f t="shared" si="19"/>
        <v>0</v>
      </c>
      <c r="O82" s="152">
        <f t="shared" si="19"/>
        <v>758.30600000000004</v>
      </c>
      <c r="P82" s="152"/>
      <c r="Q82" s="152">
        <f>SUM(Q76:Q81)</f>
        <v>0</v>
      </c>
      <c r="R82" s="152">
        <f>SUM(R76:R81)</f>
        <v>0</v>
      </c>
      <c r="S82" s="152">
        <f>SUM(S76:S81)</f>
        <v>0</v>
      </c>
      <c r="T82" s="152">
        <f>SUM(T76:T81)</f>
        <v>0</v>
      </c>
      <c r="U82" s="152">
        <f>SUM(U76:U81)</f>
        <v>0</v>
      </c>
      <c r="V82" s="152"/>
      <c r="W82" s="233">
        <f>O82+U82</f>
        <v>758.30600000000004</v>
      </c>
      <c r="X82" s="403">
        <f>SUM(X76:X81)</f>
        <v>0</v>
      </c>
    </row>
    <row r="83" spans="1:24" ht="9.9499999999999993" hidden="1" customHeight="1" x14ac:dyDescent="0.2">
      <c r="A83" s="39"/>
      <c r="B83" s="120"/>
      <c r="C83" s="40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7"/>
      <c r="W83" s="242"/>
      <c r="X83" s="761"/>
    </row>
    <row r="84" spans="1:24" ht="24.95" hidden="1" customHeight="1" x14ac:dyDescent="0.2">
      <c r="A84" s="39"/>
      <c r="B84" s="120"/>
      <c r="C84" s="40" t="s">
        <v>52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>
        <f>SUM(D84:N84)</f>
        <v>0</v>
      </c>
      <c r="P84" s="226"/>
      <c r="Q84" s="226"/>
      <c r="R84" s="226"/>
      <c r="S84" s="226"/>
      <c r="T84" s="226"/>
      <c r="U84" s="226">
        <f>SUM(Q84:T84)</f>
        <v>0</v>
      </c>
      <c r="V84" s="227"/>
      <c r="W84" s="242">
        <f>O84+U84</f>
        <v>0</v>
      </c>
      <c r="X84" s="761"/>
    </row>
    <row r="85" spans="1:24" ht="24.95" hidden="1" customHeight="1" thickBot="1" x14ac:dyDescent="0.2">
      <c r="A85" s="39"/>
      <c r="B85" s="100"/>
      <c r="C85" s="101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5"/>
      <c r="W85" s="246"/>
      <c r="X85" s="762"/>
    </row>
    <row r="86" spans="1:24" ht="30" hidden="1" customHeight="1" thickTop="1" thickBot="1" x14ac:dyDescent="0.25">
      <c r="A86" s="46"/>
      <c r="B86" s="660" t="s">
        <v>457</v>
      </c>
      <c r="C86" s="43" t="s">
        <v>66</v>
      </c>
      <c r="D86" s="199">
        <f t="shared" ref="D86:O86" si="20">D74+D82</f>
        <v>0</v>
      </c>
      <c r="E86" s="199">
        <f t="shared" si="20"/>
        <v>0</v>
      </c>
      <c r="F86" s="199">
        <f t="shared" si="20"/>
        <v>758.30600000000004</v>
      </c>
      <c r="G86" s="199">
        <f t="shared" si="20"/>
        <v>0</v>
      </c>
      <c r="H86" s="199">
        <f t="shared" si="20"/>
        <v>0</v>
      </c>
      <c r="I86" s="199">
        <f t="shared" si="20"/>
        <v>0</v>
      </c>
      <c r="J86" s="199">
        <f t="shared" si="20"/>
        <v>0</v>
      </c>
      <c r="K86" s="199">
        <f t="shared" si="20"/>
        <v>0</v>
      </c>
      <c r="L86" s="199">
        <f t="shared" si="20"/>
        <v>2010</v>
      </c>
      <c r="M86" s="199">
        <f t="shared" si="20"/>
        <v>0</v>
      </c>
      <c r="N86" s="199">
        <f t="shared" si="20"/>
        <v>0</v>
      </c>
      <c r="O86" s="199">
        <f t="shared" si="20"/>
        <v>2768.306</v>
      </c>
      <c r="P86" s="199"/>
      <c r="Q86" s="199">
        <f>Q74+Q82</f>
        <v>0</v>
      </c>
      <c r="R86" s="199">
        <f>R74+R82</f>
        <v>0</v>
      </c>
      <c r="S86" s="199">
        <f>S74+S82</f>
        <v>0</v>
      </c>
      <c r="T86" s="199">
        <f>T74+T82</f>
        <v>0</v>
      </c>
      <c r="U86" s="199">
        <f>U74+U82</f>
        <v>0</v>
      </c>
      <c r="V86" s="199"/>
      <c r="W86" s="247">
        <f>W74+W82</f>
        <v>2768.306</v>
      </c>
      <c r="X86" s="266">
        <f>X74+X82</f>
        <v>73362.352999999988</v>
      </c>
    </row>
    <row r="87" spans="1:24" ht="30" hidden="1" customHeight="1" thickTop="1" thickBot="1" x14ac:dyDescent="0.25">
      <c r="A87" s="41"/>
      <c r="B87" s="105" t="s">
        <v>149</v>
      </c>
      <c r="C87" s="43" t="s">
        <v>124</v>
      </c>
      <c r="D87" s="248">
        <f t="shared" ref="D87:O87" si="21">D54+D86</f>
        <v>0</v>
      </c>
      <c r="E87" s="248">
        <f t="shared" si="21"/>
        <v>0</v>
      </c>
      <c r="F87" s="248">
        <f t="shared" si="21"/>
        <v>20203.919000000002</v>
      </c>
      <c r="G87" s="248">
        <f t="shared" si="21"/>
        <v>4500</v>
      </c>
      <c r="H87" s="248">
        <f t="shared" si="21"/>
        <v>10681</v>
      </c>
      <c r="I87" s="248">
        <f t="shared" si="21"/>
        <v>0</v>
      </c>
      <c r="J87" s="248">
        <f t="shared" si="21"/>
        <v>0</v>
      </c>
      <c r="K87" s="248">
        <f t="shared" si="21"/>
        <v>0</v>
      </c>
      <c r="L87" s="248">
        <f t="shared" si="21"/>
        <v>2060</v>
      </c>
      <c r="M87" s="248">
        <f t="shared" si="21"/>
        <v>1200</v>
      </c>
      <c r="N87" s="248">
        <f t="shared" si="21"/>
        <v>0</v>
      </c>
      <c r="O87" s="248">
        <f t="shared" si="21"/>
        <v>38644.918999999994</v>
      </c>
      <c r="P87" s="248"/>
      <c r="Q87" s="248">
        <f>Q54+Q86</f>
        <v>0</v>
      </c>
      <c r="R87" s="248">
        <f>R54+R86</f>
        <v>260627.83900000001</v>
      </c>
      <c r="S87" s="248">
        <f>S54+S86</f>
        <v>0</v>
      </c>
      <c r="T87" s="248">
        <f>T54+T86</f>
        <v>0</v>
      </c>
      <c r="U87" s="248">
        <f>U54+U86</f>
        <v>260627.83900000001</v>
      </c>
      <c r="V87" s="248"/>
      <c r="W87" s="247">
        <f>W54+W86</f>
        <v>299272.75799999997</v>
      </c>
      <c r="X87" s="266">
        <f>X54+X86</f>
        <v>3581585.9210000001</v>
      </c>
    </row>
    <row r="88" spans="1:24" ht="24.95" hidden="1" customHeight="1" thickTop="1" x14ac:dyDescent="0.25">
      <c r="A88" s="22"/>
      <c r="B88" s="477" t="s">
        <v>151</v>
      </c>
      <c r="C88" s="24" t="s">
        <v>18</v>
      </c>
      <c r="D88" s="25">
        <f t="shared" ref="D88:U88" si="22">D87</f>
        <v>0</v>
      </c>
      <c r="E88" s="25">
        <f t="shared" si="22"/>
        <v>0</v>
      </c>
      <c r="F88" s="25">
        <f t="shared" si="22"/>
        <v>20203.919000000002</v>
      </c>
      <c r="G88" s="25">
        <f t="shared" si="22"/>
        <v>4500</v>
      </c>
      <c r="H88" s="25">
        <f t="shared" si="22"/>
        <v>10681</v>
      </c>
      <c r="I88" s="25">
        <f t="shared" si="22"/>
        <v>0</v>
      </c>
      <c r="J88" s="25">
        <f t="shared" si="22"/>
        <v>0</v>
      </c>
      <c r="K88" s="25">
        <f t="shared" si="22"/>
        <v>0</v>
      </c>
      <c r="L88" s="25">
        <f t="shared" si="22"/>
        <v>2060</v>
      </c>
      <c r="M88" s="25">
        <f t="shared" si="22"/>
        <v>1200</v>
      </c>
      <c r="N88" s="25">
        <f t="shared" si="22"/>
        <v>0</v>
      </c>
      <c r="O88" s="25">
        <f t="shared" si="22"/>
        <v>38644.918999999994</v>
      </c>
      <c r="P88" s="25"/>
      <c r="Q88" s="25">
        <f t="shared" si="22"/>
        <v>0</v>
      </c>
      <c r="R88" s="25">
        <f t="shared" si="22"/>
        <v>260627.83900000001</v>
      </c>
      <c r="S88" s="25">
        <f t="shared" si="22"/>
        <v>0</v>
      </c>
      <c r="T88" s="25">
        <f t="shared" si="22"/>
        <v>0</v>
      </c>
      <c r="U88" s="25">
        <f t="shared" si="22"/>
        <v>260627.83900000001</v>
      </c>
      <c r="V88" s="25"/>
      <c r="W88" s="236">
        <f t="shared" ref="W88:W93" si="23">O88+U88</f>
        <v>299272.75800000003</v>
      </c>
      <c r="X88" s="137">
        <f>X87</f>
        <v>3581585.9210000001</v>
      </c>
    </row>
    <row r="89" spans="1:24" ht="30.75" hidden="1" customHeight="1" x14ac:dyDescent="0.2">
      <c r="A89" s="39">
        <v>1</v>
      </c>
      <c r="B89" s="491"/>
      <c r="C89" s="40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>
        <f>SUM(D89:N89)</f>
        <v>0</v>
      </c>
      <c r="P89" s="71"/>
      <c r="Q89" s="71"/>
      <c r="R89" s="71"/>
      <c r="S89" s="71"/>
      <c r="T89" s="71"/>
      <c r="U89" s="71">
        <f>SUM(Q89:T89)</f>
        <v>0</v>
      </c>
      <c r="V89" s="72"/>
      <c r="W89" s="249">
        <f t="shared" si="23"/>
        <v>0</v>
      </c>
      <c r="X89" s="403"/>
    </row>
    <row r="90" spans="1:24" ht="30.75" hidden="1" customHeight="1" x14ac:dyDescent="0.2">
      <c r="A90" s="175">
        <v>2</v>
      </c>
      <c r="B90" s="491"/>
      <c r="C90" s="4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>
        <f>SUM(D90:N90)</f>
        <v>0</v>
      </c>
      <c r="P90" s="71"/>
      <c r="Q90" s="71"/>
      <c r="R90" s="71"/>
      <c r="S90" s="71"/>
      <c r="T90" s="71"/>
      <c r="U90" s="71">
        <f>SUM(Q90:T90)</f>
        <v>0</v>
      </c>
      <c r="V90" s="72"/>
      <c r="W90" s="249">
        <f t="shared" si="23"/>
        <v>0</v>
      </c>
      <c r="X90" s="403"/>
    </row>
    <row r="91" spans="1:24" ht="30.75" hidden="1" customHeight="1" x14ac:dyDescent="0.2">
      <c r="A91" s="39">
        <v>3</v>
      </c>
      <c r="B91" s="492"/>
      <c r="C91" s="40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>
        <f>SUM(D91:N91)</f>
        <v>0</v>
      </c>
      <c r="P91" s="71"/>
      <c r="Q91" s="71"/>
      <c r="R91" s="71"/>
      <c r="S91" s="71"/>
      <c r="T91" s="71"/>
      <c r="U91" s="71">
        <f>SUM(Q91:T91)</f>
        <v>0</v>
      </c>
      <c r="V91" s="72"/>
      <c r="W91" s="249">
        <f t="shared" si="23"/>
        <v>0</v>
      </c>
      <c r="X91" s="403"/>
    </row>
    <row r="92" spans="1:24" ht="30.75" hidden="1" customHeight="1" x14ac:dyDescent="0.2">
      <c r="A92" s="175">
        <v>4</v>
      </c>
      <c r="B92" s="492"/>
      <c r="C92" s="40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>
        <f>SUM(D92:N92)</f>
        <v>0</v>
      </c>
      <c r="P92" s="71"/>
      <c r="Q92" s="71"/>
      <c r="R92" s="71"/>
      <c r="S92" s="71"/>
      <c r="T92" s="71"/>
      <c r="U92" s="71">
        <f>SUM(Q92:T92)</f>
        <v>0</v>
      </c>
      <c r="V92" s="72"/>
      <c r="W92" s="249">
        <f t="shared" si="23"/>
        <v>0</v>
      </c>
      <c r="X92" s="403"/>
    </row>
    <row r="93" spans="1:24" ht="30.75" hidden="1" customHeight="1" x14ac:dyDescent="0.2">
      <c r="A93" s="39">
        <v>5</v>
      </c>
      <c r="B93" s="492"/>
      <c r="C93" s="40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>
        <f>SUM(D93:N93)</f>
        <v>0</v>
      </c>
      <c r="P93" s="71"/>
      <c r="Q93" s="71"/>
      <c r="R93" s="71"/>
      <c r="S93" s="71"/>
      <c r="T93" s="71"/>
      <c r="U93" s="71">
        <f>SUM(Q93:T93)</f>
        <v>0</v>
      </c>
      <c r="V93" s="72"/>
      <c r="W93" s="249">
        <f t="shared" si="23"/>
        <v>0</v>
      </c>
      <c r="X93" s="403"/>
    </row>
    <row r="94" spans="1:24" ht="30.75" hidden="1" customHeight="1" x14ac:dyDescent="0.2">
      <c r="A94" s="39"/>
      <c r="B94" s="492"/>
      <c r="C94" s="4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249"/>
      <c r="X94" s="403"/>
    </row>
    <row r="95" spans="1:24" ht="30.75" hidden="1" customHeight="1" x14ac:dyDescent="0.2">
      <c r="A95" s="39"/>
      <c r="B95" s="492"/>
      <c r="C95" s="40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249"/>
      <c r="X95" s="403"/>
    </row>
    <row r="96" spans="1:24" ht="24.95" hidden="1" customHeight="1" x14ac:dyDescent="0.2">
      <c r="A96" s="39"/>
      <c r="B96" s="32"/>
      <c r="C96" s="40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249">
        <f>SUM(D96:V96)</f>
        <v>0</v>
      </c>
      <c r="X96" s="403"/>
    </row>
    <row r="97" spans="1:24" ht="24.95" hidden="1" customHeight="1" x14ac:dyDescent="0.2">
      <c r="A97" s="205" t="s">
        <v>64</v>
      </c>
      <c r="B97" s="201"/>
      <c r="C97" s="206" t="s">
        <v>62</v>
      </c>
      <c r="D97" s="167">
        <f t="shared" ref="D97:X97" si="24">SUM(D89:D96)</f>
        <v>0</v>
      </c>
      <c r="E97" s="167">
        <f t="shared" si="24"/>
        <v>0</v>
      </c>
      <c r="F97" s="167">
        <f t="shared" si="24"/>
        <v>0</v>
      </c>
      <c r="G97" s="167">
        <f t="shared" si="24"/>
        <v>0</v>
      </c>
      <c r="H97" s="167">
        <f t="shared" si="24"/>
        <v>0</v>
      </c>
      <c r="I97" s="167">
        <f t="shared" si="24"/>
        <v>0</v>
      </c>
      <c r="J97" s="167">
        <f t="shared" si="24"/>
        <v>0</v>
      </c>
      <c r="K97" s="167">
        <f t="shared" si="24"/>
        <v>0</v>
      </c>
      <c r="L97" s="167">
        <f t="shared" si="24"/>
        <v>0</v>
      </c>
      <c r="M97" s="167">
        <f t="shared" si="24"/>
        <v>0</v>
      </c>
      <c r="N97" s="167">
        <f t="shared" si="24"/>
        <v>0</v>
      </c>
      <c r="O97" s="167">
        <f t="shared" si="24"/>
        <v>0</v>
      </c>
      <c r="P97" s="167"/>
      <c r="Q97" s="167">
        <f t="shared" si="24"/>
        <v>0</v>
      </c>
      <c r="R97" s="167">
        <f t="shared" si="24"/>
        <v>0</v>
      </c>
      <c r="S97" s="167">
        <f t="shared" si="24"/>
        <v>0</v>
      </c>
      <c r="T97" s="167">
        <f t="shared" si="24"/>
        <v>0</v>
      </c>
      <c r="U97" s="167">
        <f t="shared" si="24"/>
        <v>0</v>
      </c>
      <c r="V97" s="167"/>
      <c r="W97" s="243">
        <f t="shared" si="24"/>
        <v>0</v>
      </c>
      <c r="X97" s="763">
        <f t="shared" si="24"/>
        <v>0</v>
      </c>
    </row>
    <row r="98" spans="1:24" ht="15.75" hidden="1" customHeight="1" x14ac:dyDescent="0.2">
      <c r="A98" s="39"/>
      <c r="B98" s="31"/>
      <c r="C98" s="40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249"/>
      <c r="X98" s="403"/>
    </row>
    <row r="99" spans="1:24" ht="30.75" hidden="1" customHeight="1" x14ac:dyDescent="0.2">
      <c r="A99" s="39" t="s">
        <v>89</v>
      </c>
      <c r="B99" s="492"/>
      <c r="C99" s="40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>
        <f>SUM(D99:N99)</f>
        <v>0</v>
      </c>
      <c r="P99" s="152"/>
      <c r="Q99" s="152"/>
      <c r="R99" s="152"/>
      <c r="S99" s="152"/>
      <c r="T99" s="152"/>
      <c r="U99" s="152">
        <f>SUM(Q99:T99)</f>
        <v>0</v>
      </c>
      <c r="V99" s="158"/>
      <c r="W99" s="490">
        <f>O99+U99</f>
        <v>0</v>
      </c>
      <c r="X99" s="403"/>
    </row>
    <row r="100" spans="1:24" ht="30.75" hidden="1" customHeight="1" x14ac:dyDescent="0.2">
      <c r="A100" s="39" t="s">
        <v>89</v>
      </c>
      <c r="B100" s="492"/>
      <c r="C100" s="40"/>
      <c r="D100" s="152"/>
      <c r="E100" s="152"/>
      <c r="F100" s="152"/>
      <c r="G100" s="152"/>
      <c r="H100" s="152"/>
      <c r="I100" s="152"/>
      <c r="J100" s="152"/>
      <c r="K100" s="152"/>
      <c r="L100" s="166"/>
      <c r="M100" s="152"/>
      <c r="N100" s="152"/>
      <c r="O100" s="152">
        <f>SUM(D100:N100)</f>
        <v>0</v>
      </c>
      <c r="P100" s="152"/>
      <c r="Q100" s="152"/>
      <c r="R100" s="152"/>
      <c r="S100" s="152"/>
      <c r="T100" s="152"/>
      <c r="U100" s="152">
        <f>SUM(Q100:T100)</f>
        <v>0</v>
      </c>
      <c r="V100" s="158"/>
      <c r="W100" s="490">
        <f>O100+U100</f>
        <v>0</v>
      </c>
      <c r="X100" s="403"/>
    </row>
    <row r="101" spans="1:24" ht="30.75" hidden="1" customHeight="1" x14ac:dyDescent="0.2">
      <c r="A101" s="39" t="s">
        <v>89</v>
      </c>
      <c r="B101" s="492"/>
      <c r="C101" s="40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66"/>
      <c r="O101" s="152">
        <f>SUM(D101:N101)</f>
        <v>0</v>
      </c>
      <c r="P101" s="152"/>
      <c r="Q101" s="152"/>
      <c r="R101" s="152"/>
      <c r="S101" s="152"/>
      <c r="T101" s="152"/>
      <c r="U101" s="152">
        <f>SUM(Q101:T101)</f>
        <v>0</v>
      </c>
      <c r="V101" s="158"/>
      <c r="W101" s="490">
        <f>O101+U101</f>
        <v>0</v>
      </c>
      <c r="X101" s="403"/>
    </row>
    <row r="102" spans="1:24" ht="24.95" hidden="1" customHeight="1" x14ac:dyDescent="0.2">
      <c r="A102" s="39" t="s">
        <v>89</v>
      </c>
      <c r="B102" s="222"/>
      <c r="C102" s="40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>
        <f>SUM(D102:N102)</f>
        <v>0</v>
      </c>
      <c r="P102" s="152"/>
      <c r="Q102" s="152"/>
      <c r="R102" s="152"/>
      <c r="S102" s="152"/>
      <c r="T102" s="152"/>
      <c r="U102" s="152">
        <f>SUM(Q102:T102)</f>
        <v>0</v>
      </c>
      <c r="V102" s="158"/>
      <c r="W102" s="490">
        <f>O102+U102</f>
        <v>0</v>
      </c>
      <c r="X102" s="403"/>
    </row>
    <row r="103" spans="1:24" ht="24.95" hidden="1" customHeight="1" x14ac:dyDescent="0.2">
      <c r="A103" s="39" t="s">
        <v>89</v>
      </c>
      <c r="B103" s="222"/>
      <c r="C103" s="40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>
        <f>SUM(D103:N103)</f>
        <v>0</v>
      </c>
      <c r="P103" s="152"/>
      <c r="Q103" s="152"/>
      <c r="R103" s="152"/>
      <c r="S103" s="152"/>
      <c r="T103" s="152"/>
      <c r="U103" s="152">
        <f>SUM(Q103:T103)</f>
        <v>0</v>
      </c>
      <c r="V103" s="158"/>
      <c r="W103" s="490">
        <f>O103+U103</f>
        <v>0</v>
      </c>
      <c r="X103" s="403"/>
    </row>
    <row r="104" spans="1:24" ht="24.95" hidden="1" customHeight="1" x14ac:dyDescent="0.2">
      <c r="A104" s="39"/>
      <c r="B104" s="222"/>
      <c r="C104" s="40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8"/>
      <c r="W104" s="490"/>
      <c r="X104" s="403"/>
    </row>
    <row r="105" spans="1:24" ht="24.95" hidden="1" customHeight="1" x14ac:dyDescent="0.2">
      <c r="A105" s="39"/>
      <c r="B105" s="31"/>
      <c r="C105" s="40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249"/>
      <c r="X105" s="403"/>
    </row>
    <row r="106" spans="1:24" ht="24.95" hidden="1" customHeight="1" x14ac:dyDescent="0.2">
      <c r="A106" s="205" t="s">
        <v>65</v>
      </c>
      <c r="B106" s="201"/>
      <c r="C106" s="206" t="s">
        <v>63</v>
      </c>
      <c r="D106" s="167">
        <f t="shared" ref="D106:X106" si="25">SUM(D99:D105)</f>
        <v>0</v>
      </c>
      <c r="E106" s="167">
        <f t="shared" si="25"/>
        <v>0</v>
      </c>
      <c r="F106" s="167">
        <f t="shared" si="25"/>
        <v>0</v>
      </c>
      <c r="G106" s="167">
        <f t="shared" si="25"/>
        <v>0</v>
      </c>
      <c r="H106" s="167">
        <f t="shared" si="25"/>
        <v>0</v>
      </c>
      <c r="I106" s="167">
        <f t="shared" si="25"/>
        <v>0</v>
      </c>
      <c r="J106" s="167">
        <f t="shared" si="25"/>
        <v>0</v>
      </c>
      <c r="K106" s="167">
        <f t="shared" si="25"/>
        <v>0</v>
      </c>
      <c r="L106" s="167">
        <f t="shared" si="25"/>
        <v>0</v>
      </c>
      <c r="M106" s="167">
        <f t="shared" si="25"/>
        <v>0</v>
      </c>
      <c r="N106" s="167">
        <f t="shared" si="25"/>
        <v>0</v>
      </c>
      <c r="O106" s="167">
        <f t="shared" si="25"/>
        <v>0</v>
      </c>
      <c r="P106" s="167"/>
      <c r="Q106" s="167">
        <f t="shared" si="25"/>
        <v>0</v>
      </c>
      <c r="R106" s="167">
        <f t="shared" si="25"/>
        <v>0</v>
      </c>
      <c r="S106" s="167">
        <f t="shared" si="25"/>
        <v>0</v>
      </c>
      <c r="T106" s="167">
        <f t="shared" si="25"/>
        <v>0</v>
      </c>
      <c r="U106" s="167">
        <f t="shared" si="25"/>
        <v>0</v>
      </c>
      <c r="V106" s="167"/>
      <c r="W106" s="747">
        <f t="shared" si="25"/>
        <v>0</v>
      </c>
      <c r="X106" s="764">
        <f t="shared" si="25"/>
        <v>0</v>
      </c>
    </row>
    <row r="107" spans="1:24" ht="12" hidden="1" customHeight="1" x14ac:dyDescent="0.2">
      <c r="A107" s="39"/>
      <c r="B107" s="31"/>
      <c r="C107" s="40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249">
        <f>SUM(D107:V107)</f>
        <v>0</v>
      </c>
      <c r="X107" s="403"/>
    </row>
    <row r="108" spans="1:24" ht="24.95" hidden="1" customHeight="1" thickBot="1" x14ac:dyDescent="0.2">
      <c r="A108" s="39"/>
      <c r="B108" s="32"/>
      <c r="C108" s="34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249"/>
      <c r="X108" s="403"/>
    </row>
    <row r="109" spans="1:24" ht="24.95" hidden="1" customHeight="1" thickTop="1" thickBot="1" x14ac:dyDescent="0.25">
      <c r="A109" s="41"/>
      <c r="B109" s="105" t="s">
        <v>151</v>
      </c>
      <c r="C109" s="43" t="s">
        <v>66</v>
      </c>
      <c r="D109" s="199">
        <f>D97+D106</f>
        <v>0</v>
      </c>
      <c r="E109" s="199">
        <f t="shared" ref="E109:U109" si="26">E97+E106</f>
        <v>0</v>
      </c>
      <c r="F109" s="199">
        <f t="shared" si="26"/>
        <v>0</v>
      </c>
      <c r="G109" s="199">
        <f t="shared" si="26"/>
        <v>0</v>
      </c>
      <c r="H109" s="199">
        <f t="shared" si="26"/>
        <v>0</v>
      </c>
      <c r="I109" s="199">
        <f t="shared" si="26"/>
        <v>0</v>
      </c>
      <c r="J109" s="199">
        <f t="shared" si="26"/>
        <v>0</v>
      </c>
      <c r="K109" s="199">
        <f t="shared" si="26"/>
        <v>0</v>
      </c>
      <c r="L109" s="199">
        <f>L97+L106</f>
        <v>0</v>
      </c>
      <c r="M109" s="199">
        <f t="shared" si="26"/>
        <v>0</v>
      </c>
      <c r="N109" s="199">
        <f t="shared" si="26"/>
        <v>0</v>
      </c>
      <c r="O109" s="199">
        <f t="shared" si="26"/>
        <v>0</v>
      </c>
      <c r="P109" s="199"/>
      <c r="Q109" s="199">
        <f>Q97+Q106</f>
        <v>0</v>
      </c>
      <c r="R109" s="199">
        <f t="shared" si="26"/>
        <v>0</v>
      </c>
      <c r="S109" s="199">
        <f t="shared" si="26"/>
        <v>0</v>
      </c>
      <c r="T109" s="199">
        <f t="shared" si="26"/>
        <v>0</v>
      </c>
      <c r="U109" s="199">
        <f t="shared" si="26"/>
        <v>0</v>
      </c>
      <c r="V109" s="199"/>
      <c r="W109" s="247">
        <f>W97+W106</f>
        <v>0</v>
      </c>
      <c r="X109" s="179">
        <f>X97+X106</f>
        <v>0</v>
      </c>
    </row>
    <row r="110" spans="1:24" ht="30" hidden="1" customHeight="1" thickTop="1" thickBot="1" x14ac:dyDescent="0.25">
      <c r="A110" s="41"/>
      <c r="B110" s="476" t="s">
        <v>157</v>
      </c>
      <c r="C110" s="43" t="s">
        <v>124</v>
      </c>
      <c r="D110" s="248">
        <f t="shared" ref="D110:O110" si="27">D54+D86+D109</f>
        <v>0</v>
      </c>
      <c r="E110" s="248">
        <f t="shared" si="27"/>
        <v>0</v>
      </c>
      <c r="F110" s="248">
        <f t="shared" si="27"/>
        <v>20203.919000000002</v>
      </c>
      <c r="G110" s="248">
        <f t="shared" si="27"/>
        <v>4500</v>
      </c>
      <c r="H110" s="248">
        <f t="shared" si="27"/>
        <v>10681</v>
      </c>
      <c r="I110" s="248">
        <f t="shared" si="27"/>
        <v>0</v>
      </c>
      <c r="J110" s="248">
        <f t="shared" si="27"/>
        <v>0</v>
      </c>
      <c r="K110" s="248">
        <f t="shared" si="27"/>
        <v>0</v>
      </c>
      <c r="L110" s="248">
        <f t="shared" si="27"/>
        <v>2060</v>
      </c>
      <c r="M110" s="248">
        <f t="shared" si="27"/>
        <v>1200</v>
      </c>
      <c r="N110" s="248">
        <f t="shared" si="27"/>
        <v>0</v>
      </c>
      <c r="O110" s="248">
        <f t="shared" si="27"/>
        <v>38644.918999999994</v>
      </c>
      <c r="P110" s="248"/>
      <c r="Q110" s="248">
        <f>Q54+Q86+Q109</f>
        <v>0</v>
      </c>
      <c r="R110" s="248">
        <f>R54+R86+R109</f>
        <v>260627.83900000001</v>
      </c>
      <c r="S110" s="248">
        <f>S54+S86+S109</f>
        <v>0</v>
      </c>
      <c r="T110" s="248">
        <f>T54+T86+T109</f>
        <v>0</v>
      </c>
      <c r="U110" s="248">
        <f>U54+U86+U109</f>
        <v>260627.83900000001</v>
      </c>
      <c r="V110" s="248"/>
      <c r="W110" s="247">
        <f>W54+W86+W109</f>
        <v>299272.75799999997</v>
      </c>
      <c r="X110" s="266">
        <f>X54+X86+X109</f>
        <v>3581585.9210000001</v>
      </c>
    </row>
    <row r="111" spans="1:24" ht="24.95" hidden="1" customHeight="1" thickTop="1" thickBot="1" x14ac:dyDescent="0.25">
      <c r="A111" s="177"/>
      <c r="B111" s="105" t="s">
        <v>151</v>
      </c>
      <c r="C111" s="24" t="s">
        <v>18</v>
      </c>
      <c r="D111" s="25">
        <f t="shared" ref="D111:U111" si="28">D110</f>
        <v>0</v>
      </c>
      <c r="E111" s="25">
        <f t="shared" si="28"/>
        <v>0</v>
      </c>
      <c r="F111" s="25">
        <f t="shared" si="28"/>
        <v>20203.919000000002</v>
      </c>
      <c r="G111" s="25">
        <f t="shared" si="28"/>
        <v>4500</v>
      </c>
      <c r="H111" s="25">
        <f t="shared" si="28"/>
        <v>10681</v>
      </c>
      <c r="I111" s="25">
        <f t="shared" si="28"/>
        <v>0</v>
      </c>
      <c r="J111" s="25">
        <f t="shared" si="28"/>
        <v>0</v>
      </c>
      <c r="K111" s="25">
        <f t="shared" si="28"/>
        <v>0</v>
      </c>
      <c r="L111" s="25">
        <f t="shared" si="28"/>
        <v>2060</v>
      </c>
      <c r="M111" s="25">
        <f t="shared" si="28"/>
        <v>1200</v>
      </c>
      <c r="N111" s="25">
        <f t="shared" si="28"/>
        <v>0</v>
      </c>
      <c r="O111" s="25">
        <f t="shared" si="28"/>
        <v>38644.918999999994</v>
      </c>
      <c r="P111" s="25"/>
      <c r="Q111" s="25">
        <f>Q110</f>
        <v>0</v>
      </c>
      <c r="R111" s="25">
        <f>R110</f>
        <v>260627.83900000001</v>
      </c>
      <c r="S111" s="25">
        <f t="shared" si="28"/>
        <v>0</v>
      </c>
      <c r="T111" s="25">
        <f t="shared" si="28"/>
        <v>0</v>
      </c>
      <c r="U111" s="25">
        <f t="shared" si="28"/>
        <v>260627.83900000001</v>
      </c>
      <c r="V111" s="25"/>
      <c r="W111" s="236">
        <f t="shared" ref="W111:W116" si="29">O111+U111</f>
        <v>299272.75800000003</v>
      </c>
      <c r="X111" s="137">
        <f>X110</f>
        <v>3581585.9210000001</v>
      </c>
    </row>
    <row r="112" spans="1:24" ht="30.75" hidden="1" customHeight="1" thickTop="1" x14ac:dyDescent="0.2">
      <c r="A112" s="39">
        <v>1</v>
      </c>
      <c r="B112" s="308"/>
      <c r="C112" s="28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>
        <f>SUM(D112:N112)</f>
        <v>0</v>
      </c>
      <c r="P112" s="167"/>
      <c r="Q112" s="167"/>
      <c r="R112" s="167"/>
      <c r="S112" s="167"/>
      <c r="T112" s="167"/>
      <c r="U112" s="167">
        <f>SUM(Q112:T112)</f>
        <v>0</v>
      </c>
      <c r="V112" s="168"/>
      <c r="W112" s="463">
        <f t="shared" si="29"/>
        <v>0</v>
      </c>
      <c r="X112" s="531"/>
    </row>
    <row r="113" spans="1:24" ht="30.75" hidden="1" customHeight="1" x14ac:dyDescent="0.2">
      <c r="A113" s="175"/>
      <c r="B113" s="223"/>
      <c r="C113" s="28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>
        <f>SUM(D113:N113)</f>
        <v>0</v>
      </c>
      <c r="P113" s="167"/>
      <c r="Q113" s="167"/>
      <c r="R113" s="167"/>
      <c r="S113" s="167"/>
      <c r="T113" s="167"/>
      <c r="U113" s="167">
        <f>SUM(Q113:T113)</f>
        <v>0</v>
      </c>
      <c r="V113" s="168"/>
      <c r="W113" s="463">
        <f t="shared" si="29"/>
        <v>0</v>
      </c>
      <c r="X113" s="398"/>
    </row>
    <row r="114" spans="1:24" ht="30.75" hidden="1" customHeight="1" x14ac:dyDescent="0.2">
      <c r="A114" s="175"/>
      <c r="B114" s="223"/>
      <c r="C114" s="28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>
        <f>SUM(D114:N114)</f>
        <v>0</v>
      </c>
      <c r="P114" s="167"/>
      <c r="Q114" s="167"/>
      <c r="R114" s="167"/>
      <c r="S114" s="167"/>
      <c r="T114" s="167"/>
      <c r="U114" s="167">
        <f>SUM(Q114:T114)</f>
        <v>0</v>
      </c>
      <c r="V114" s="168"/>
      <c r="W114" s="463">
        <f t="shared" si="29"/>
        <v>0</v>
      </c>
      <c r="X114" s="398"/>
    </row>
    <row r="115" spans="1:24" ht="24.95" hidden="1" customHeight="1" x14ac:dyDescent="0.2">
      <c r="A115" s="39"/>
      <c r="B115" s="30"/>
      <c r="C115" s="28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>
        <f>SUM(D115:N115)</f>
        <v>0</v>
      </c>
      <c r="P115" s="167"/>
      <c r="Q115" s="167"/>
      <c r="R115" s="167"/>
      <c r="S115" s="167"/>
      <c r="T115" s="167"/>
      <c r="U115" s="167">
        <f>SUM(Q115:T115)</f>
        <v>0</v>
      </c>
      <c r="V115" s="168"/>
      <c r="W115" s="463">
        <f t="shared" si="29"/>
        <v>0</v>
      </c>
      <c r="X115" s="398"/>
    </row>
    <row r="116" spans="1:24" ht="24.95" hidden="1" customHeight="1" x14ac:dyDescent="0.2">
      <c r="A116" s="39"/>
      <c r="B116" s="31"/>
      <c r="C116" s="40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>
        <f>SUM(D116:N116)</f>
        <v>0</v>
      </c>
      <c r="P116" s="167"/>
      <c r="Q116" s="167"/>
      <c r="R116" s="167"/>
      <c r="S116" s="167"/>
      <c r="T116" s="167"/>
      <c r="U116" s="167">
        <f>SUM(Q116:T116)</f>
        <v>0</v>
      </c>
      <c r="V116" s="168"/>
      <c r="W116" s="463">
        <f t="shared" si="29"/>
        <v>0</v>
      </c>
      <c r="X116" s="398"/>
    </row>
    <row r="117" spans="1:24" ht="24.95" hidden="1" customHeight="1" x14ac:dyDescent="0.2">
      <c r="A117" s="39"/>
      <c r="B117" s="31"/>
      <c r="C117" s="40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8"/>
      <c r="W117" s="463"/>
      <c r="X117" s="398"/>
    </row>
    <row r="118" spans="1:24" ht="9.9499999999999993" hidden="1" customHeight="1" x14ac:dyDescent="0.2">
      <c r="A118" s="39"/>
      <c r="B118" s="122"/>
      <c r="C118" s="40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8"/>
      <c r="W118" s="463"/>
      <c r="X118" s="761"/>
    </row>
    <row r="119" spans="1:24" ht="24.95" hidden="1" customHeight="1" x14ac:dyDescent="0.2">
      <c r="A119" s="205" t="s">
        <v>64</v>
      </c>
      <c r="B119" s="201"/>
      <c r="C119" s="206" t="s">
        <v>62</v>
      </c>
      <c r="D119" s="167">
        <f t="shared" ref="D119:X119" si="30">SUM(D112:D118)</f>
        <v>0</v>
      </c>
      <c r="E119" s="167">
        <f t="shared" si="30"/>
        <v>0</v>
      </c>
      <c r="F119" s="167">
        <f t="shared" si="30"/>
        <v>0</v>
      </c>
      <c r="G119" s="167">
        <f t="shared" si="30"/>
        <v>0</v>
      </c>
      <c r="H119" s="167">
        <f t="shared" si="30"/>
        <v>0</v>
      </c>
      <c r="I119" s="167">
        <f t="shared" si="30"/>
        <v>0</v>
      </c>
      <c r="J119" s="167">
        <f t="shared" si="30"/>
        <v>0</v>
      </c>
      <c r="K119" s="167">
        <f t="shared" si="30"/>
        <v>0</v>
      </c>
      <c r="L119" s="167">
        <f t="shared" si="30"/>
        <v>0</v>
      </c>
      <c r="M119" s="167">
        <f t="shared" si="30"/>
        <v>0</v>
      </c>
      <c r="N119" s="167">
        <f t="shared" si="30"/>
        <v>0</v>
      </c>
      <c r="O119" s="167">
        <f t="shared" si="30"/>
        <v>0</v>
      </c>
      <c r="P119" s="167"/>
      <c r="Q119" s="167">
        <f t="shared" si="30"/>
        <v>0</v>
      </c>
      <c r="R119" s="167">
        <f t="shared" si="30"/>
        <v>0</v>
      </c>
      <c r="S119" s="167">
        <f t="shared" si="30"/>
        <v>0</v>
      </c>
      <c r="T119" s="167">
        <f t="shared" si="30"/>
        <v>0</v>
      </c>
      <c r="U119" s="167">
        <f t="shared" si="30"/>
        <v>0</v>
      </c>
      <c r="V119" s="167"/>
      <c r="W119" s="747">
        <f t="shared" si="30"/>
        <v>0</v>
      </c>
      <c r="X119" s="398">
        <f t="shared" si="30"/>
        <v>0</v>
      </c>
    </row>
    <row r="120" spans="1:24" ht="9.9499999999999993" hidden="1" customHeight="1" x14ac:dyDescent="0.2">
      <c r="A120" s="39"/>
      <c r="B120" s="31"/>
      <c r="C120" s="40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463"/>
      <c r="X120" s="761"/>
    </row>
    <row r="121" spans="1:24" ht="30.75" hidden="1" customHeight="1" x14ac:dyDescent="0.2">
      <c r="A121" s="175" t="s">
        <v>89</v>
      </c>
      <c r="B121" s="222"/>
      <c r="C121" s="40"/>
      <c r="D121" s="167"/>
      <c r="E121" s="167"/>
      <c r="F121" s="167"/>
      <c r="G121" s="167"/>
      <c r="H121" s="167"/>
      <c r="I121" s="167"/>
      <c r="J121" s="167"/>
      <c r="K121" s="167"/>
      <c r="M121" s="167"/>
      <c r="N121" s="167"/>
      <c r="O121" s="167">
        <f>SUM(D121:N121)</f>
        <v>0</v>
      </c>
      <c r="P121" s="167"/>
      <c r="Q121" s="167"/>
      <c r="R121" s="167"/>
      <c r="S121" s="167"/>
      <c r="T121" s="167"/>
      <c r="U121" s="167">
        <f>SUM(Q121:T121)</f>
        <v>0</v>
      </c>
      <c r="V121" s="167"/>
      <c r="W121" s="463">
        <f>O121+U121</f>
        <v>0</v>
      </c>
      <c r="X121" s="761"/>
    </row>
    <row r="122" spans="1:24" ht="30.75" hidden="1" customHeight="1" x14ac:dyDescent="0.2">
      <c r="A122" s="175"/>
      <c r="B122" s="222"/>
      <c r="C122" s="40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>
        <f>SUM(D122:N122)</f>
        <v>0</v>
      </c>
      <c r="P122" s="167"/>
      <c r="Q122" s="167"/>
      <c r="R122" s="167"/>
      <c r="S122" s="167"/>
      <c r="T122" s="167"/>
      <c r="U122" s="167">
        <f>SUM(Q122:T122)</f>
        <v>0</v>
      </c>
      <c r="V122" s="167"/>
      <c r="W122" s="463">
        <f>O122+U122</f>
        <v>0</v>
      </c>
      <c r="X122" s="761"/>
    </row>
    <row r="123" spans="1:24" ht="30.75" hidden="1" customHeight="1" x14ac:dyDescent="0.2">
      <c r="A123" s="39"/>
      <c r="B123" s="31"/>
      <c r="C123" s="40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>
        <f>SUM(D123:N123)</f>
        <v>0</v>
      </c>
      <c r="P123" s="167"/>
      <c r="Q123" s="167"/>
      <c r="R123" s="167"/>
      <c r="S123" s="167"/>
      <c r="T123" s="167"/>
      <c r="U123" s="167">
        <f>SUM(Q123:T123)</f>
        <v>0</v>
      </c>
      <c r="V123" s="167"/>
      <c r="W123" s="463">
        <f>O123+U123</f>
        <v>0</v>
      </c>
      <c r="X123" s="761"/>
    </row>
    <row r="124" spans="1:24" ht="24.95" hidden="1" customHeight="1" x14ac:dyDescent="0.2">
      <c r="A124" s="39"/>
      <c r="B124" s="120"/>
      <c r="C124" s="40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>
        <f>SUM(D124:N124)</f>
        <v>0</v>
      </c>
      <c r="P124" s="167"/>
      <c r="Q124" s="167"/>
      <c r="R124" s="167"/>
      <c r="S124" s="167"/>
      <c r="T124" s="167"/>
      <c r="U124" s="167">
        <f>SUM(Q124:T124)</f>
        <v>0</v>
      </c>
      <c r="V124" s="167"/>
      <c r="W124" s="463">
        <f>O124+U124</f>
        <v>0</v>
      </c>
      <c r="X124" s="761"/>
    </row>
    <row r="125" spans="1:24" ht="9.9499999999999993" hidden="1" customHeight="1" x14ac:dyDescent="0.2">
      <c r="A125" s="39"/>
      <c r="B125" s="120"/>
      <c r="C125" s="40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463"/>
      <c r="X125" s="203"/>
    </row>
    <row r="126" spans="1:24" ht="24.95" hidden="1" customHeight="1" x14ac:dyDescent="0.2">
      <c r="A126" s="205" t="s">
        <v>65</v>
      </c>
      <c r="B126" s="201"/>
      <c r="C126" s="206" t="s">
        <v>63</v>
      </c>
      <c r="D126" s="167">
        <f>SUM(D121:D125)</f>
        <v>0</v>
      </c>
      <c r="E126" s="167">
        <f t="shared" ref="E126:K126" si="31">SUM(E121:E125)</f>
        <v>0</v>
      </c>
      <c r="F126" s="167">
        <f t="shared" si="31"/>
        <v>0</v>
      </c>
      <c r="G126" s="167">
        <f t="shared" si="31"/>
        <v>0</v>
      </c>
      <c r="H126" s="167">
        <f t="shared" si="31"/>
        <v>0</v>
      </c>
      <c r="I126" s="167">
        <f t="shared" si="31"/>
        <v>0</v>
      </c>
      <c r="J126" s="167">
        <f t="shared" si="31"/>
        <v>0</v>
      </c>
      <c r="K126" s="167">
        <f t="shared" si="31"/>
        <v>0</v>
      </c>
      <c r="L126" s="167">
        <f>SUM(L121:L125)</f>
        <v>0</v>
      </c>
      <c r="M126" s="167">
        <f t="shared" ref="M126:X126" si="32">SUM(M121:M125)</f>
        <v>0</v>
      </c>
      <c r="N126" s="167">
        <f>SUM(N121:N125)</f>
        <v>0</v>
      </c>
      <c r="O126" s="167">
        <f t="shared" si="32"/>
        <v>0</v>
      </c>
      <c r="P126" s="167"/>
      <c r="Q126" s="167">
        <f>SUM(Q121:Q125)</f>
        <v>0</v>
      </c>
      <c r="R126" s="167">
        <f>SUM(R121:R125)</f>
        <v>0</v>
      </c>
      <c r="S126" s="167">
        <f t="shared" si="32"/>
        <v>0</v>
      </c>
      <c r="T126" s="167">
        <f t="shared" si="32"/>
        <v>0</v>
      </c>
      <c r="U126" s="167">
        <f t="shared" si="32"/>
        <v>0</v>
      </c>
      <c r="V126" s="167"/>
      <c r="W126" s="747">
        <f t="shared" si="32"/>
        <v>0</v>
      </c>
      <c r="X126" s="764">
        <f t="shared" si="32"/>
        <v>0</v>
      </c>
    </row>
    <row r="127" spans="1:24" ht="24.95" hidden="1" customHeight="1" x14ac:dyDescent="0.2">
      <c r="A127" s="39"/>
      <c r="B127" s="31"/>
      <c r="C127" s="40"/>
      <c r="D127" s="167"/>
      <c r="E127" s="167"/>
      <c r="F127" s="167"/>
      <c r="G127" s="167"/>
      <c r="H127" s="167"/>
      <c r="I127" s="167"/>
      <c r="J127" s="167"/>
      <c r="K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463"/>
      <c r="X127" s="761"/>
    </row>
    <row r="128" spans="1:24" ht="24.95" hidden="1" customHeight="1" thickBot="1" x14ac:dyDescent="0.2">
      <c r="A128" s="39"/>
      <c r="B128" s="32"/>
      <c r="C128" s="34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463"/>
      <c r="X128" s="761"/>
    </row>
    <row r="129" spans="1:27" ht="24.95" hidden="1" customHeight="1" thickTop="1" thickBot="1" x14ac:dyDescent="0.25">
      <c r="A129" s="45"/>
      <c r="B129" s="253" t="s">
        <v>156</v>
      </c>
      <c r="C129" s="43" t="s">
        <v>66</v>
      </c>
      <c r="D129" s="171">
        <f t="shared" ref="D129:X129" si="33">D119+D126</f>
        <v>0</v>
      </c>
      <c r="E129" s="171">
        <f t="shared" si="33"/>
        <v>0</v>
      </c>
      <c r="F129" s="171">
        <f t="shared" si="33"/>
        <v>0</v>
      </c>
      <c r="G129" s="171">
        <f t="shared" si="33"/>
        <v>0</v>
      </c>
      <c r="H129" s="171">
        <f t="shared" si="33"/>
        <v>0</v>
      </c>
      <c r="I129" s="171">
        <f t="shared" si="33"/>
        <v>0</v>
      </c>
      <c r="J129" s="171">
        <f t="shared" si="33"/>
        <v>0</v>
      </c>
      <c r="K129" s="171">
        <f t="shared" si="33"/>
        <v>0</v>
      </c>
      <c r="L129" s="171">
        <f t="shared" si="33"/>
        <v>0</v>
      </c>
      <c r="M129" s="171">
        <f t="shared" si="33"/>
        <v>0</v>
      </c>
      <c r="N129" s="171">
        <f t="shared" si="33"/>
        <v>0</v>
      </c>
      <c r="O129" s="171">
        <f t="shared" si="33"/>
        <v>0</v>
      </c>
      <c r="P129" s="171"/>
      <c r="Q129" s="171">
        <f>Q119+Q126</f>
        <v>0</v>
      </c>
      <c r="R129" s="171">
        <f>R119+R126</f>
        <v>0</v>
      </c>
      <c r="S129" s="171">
        <f t="shared" si="33"/>
        <v>0</v>
      </c>
      <c r="T129" s="171">
        <f t="shared" si="33"/>
        <v>0</v>
      </c>
      <c r="U129" s="171">
        <f t="shared" si="33"/>
        <v>0</v>
      </c>
      <c r="V129" s="171"/>
      <c r="W129" s="748">
        <f t="shared" si="33"/>
        <v>0</v>
      </c>
      <c r="X129" s="179">
        <f t="shared" si="33"/>
        <v>0</v>
      </c>
    </row>
    <row r="130" spans="1:27" ht="24.95" hidden="1" customHeight="1" thickTop="1" thickBot="1" x14ac:dyDescent="0.25">
      <c r="A130" s="41"/>
      <c r="B130" s="105" t="s">
        <v>151</v>
      </c>
      <c r="C130" s="43" t="s">
        <v>124</v>
      </c>
      <c r="D130" s="199">
        <f t="shared" ref="D130:U130" si="34">D111+D129</f>
        <v>0</v>
      </c>
      <c r="E130" s="199">
        <f t="shared" si="34"/>
        <v>0</v>
      </c>
      <c r="F130" s="199">
        <f t="shared" si="34"/>
        <v>20203.919000000002</v>
      </c>
      <c r="G130" s="199">
        <f t="shared" si="34"/>
        <v>4500</v>
      </c>
      <c r="H130" s="199">
        <f t="shared" si="34"/>
        <v>10681</v>
      </c>
      <c r="I130" s="199">
        <f t="shared" si="34"/>
        <v>0</v>
      </c>
      <c r="J130" s="199">
        <f t="shared" si="34"/>
        <v>0</v>
      </c>
      <c r="K130" s="199">
        <f t="shared" si="34"/>
        <v>0</v>
      </c>
      <c r="L130" s="199">
        <f t="shared" si="34"/>
        <v>2060</v>
      </c>
      <c r="M130" s="199">
        <f t="shared" si="34"/>
        <v>1200</v>
      </c>
      <c r="N130" s="199">
        <f t="shared" si="34"/>
        <v>0</v>
      </c>
      <c r="O130" s="199">
        <f t="shared" si="34"/>
        <v>38644.918999999994</v>
      </c>
      <c r="P130" s="199"/>
      <c r="Q130" s="199">
        <f t="shared" si="34"/>
        <v>0</v>
      </c>
      <c r="R130" s="199">
        <f t="shared" si="34"/>
        <v>260627.83900000001</v>
      </c>
      <c r="S130" s="199">
        <f t="shared" si="34"/>
        <v>0</v>
      </c>
      <c r="T130" s="199">
        <f t="shared" si="34"/>
        <v>0</v>
      </c>
      <c r="U130" s="199">
        <f t="shared" si="34"/>
        <v>260627.83900000001</v>
      </c>
      <c r="V130" s="199"/>
      <c r="W130" s="748">
        <f>O130+U130</f>
        <v>299272.75800000003</v>
      </c>
      <c r="X130" s="179">
        <f>X110+X129</f>
        <v>3581585.9210000001</v>
      </c>
      <c r="Y130" s="29"/>
      <c r="Z130" s="29"/>
      <c r="AA130" s="29"/>
    </row>
    <row r="131" spans="1:27" ht="24.95" hidden="1" customHeight="1" thickTop="1" x14ac:dyDescent="0.2">
      <c r="A131" s="661"/>
      <c r="B131" s="478" t="s">
        <v>151</v>
      </c>
      <c r="C131" s="24" t="s">
        <v>18</v>
      </c>
      <c r="D131" s="25">
        <f t="shared" ref="D131:O131" si="35">D130</f>
        <v>0</v>
      </c>
      <c r="E131" s="25">
        <f t="shared" si="35"/>
        <v>0</v>
      </c>
      <c r="F131" s="25">
        <f t="shared" si="35"/>
        <v>20203.919000000002</v>
      </c>
      <c r="G131" s="25">
        <f t="shared" si="35"/>
        <v>4500</v>
      </c>
      <c r="H131" s="25">
        <f t="shared" si="35"/>
        <v>10681</v>
      </c>
      <c r="I131" s="25">
        <f t="shared" si="35"/>
        <v>0</v>
      </c>
      <c r="J131" s="25">
        <f t="shared" si="35"/>
        <v>0</v>
      </c>
      <c r="K131" s="25">
        <f t="shared" si="35"/>
        <v>0</v>
      </c>
      <c r="L131" s="25">
        <f t="shared" si="35"/>
        <v>2060</v>
      </c>
      <c r="M131" s="25">
        <f t="shared" si="35"/>
        <v>1200</v>
      </c>
      <c r="N131" s="25">
        <f t="shared" si="35"/>
        <v>0</v>
      </c>
      <c r="O131" s="25">
        <f t="shared" si="35"/>
        <v>38644.918999999994</v>
      </c>
      <c r="P131" s="25"/>
      <c r="Q131" s="25">
        <f>Q130</f>
        <v>0</v>
      </c>
      <c r="R131" s="25">
        <f>R130</f>
        <v>260627.83900000001</v>
      </c>
      <c r="S131" s="25">
        <f>S130</f>
        <v>0</v>
      </c>
      <c r="T131" s="25">
        <f>T130</f>
        <v>0</v>
      </c>
      <c r="U131" s="25">
        <f>U130</f>
        <v>260627.83900000001</v>
      </c>
      <c r="V131" s="25"/>
      <c r="W131" s="236">
        <f>O131+U131</f>
        <v>299272.75800000003</v>
      </c>
      <c r="X131" s="137">
        <f>X130</f>
        <v>3581585.9210000001</v>
      </c>
      <c r="Y131" s="29"/>
      <c r="Z131" s="29"/>
      <c r="AA131" s="29"/>
    </row>
    <row r="132" spans="1:27" ht="24.95" hidden="1" customHeight="1" x14ac:dyDescent="0.2">
      <c r="A132" s="202"/>
      <c r="B132" s="548"/>
      <c r="C132" s="467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9"/>
      <c r="W132" s="468"/>
      <c r="X132" s="765"/>
      <c r="Y132" s="29"/>
      <c r="Z132" s="29"/>
      <c r="AA132" s="29"/>
    </row>
    <row r="133" spans="1:27" ht="34.5" hidden="1" customHeight="1" x14ac:dyDescent="0.2">
      <c r="A133" s="175">
        <v>1</v>
      </c>
      <c r="B133" s="547" t="s">
        <v>478</v>
      </c>
      <c r="C133" s="28" t="s">
        <v>477</v>
      </c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>
        <f>SUM(D133:N133)</f>
        <v>0</v>
      </c>
      <c r="P133" s="167"/>
      <c r="Q133" s="167"/>
      <c r="R133" s="167"/>
      <c r="S133" s="167"/>
      <c r="T133" s="167"/>
      <c r="U133" s="167">
        <f>SUM(Q133:T133)</f>
        <v>0</v>
      </c>
      <c r="V133" s="168"/>
      <c r="W133" s="463">
        <f t="shared" ref="W133:W138" si="36">O133+U133</f>
        <v>0</v>
      </c>
      <c r="X133" s="398">
        <f>635</f>
        <v>635</v>
      </c>
      <c r="Y133" s="29"/>
      <c r="Z133" s="29"/>
      <c r="AA133" s="29"/>
    </row>
    <row r="134" spans="1:27" ht="34.5" hidden="1" customHeight="1" x14ac:dyDescent="0.2">
      <c r="A134" s="175">
        <v>2</v>
      </c>
      <c r="B134" s="547" t="s">
        <v>491</v>
      </c>
      <c r="C134" s="28" t="s">
        <v>490</v>
      </c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>
        <f>SUM(D134:N134)</f>
        <v>0</v>
      </c>
      <c r="P134" s="167"/>
      <c r="Q134" s="167"/>
      <c r="R134" s="167"/>
      <c r="S134" s="167"/>
      <c r="T134" s="167"/>
      <c r="U134" s="167">
        <f>SUM(Q134:T134)</f>
        <v>0</v>
      </c>
      <c r="V134" s="168"/>
      <c r="W134" s="463">
        <f t="shared" si="36"/>
        <v>0</v>
      </c>
      <c r="X134" s="398">
        <f>18669</f>
        <v>18669</v>
      </c>
      <c r="Y134" s="29"/>
      <c r="Z134" s="29"/>
      <c r="AA134" s="29"/>
    </row>
    <row r="135" spans="1:27" ht="34.5" hidden="1" customHeight="1" x14ac:dyDescent="0.2">
      <c r="A135" s="175">
        <v>3</v>
      </c>
      <c r="B135" s="547" t="s">
        <v>499</v>
      </c>
      <c r="C135" s="28" t="s">
        <v>497</v>
      </c>
      <c r="D135" s="167"/>
      <c r="E135" s="167"/>
      <c r="F135" s="167"/>
      <c r="G135" s="167"/>
      <c r="H135" s="167">
        <f>6+109+900+3</f>
        <v>1018</v>
      </c>
      <c r="I135" s="167"/>
      <c r="J135" s="167"/>
      <c r="K135" s="167"/>
      <c r="L135" s="167"/>
      <c r="M135" s="167">
        <f>300</f>
        <v>300</v>
      </c>
      <c r="N135" s="167"/>
      <c r="O135" s="167">
        <f>SUM(D135:N135)</f>
        <v>1318</v>
      </c>
      <c r="P135" s="167"/>
      <c r="Q135" s="167"/>
      <c r="R135" s="167"/>
      <c r="S135" s="167"/>
      <c r="T135" s="167"/>
      <c r="U135" s="167">
        <f>SUM(Q135:T135)</f>
        <v>0</v>
      </c>
      <c r="V135" s="168"/>
      <c r="W135" s="463">
        <f t="shared" si="36"/>
        <v>1318</v>
      </c>
      <c r="X135" s="398">
        <f>-1318</f>
        <v>-1318</v>
      </c>
      <c r="Y135" s="29"/>
      <c r="Z135" s="29"/>
      <c r="AA135" s="29"/>
    </row>
    <row r="136" spans="1:27" ht="34.5" hidden="1" customHeight="1" x14ac:dyDescent="0.2">
      <c r="A136" s="175">
        <v>4</v>
      </c>
      <c r="B136" s="662" t="s">
        <v>537</v>
      </c>
      <c r="C136" s="28" t="s">
        <v>538</v>
      </c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>
        <f>SUM(D136:N136)</f>
        <v>0</v>
      </c>
      <c r="P136" s="167"/>
      <c r="Q136" s="167"/>
      <c r="R136" s="167"/>
      <c r="S136" s="167"/>
      <c r="T136" s="167"/>
      <c r="U136" s="167">
        <f>SUM(Q136:T136)</f>
        <v>0</v>
      </c>
      <c r="V136" s="168"/>
      <c r="W136" s="463">
        <f t="shared" si="36"/>
        <v>0</v>
      </c>
      <c r="X136" s="398">
        <v>184.98599999999999</v>
      </c>
      <c r="Y136" s="29"/>
      <c r="Z136" s="29"/>
      <c r="AA136" s="29"/>
    </row>
    <row r="137" spans="1:27" ht="24.95" hidden="1" customHeight="1" x14ac:dyDescent="0.2">
      <c r="A137" s="39"/>
      <c r="B137" s="31"/>
      <c r="C137" s="40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>
        <f>SUM(D137:N137)</f>
        <v>0</v>
      </c>
      <c r="P137" s="167"/>
      <c r="Q137" s="167"/>
      <c r="R137" s="167"/>
      <c r="S137" s="167"/>
      <c r="T137" s="167"/>
      <c r="U137" s="167">
        <f>SUM(Q137:T137)</f>
        <v>0</v>
      </c>
      <c r="V137" s="168"/>
      <c r="W137" s="463">
        <f t="shared" si="36"/>
        <v>0</v>
      </c>
      <c r="X137" s="398"/>
      <c r="Y137" s="29"/>
      <c r="Z137" s="29"/>
      <c r="AA137" s="29"/>
    </row>
    <row r="138" spans="1:27" ht="24.95" hidden="1" customHeight="1" x14ac:dyDescent="0.2">
      <c r="A138" s="39"/>
      <c r="B138" s="31"/>
      <c r="C138" s="40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8"/>
      <c r="W138" s="463">
        <f t="shared" si="36"/>
        <v>0</v>
      </c>
      <c r="X138" s="398"/>
      <c r="Y138" s="29"/>
      <c r="Z138" s="29"/>
      <c r="AA138" s="29"/>
    </row>
    <row r="139" spans="1:27" ht="24.95" hidden="1" customHeight="1" x14ac:dyDescent="0.2">
      <c r="A139" s="39"/>
      <c r="B139" s="122"/>
      <c r="C139" s="40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8"/>
      <c r="W139" s="463"/>
      <c r="X139" s="761"/>
      <c r="Y139" s="29"/>
      <c r="Z139" s="29"/>
      <c r="AA139" s="29"/>
    </row>
    <row r="140" spans="1:27" ht="24.95" hidden="1" customHeight="1" x14ac:dyDescent="0.2">
      <c r="A140" s="205" t="s">
        <v>64</v>
      </c>
      <c r="B140" s="201"/>
      <c r="C140" s="206" t="s">
        <v>62</v>
      </c>
      <c r="D140" s="167">
        <f t="shared" ref="D140:X140" si="37">SUM(D133:D139)</f>
        <v>0</v>
      </c>
      <c r="E140" s="167">
        <f t="shared" si="37"/>
        <v>0</v>
      </c>
      <c r="F140" s="167">
        <f t="shared" si="37"/>
        <v>0</v>
      </c>
      <c r="G140" s="167">
        <f t="shared" si="37"/>
        <v>0</v>
      </c>
      <c r="H140" s="167">
        <f t="shared" si="37"/>
        <v>1018</v>
      </c>
      <c r="I140" s="167">
        <f t="shared" si="37"/>
        <v>0</v>
      </c>
      <c r="J140" s="167">
        <f t="shared" si="37"/>
        <v>0</v>
      </c>
      <c r="K140" s="167">
        <f t="shared" si="37"/>
        <v>0</v>
      </c>
      <c r="L140" s="167">
        <f t="shared" si="37"/>
        <v>0</v>
      </c>
      <c r="M140" s="167">
        <f t="shared" si="37"/>
        <v>300</v>
      </c>
      <c r="N140" s="167">
        <f t="shared" si="37"/>
        <v>0</v>
      </c>
      <c r="O140" s="167">
        <f t="shared" si="37"/>
        <v>1318</v>
      </c>
      <c r="P140" s="167"/>
      <c r="Q140" s="167">
        <f t="shared" si="37"/>
        <v>0</v>
      </c>
      <c r="R140" s="167">
        <f t="shared" si="37"/>
        <v>0</v>
      </c>
      <c r="S140" s="167">
        <f t="shared" si="37"/>
        <v>0</v>
      </c>
      <c r="T140" s="167">
        <f t="shared" si="37"/>
        <v>0</v>
      </c>
      <c r="U140" s="167">
        <f t="shared" si="37"/>
        <v>0</v>
      </c>
      <c r="V140" s="167"/>
      <c r="W140" s="747">
        <f t="shared" si="37"/>
        <v>1318</v>
      </c>
      <c r="X140" s="398">
        <f t="shared" si="37"/>
        <v>18170.986000000001</v>
      </c>
      <c r="Y140" s="29"/>
      <c r="Z140" s="29"/>
      <c r="AA140" s="29"/>
    </row>
    <row r="141" spans="1:27" ht="24.95" hidden="1" customHeight="1" x14ac:dyDescent="0.25">
      <c r="A141" s="39"/>
      <c r="C141" s="408"/>
      <c r="D141" s="408"/>
      <c r="E141" s="408"/>
      <c r="F141" s="408"/>
      <c r="G141" s="167"/>
      <c r="H141" s="167"/>
      <c r="I141" s="167"/>
      <c r="J141" s="167"/>
      <c r="K141" s="167"/>
      <c r="L141" s="167"/>
      <c r="M141" s="167"/>
      <c r="N141" s="167"/>
      <c r="O141" s="167">
        <f>SUM(D141:N141)</f>
        <v>0</v>
      </c>
      <c r="P141" s="167"/>
      <c r="Q141" s="167"/>
      <c r="R141" s="167"/>
      <c r="S141" s="167"/>
      <c r="T141" s="167"/>
      <c r="U141" s="167"/>
      <c r="V141" s="167"/>
      <c r="W141" s="463"/>
      <c r="X141" s="761"/>
      <c r="Y141" s="29"/>
      <c r="Z141" s="29"/>
      <c r="AA141" s="29"/>
    </row>
    <row r="142" spans="1:27" ht="24.95" hidden="1" customHeight="1" x14ac:dyDescent="0.2">
      <c r="A142" s="175" t="s">
        <v>89</v>
      </c>
      <c r="B142" s="222"/>
      <c r="C142" s="40"/>
      <c r="D142" s="167"/>
      <c r="E142" s="167"/>
      <c r="F142" s="167"/>
      <c r="G142" s="167"/>
      <c r="H142" s="167"/>
      <c r="I142" s="167"/>
      <c r="J142" s="167"/>
      <c r="K142" s="167"/>
      <c r="M142" s="167"/>
      <c r="N142" s="167"/>
      <c r="O142" s="167">
        <f>SUM(D142:N142)</f>
        <v>0</v>
      </c>
      <c r="P142" s="167"/>
      <c r="Q142" s="167"/>
      <c r="R142" s="167"/>
      <c r="S142" s="167"/>
      <c r="T142" s="167"/>
      <c r="U142" s="167">
        <f>SUM(Q142:T142)</f>
        <v>0</v>
      </c>
      <c r="V142" s="167"/>
      <c r="W142" s="463">
        <f>O142+U142</f>
        <v>0</v>
      </c>
      <c r="X142" s="761"/>
      <c r="Y142" s="29"/>
      <c r="Z142" s="29"/>
      <c r="AA142" s="29"/>
    </row>
    <row r="143" spans="1:27" ht="24.95" hidden="1" customHeight="1" x14ac:dyDescent="0.2">
      <c r="A143" s="175" t="s">
        <v>89</v>
      </c>
      <c r="B143" s="222"/>
      <c r="C143" s="40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>
        <f>SUM(D143:N143)</f>
        <v>0</v>
      </c>
      <c r="P143" s="167"/>
      <c r="Q143" s="167"/>
      <c r="R143" s="167"/>
      <c r="S143" s="167"/>
      <c r="T143" s="167"/>
      <c r="U143" s="167">
        <f>SUM(Q143:T143)</f>
        <v>0</v>
      </c>
      <c r="V143" s="167"/>
      <c r="W143" s="463">
        <f>O143+U143</f>
        <v>0</v>
      </c>
      <c r="X143" s="761"/>
      <c r="Y143" s="29"/>
      <c r="Z143" s="29"/>
      <c r="AA143" s="29"/>
    </row>
    <row r="144" spans="1:27" ht="24.95" hidden="1" customHeight="1" x14ac:dyDescent="0.2">
      <c r="A144" s="39"/>
      <c r="B144" s="120"/>
      <c r="C144" s="40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>
        <f>SUM(D144:N144)</f>
        <v>0</v>
      </c>
      <c r="P144" s="167"/>
      <c r="Q144" s="167"/>
      <c r="R144" s="167"/>
      <c r="S144" s="167"/>
      <c r="T144" s="167"/>
      <c r="U144" s="167">
        <f>SUM(Q144:T144)</f>
        <v>0</v>
      </c>
      <c r="V144" s="167"/>
      <c r="W144" s="463">
        <f>O144+U144</f>
        <v>0</v>
      </c>
      <c r="X144" s="761"/>
      <c r="Y144" s="29"/>
      <c r="Z144" s="29"/>
      <c r="AA144" s="29"/>
    </row>
    <row r="145" spans="1:27" ht="24.95" hidden="1" customHeight="1" x14ac:dyDescent="0.2">
      <c r="A145" s="39"/>
      <c r="B145" s="120"/>
      <c r="C145" s="40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463"/>
      <c r="X145" s="203"/>
      <c r="Y145" s="29"/>
      <c r="Z145" s="29"/>
      <c r="AA145" s="29"/>
    </row>
    <row r="146" spans="1:27" ht="24.95" hidden="1" customHeight="1" x14ac:dyDescent="0.2">
      <c r="A146" s="205" t="s">
        <v>65</v>
      </c>
      <c r="B146" s="201"/>
      <c r="C146" s="206" t="s">
        <v>63</v>
      </c>
      <c r="D146" s="167">
        <f t="shared" ref="D146:O146" si="38">SUM(D142:D145)</f>
        <v>0</v>
      </c>
      <c r="E146" s="167">
        <f t="shared" si="38"/>
        <v>0</v>
      </c>
      <c r="F146" s="167">
        <f t="shared" si="38"/>
        <v>0</v>
      </c>
      <c r="G146" s="167">
        <f t="shared" si="38"/>
        <v>0</v>
      </c>
      <c r="H146" s="167">
        <f t="shared" si="38"/>
        <v>0</v>
      </c>
      <c r="I146" s="167">
        <f t="shared" si="38"/>
        <v>0</v>
      </c>
      <c r="J146" s="167">
        <f t="shared" si="38"/>
        <v>0</v>
      </c>
      <c r="K146" s="167">
        <f t="shared" si="38"/>
        <v>0</v>
      </c>
      <c r="L146" s="167">
        <f t="shared" si="38"/>
        <v>0</v>
      </c>
      <c r="M146" s="167">
        <f t="shared" si="38"/>
        <v>0</v>
      </c>
      <c r="N146" s="167">
        <f t="shared" si="38"/>
        <v>0</v>
      </c>
      <c r="O146" s="167">
        <f t="shared" si="38"/>
        <v>0</v>
      </c>
      <c r="P146" s="167"/>
      <c r="Q146" s="167">
        <f>SUM(Q142:Q145)</f>
        <v>0</v>
      </c>
      <c r="R146" s="167">
        <f>SUM(R142:R145)</f>
        <v>0</v>
      </c>
      <c r="S146" s="167">
        <f>SUM(S142:S145)</f>
        <v>0</v>
      </c>
      <c r="T146" s="167">
        <f>SUM(T142:T145)</f>
        <v>0</v>
      </c>
      <c r="U146" s="167">
        <f>SUM(U142:U145)</f>
        <v>0</v>
      </c>
      <c r="V146" s="167"/>
      <c r="W146" s="747">
        <f>SUM(W142:W145)</f>
        <v>0</v>
      </c>
      <c r="X146" s="764">
        <f>SUM(X142:X145)</f>
        <v>0</v>
      </c>
      <c r="Y146" s="29"/>
      <c r="Z146" s="29"/>
      <c r="AA146" s="29"/>
    </row>
    <row r="147" spans="1:27" ht="24.95" hidden="1" customHeight="1" x14ac:dyDescent="0.2">
      <c r="A147" s="39"/>
      <c r="B147" s="31"/>
      <c r="C147" s="40"/>
      <c r="D147" s="167"/>
      <c r="E147" s="167"/>
      <c r="F147" s="167"/>
      <c r="G147" s="167"/>
      <c r="H147" s="167"/>
      <c r="I147" s="167"/>
      <c r="J147" s="167"/>
      <c r="K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463"/>
      <c r="X147" s="761"/>
      <c r="Y147" s="29"/>
      <c r="Z147" s="29"/>
      <c r="AA147" s="29"/>
    </row>
    <row r="148" spans="1:27" ht="24.95" hidden="1" customHeight="1" thickBot="1" x14ac:dyDescent="0.2">
      <c r="A148" s="39"/>
      <c r="B148" s="32"/>
      <c r="C148" s="34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463"/>
      <c r="X148" s="761"/>
      <c r="Y148" s="29"/>
      <c r="Z148" s="29"/>
      <c r="AA148" s="29"/>
    </row>
    <row r="149" spans="1:27" ht="24.95" hidden="1" customHeight="1" thickTop="1" thickBot="1" x14ac:dyDescent="0.25">
      <c r="A149" s="45"/>
      <c r="B149" s="253"/>
      <c r="C149" s="43" t="s">
        <v>66</v>
      </c>
      <c r="D149" s="171">
        <f t="shared" ref="D149:O149" si="39">D140+D146</f>
        <v>0</v>
      </c>
      <c r="E149" s="171">
        <f t="shared" si="39"/>
        <v>0</v>
      </c>
      <c r="F149" s="171">
        <f t="shared" si="39"/>
        <v>0</v>
      </c>
      <c r="G149" s="171">
        <f t="shared" si="39"/>
        <v>0</v>
      </c>
      <c r="H149" s="171">
        <f t="shared" si="39"/>
        <v>1018</v>
      </c>
      <c r="I149" s="171">
        <f t="shared" si="39"/>
        <v>0</v>
      </c>
      <c r="J149" s="171">
        <f t="shared" si="39"/>
        <v>0</v>
      </c>
      <c r="K149" s="171">
        <f t="shared" si="39"/>
        <v>0</v>
      </c>
      <c r="L149" s="171">
        <f t="shared" si="39"/>
        <v>0</v>
      </c>
      <c r="M149" s="171">
        <f t="shared" si="39"/>
        <v>300</v>
      </c>
      <c r="N149" s="171">
        <f t="shared" si="39"/>
        <v>0</v>
      </c>
      <c r="O149" s="171">
        <f t="shared" si="39"/>
        <v>1318</v>
      </c>
      <c r="P149" s="171"/>
      <c r="Q149" s="171">
        <f>Q140+Q146</f>
        <v>0</v>
      </c>
      <c r="R149" s="171">
        <f>R140+R146</f>
        <v>0</v>
      </c>
      <c r="S149" s="171">
        <f>S140+S146</f>
        <v>0</v>
      </c>
      <c r="T149" s="171">
        <f>T140+T146</f>
        <v>0</v>
      </c>
      <c r="U149" s="171">
        <f>U140+U146</f>
        <v>0</v>
      </c>
      <c r="V149" s="171"/>
      <c r="W149" s="748">
        <f>W140+W146</f>
        <v>1318</v>
      </c>
      <c r="X149" s="179">
        <f>X140+X146</f>
        <v>18170.986000000001</v>
      </c>
      <c r="Y149" s="29"/>
      <c r="Z149" s="29"/>
      <c r="AA149" s="29"/>
    </row>
    <row r="150" spans="1:27" ht="24.95" hidden="1" customHeight="1" thickTop="1" thickBot="1" x14ac:dyDescent="0.25">
      <c r="A150" s="41"/>
      <c r="B150" s="42" t="s">
        <v>150</v>
      </c>
      <c r="C150" s="43" t="s">
        <v>124</v>
      </c>
      <c r="D150" s="199">
        <f t="shared" ref="D150:O150" si="40">D131+D149</f>
        <v>0</v>
      </c>
      <c r="E150" s="199">
        <f t="shared" si="40"/>
        <v>0</v>
      </c>
      <c r="F150" s="199">
        <f t="shared" si="40"/>
        <v>20203.919000000002</v>
      </c>
      <c r="G150" s="199">
        <f t="shared" si="40"/>
        <v>4500</v>
      </c>
      <c r="H150" s="199">
        <f t="shared" si="40"/>
        <v>11699</v>
      </c>
      <c r="I150" s="199">
        <f t="shared" si="40"/>
        <v>0</v>
      </c>
      <c r="J150" s="199">
        <f t="shared" si="40"/>
        <v>0</v>
      </c>
      <c r="K150" s="199">
        <f t="shared" si="40"/>
        <v>0</v>
      </c>
      <c r="L150" s="199">
        <f t="shared" si="40"/>
        <v>2060</v>
      </c>
      <c r="M150" s="199">
        <f t="shared" si="40"/>
        <v>1500</v>
      </c>
      <c r="N150" s="199">
        <f t="shared" si="40"/>
        <v>0</v>
      </c>
      <c r="O150" s="199">
        <f t="shared" si="40"/>
        <v>39962.918999999994</v>
      </c>
      <c r="P150" s="199"/>
      <c r="Q150" s="199">
        <f>Q131+Q149</f>
        <v>0</v>
      </c>
      <c r="R150" s="199">
        <f>R131+R149</f>
        <v>260627.83900000001</v>
      </c>
      <c r="S150" s="199">
        <f>S131+S149</f>
        <v>0</v>
      </c>
      <c r="T150" s="199">
        <f>T131+T149</f>
        <v>0</v>
      </c>
      <c r="U150" s="199">
        <f>U131+U149</f>
        <v>260627.83900000001</v>
      </c>
      <c r="V150" s="199"/>
      <c r="W150" s="748">
        <f>W131+W149</f>
        <v>300590.75800000003</v>
      </c>
      <c r="X150" s="179">
        <f>X131+X149</f>
        <v>3599756.9070000001</v>
      </c>
      <c r="Y150" s="29">
        <f>SUM(W150:X150)</f>
        <v>3900347.665</v>
      </c>
      <c r="Z150" s="29"/>
      <c r="AA150" s="29"/>
    </row>
    <row r="151" spans="1:27" ht="24.95" hidden="1" customHeight="1" thickTop="1" x14ac:dyDescent="0.2">
      <c r="A151" s="202"/>
      <c r="B151" s="217"/>
      <c r="C151" s="218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2"/>
      <c r="W151" s="749"/>
      <c r="X151" s="766"/>
      <c r="Y151" s="29"/>
      <c r="Z151" s="29"/>
      <c r="AA151" s="29"/>
    </row>
    <row r="152" spans="1:27" ht="24.95" hidden="1" customHeight="1" x14ac:dyDescent="0.2">
      <c r="A152" s="202"/>
      <c r="B152" s="217"/>
      <c r="C152" s="218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>
        <f t="shared" ref="O152:O154" si="41">SUM(D152:N152)</f>
        <v>0</v>
      </c>
      <c r="P152" s="251"/>
      <c r="Q152" s="251"/>
      <c r="R152" s="251"/>
      <c r="S152" s="251"/>
      <c r="T152" s="251"/>
      <c r="U152" s="251">
        <f t="shared" ref="U152:U154" si="42">SUM(Q152:T152)</f>
        <v>0</v>
      </c>
      <c r="V152" s="252"/>
      <c r="W152" s="749">
        <f t="shared" ref="W152:W154" si="43">O152+U152</f>
        <v>0</v>
      </c>
      <c r="X152" s="766"/>
      <c r="Y152" s="29"/>
      <c r="Z152" s="29"/>
      <c r="AA152" s="29"/>
    </row>
    <row r="153" spans="1:27" ht="24.95" hidden="1" customHeight="1" x14ac:dyDescent="0.2">
      <c r="A153" s="39"/>
      <c r="B153" s="47" t="s">
        <v>307</v>
      </c>
      <c r="C153" s="48" t="s">
        <v>21</v>
      </c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>
        <f t="shared" si="41"/>
        <v>0</v>
      </c>
      <c r="P153" s="152"/>
      <c r="Q153" s="152"/>
      <c r="R153" s="152"/>
      <c r="S153" s="152"/>
      <c r="T153" s="152"/>
      <c r="U153" s="152">
        <f t="shared" si="42"/>
        <v>0</v>
      </c>
      <c r="V153" s="158"/>
      <c r="W153" s="463">
        <f t="shared" si="43"/>
        <v>0</v>
      </c>
      <c r="X153" s="761">
        <v>-38078</v>
      </c>
    </row>
    <row r="154" spans="1:27" ht="24.95" hidden="1" customHeight="1" x14ac:dyDescent="0.2">
      <c r="A154" s="39"/>
      <c r="B154" s="47"/>
      <c r="C154" s="40" t="s">
        <v>52</v>
      </c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>
        <f t="shared" si="41"/>
        <v>0</v>
      </c>
      <c r="P154" s="152"/>
      <c r="Q154" s="152"/>
      <c r="R154" s="152"/>
      <c r="S154" s="152"/>
      <c r="T154" s="152"/>
      <c r="U154" s="152">
        <f t="shared" si="42"/>
        <v>0</v>
      </c>
      <c r="V154" s="158"/>
      <c r="W154" s="463">
        <f t="shared" si="43"/>
        <v>0</v>
      </c>
      <c r="X154" s="761"/>
    </row>
    <row r="155" spans="1:27" ht="24.95" hidden="1" customHeight="1" thickBot="1" x14ac:dyDescent="0.2">
      <c r="A155" s="39"/>
      <c r="B155" s="47"/>
      <c r="C155" s="48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8"/>
      <c r="W155" s="463"/>
      <c r="X155" s="761"/>
    </row>
    <row r="156" spans="1:27" ht="24.95" hidden="1" customHeight="1" thickTop="1" thickBot="1" x14ac:dyDescent="0.25">
      <c r="A156" s="46"/>
      <c r="B156" s="42" t="s">
        <v>458</v>
      </c>
      <c r="C156" s="43" t="s">
        <v>24</v>
      </c>
      <c r="D156" s="160">
        <f t="shared" ref="D156:O156" si="44">SUM(D153:D155)</f>
        <v>0</v>
      </c>
      <c r="E156" s="160">
        <f t="shared" si="44"/>
        <v>0</v>
      </c>
      <c r="F156" s="160">
        <f t="shared" si="44"/>
        <v>0</v>
      </c>
      <c r="G156" s="160">
        <f t="shared" si="44"/>
        <v>0</v>
      </c>
      <c r="H156" s="160">
        <f t="shared" si="44"/>
        <v>0</v>
      </c>
      <c r="I156" s="160">
        <f t="shared" si="44"/>
        <v>0</v>
      </c>
      <c r="J156" s="160">
        <f t="shared" si="44"/>
        <v>0</v>
      </c>
      <c r="K156" s="160">
        <f t="shared" si="44"/>
        <v>0</v>
      </c>
      <c r="L156" s="160">
        <f t="shared" si="44"/>
        <v>0</v>
      </c>
      <c r="M156" s="160">
        <f t="shared" si="44"/>
        <v>0</v>
      </c>
      <c r="N156" s="160">
        <f t="shared" si="44"/>
        <v>0</v>
      </c>
      <c r="O156" s="160">
        <f t="shared" si="44"/>
        <v>0</v>
      </c>
      <c r="P156" s="160"/>
      <c r="Q156" s="160">
        <f>SUM(Q153:Q155)</f>
        <v>0</v>
      </c>
      <c r="R156" s="160">
        <f>SUM(R153:R155)</f>
        <v>0</v>
      </c>
      <c r="S156" s="160">
        <f>SUM(S153:S155)</f>
        <v>0</v>
      </c>
      <c r="T156" s="160">
        <f>SUM(T153:T155)</f>
        <v>0</v>
      </c>
      <c r="U156" s="160">
        <f>SUM(U153:U155)</f>
        <v>0</v>
      </c>
      <c r="V156" s="265"/>
      <c r="W156" s="750">
        <f>O156+U156</f>
        <v>0</v>
      </c>
      <c r="X156" s="767">
        <f>SUM(X153:X155)</f>
        <v>-38078</v>
      </c>
    </row>
    <row r="157" spans="1:27" ht="9.9499999999999993" hidden="1" customHeight="1" thickTop="1" x14ac:dyDescent="0.2">
      <c r="A157" s="181"/>
      <c r="B157" s="182"/>
      <c r="C157" s="183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5"/>
      <c r="W157" s="751"/>
      <c r="X157" s="185"/>
    </row>
    <row r="158" spans="1:27" ht="24.95" hidden="1" customHeight="1" x14ac:dyDescent="0.2">
      <c r="A158" s="186"/>
      <c r="B158" s="187"/>
      <c r="C158" s="195" t="s">
        <v>52</v>
      </c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>
        <f>SUM(D158:N158)</f>
        <v>0</v>
      </c>
      <c r="P158" s="188"/>
      <c r="Q158" s="188"/>
      <c r="R158" s="188"/>
      <c r="S158" s="188"/>
      <c r="T158" s="188"/>
      <c r="U158" s="188">
        <f>SUM(Q158:T158)</f>
        <v>0</v>
      </c>
      <c r="V158" s="189"/>
      <c r="W158" s="752">
        <f>O158+U158</f>
        <v>0</v>
      </c>
      <c r="X158" s="189"/>
    </row>
    <row r="159" spans="1:27" ht="9.9499999999999993" hidden="1" customHeight="1" thickBot="1" x14ac:dyDescent="0.25">
      <c r="A159" s="190"/>
      <c r="B159" s="191"/>
      <c r="C159" s="192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4"/>
      <c r="W159" s="753"/>
      <c r="X159" s="194"/>
    </row>
    <row r="160" spans="1:27" ht="24.95" hidden="1" customHeight="1" thickTop="1" x14ac:dyDescent="0.2">
      <c r="A160" s="670"/>
      <c r="B160" s="707" t="s">
        <v>459</v>
      </c>
      <c r="C160" s="515" t="s">
        <v>124</v>
      </c>
      <c r="D160" s="516">
        <f>D150+D156</f>
        <v>0</v>
      </c>
      <c r="E160" s="516">
        <f t="shared" ref="E160:V160" si="45">E150+E156</f>
        <v>0</v>
      </c>
      <c r="F160" s="516">
        <f t="shared" si="45"/>
        <v>20203.919000000002</v>
      </c>
      <c r="G160" s="516">
        <f t="shared" si="45"/>
        <v>4500</v>
      </c>
      <c r="H160" s="516">
        <f t="shared" si="45"/>
        <v>11699</v>
      </c>
      <c r="I160" s="516">
        <f t="shared" si="45"/>
        <v>0</v>
      </c>
      <c r="J160" s="516">
        <f t="shared" si="45"/>
        <v>0</v>
      </c>
      <c r="K160" s="516">
        <f t="shared" si="45"/>
        <v>0</v>
      </c>
      <c r="L160" s="516">
        <f t="shared" si="45"/>
        <v>2060</v>
      </c>
      <c r="M160" s="516">
        <f t="shared" si="45"/>
        <v>1500</v>
      </c>
      <c r="N160" s="516">
        <f t="shared" si="45"/>
        <v>0</v>
      </c>
      <c r="O160" s="516">
        <f t="shared" si="45"/>
        <v>39962.918999999994</v>
      </c>
      <c r="P160" s="516">
        <f t="shared" si="45"/>
        <v>0</v>
      </c>
      <c r="Q160" s="516">
        <f t="shared" si="45"/>
        <v>0</v>
      </c>
      <c r="R160" s="516">
        <f t="shared" si="45"/>
        <v>260627.83900000001</v>
      </c>
      <c r="S160" s="516">
        <f t="shared" si="45"/>
        <v>0</v>
      </c>
      <c r="T160" s="516">
        <f t="shared" si="45"/>
        <v>0</v>
      </c>
      <c r="U160" s="516">
        <f t="shared" si="45"/>
        <v>260627.83900000001</v>
      </c>
      <c r="V160" s="516">
        <f t="shared" si="45"/>
        <v>0</v>
      </c>
      <c r="W160" s="754">
        <f>W150+W156</f>
        <v>300590.75800000003</v>
      </c>
      <c r="X160" s="672">
        <f>X150+X156</f>
        <v>3561678.9070000001</v>
      </c>
      <c r="Y160" s="29">
        <f>SUM(W160:X160)</f>
        <v>3862269.665</v>
      </c>
      <c r="AA160" s="29"/>
    </row>
    <row r="161" spans="1:24" ht="24.95" customHeight="1" x14ac:dyDescent="0.2">
      <c r="A161" s="674"/>
      <c r="B161" s="478"/>
      <c r="C161" s="63" t="s">
        <v>18</v>
      </c>
      <c r="D161" s="25">
        <f t="shared" ref="D161:L161" si="46">D160</f>
        <v>0</v>
      </c>
      <c r="E161" s="25">
        <f t="shared" si="46"/>
        <v>0</v>
      </c>
      <c r="F161" s="25">
        <f t="shared" si="46"/>
        <v>20203.919000000002</v>
      </c>
      <c r="G161" s="25">
        <f t="shared" si="46"/>
        <v>4500</v>
      </c>
      <c r="H161" s="25">
        <f t="shared" si="46"/>
        <v>11699</v>
      </c>
      <c r="I161" s="25">
        <f t="shared" si="46"/>
        <v>0</v>
      </c>
      <c r="J161" s="25">
        <f t="shared" si="46"/>
        <v>0</v>
      </c>
      <c r="K161" s="25">
        <f t="shared" si="46"/>
        <v>0</v>
      </c>
      <c r="L161" s="25">
        <f t="shared" si="46"/>
        <v>2060</v>
      </c>
      <c r="M161" s="25">
        <f t="shared" ref="M161:U161" si="47">M160</f>
        <v>1500</v>
      </c>
      <c r="N161" s="25">
        <f t="shared" si="47"/>
        <v>0</v>
      </c>
      <c r="O161" s="25">
        <f t="shared" si="47"/>
        <v>39962.918999999994</v>
      </c>
      <c r="P161" s="25"/>
      <c r="Q161" s="25">
        <f>Q160</f>
        <v>0</v>
      </c>
      <c r="R161" s="25">
        <f>R160</f>
        <v>260627.83900000001</v>
      </c>
      <c r="S161" s="25">
        <f t="shared" si="47"/>
        <v>0</v>
      </c>
      <c r="T161" s="25">
        <f t="shared" si="47"/>
        <v>0</v>
      </c>
      <c r="U161" s="25">
        <f t="shared" si="47"/>
        <v>260627.83900000001</v>
      </c>
      <c r="V161" s="25"/>
      <c r="W161" s="755">
        <f>O161+U161</f>
        <v>300590.75800000003</v>
      </c>
      <c r="X161" s="137">
        <f>X160</f>
        <v>3561678.9070000001</v>
      </c>
    </row>
    <row r="162" spans="1:24" ht="20.100000000000001" customHeight="1" x14ac:dyDescent="0.2">
      <c r="A162" s="175"/>
      <c r="B162" s="365"/>
      <c r="C162" s="268"/>
      <c r="D162" s="269"/>
      <c r="E162" s="167"/>
      <c r="F162" s="167"/>
      <c r="G162" s="167"/>
      <c r="H162" s="172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8"/>
      <c r="W162" s="463"/>
      <c r="X162" s="398"/>
    </row>
    <row r="163" spans="1:24" ht="33.950000000000003" customHeight="1" x14ac:dyDescent="0.2">
      <c r="A163" s="175">
        <v>1</v>
      </c>
      <c r="B163" s="709" t="s">
        <v>616</v>
      </c>
      <c r="C163" s="38" t="s">
        <v>613</v>
      </c>
      <c r="D163" s="167"/>
      <c r="E163" s="167"/>
      <c r="F163" s="167"/>
      <c r="G163" s="167"/>
      <c r="H163" s="172"/>
      <c r="I163" s="167"/>
      <c r="J163" s="167"/>
      <c r="K163" s="167"/>
      <c r="L163" s="167"/>
      <c r="M163" s="167"/>
      <c r="N163" s="167"/>
      <c r="O163" s="167">
        <f t="shared" ref="O163:O181" si="48">SUM(D163:N163)</f>
        <v>0</v>
      </c>
      <c r="P163" s="167"/>
      <c r="Q163" s="167"/>
      <c r="R163" s="167"/>
      <c r="S163" s="167"/>
      <c r="T163" s="167"/>
      <c r="U163" s="167">
        <f t="shared" ref="U163" si="49">SUM(Q163:T163)</f>
        <v>0</v>
      </c>
      <c r="V163" s="168"/>
      <c r="W163" s="463">
        <f t="shared" ref="W163" si="50">O163+U163</f>
        <v>0</v>
      </c>
      <c r="X163" s="398">
        <v>173.035</v>
      </c>
    </row>
    <row r="164" spans="1:24" ht="33.950000000000003" customHeight="1" x14ac:dyDescent="0.2">
      <c r="A164" s="363">
        <v>2</v>
      </c>
      <c r="B164" s="270" t="s">
        <v>633</v>
      </c>
      <c r="C164" s="38" t="s">
        <v>629</v>
      </c>
      <c r="D164" s="167"/>
      <c r="E164" s="167"/>
      <c r="F164" s="167"/>
      <c r="G164" s="167"/>
      <c r="H164" s="172"/>
      <c r="I164" s="167"/>
      <c r="J164" s="167"/>
      <c r="K164" s="167"/>
      <c r="L164" s="167"/>
      <c r="M164" s="167"/>
      <c r="N164" s="167"/>
      <c r="O164" s="167">
        <f t="shared" si="48"/>
        <v>0</v>
      </c>
      <c r="P164" s="167"/>
      <c r="Q164" s="167"/>
      <c r="R164" s="167"/>
      <c r="S164" s="167"/>
      <c r="T164" s="167"/>
      <c r="U164" s="167">
        <f t="shared" ref="U164:U181" si="51">SUM(Q164:T164)</f>
        <v>0</v>
      </c>
      <c r="V164" s="168"/>
      <c r="W164" s="463">
        <f t="shared" ref="W164:W181" si="52">O164+U164</f>
        <v>0</v>
      </c>
      <c r="X164" s="398">
        <f>-7344</f>
        <v>-7344</v>
      </c>
    </row>
    <row r="165" spans="1:24" ht="33.950000000000003" customHeight="1" x14ac:dyDescent="0.2">
      <c r="A165" s="175">
        <v>3</v>
      </c>
      <c r="B165" s="709" t="s">
        <v>665</v>
      </c>
      <c r="C165" s="38" t="s">
        <v>664</v>
      </c>
      <c r="D165" s="167"/>
      <c r="E165" s="167"/>
      <c r="F165" s="167"/>
      <c r="G165" s="167"/>
      <c r="H165" s="172"/>
      <c r="I165" s="167"/>
      <c r="J165" s="167"/>
      <c r="K165" s="167"/>
      <c r="L165" s="167"/>
      <c r="M165" s="167"/>
      <c r="N165" s="167"/>
      <c r="O165" s="167">
        <f t="shared" si="48"/>
        <v>0</v>
      </c>
      <c r="P165" s="167"/>
      <c r="Q165" s="167"/>
      <c r="R165" s="167"/>
      <c r="S165" s="167"/>
      <c r="T165" s="167"/>
      <c r="U165" s="167">
        <f t="shared" si="51"/>
        <v>0</v>
      </c>
      <c r="V165" s="168"/>
      <c r="W165" s="463">
        <f t="shared" si="52"/>
        <v>0</v>
      </c>
      <c r="X165" s="398">
        <f>-750</f>
        <v>-750</v>
      </c>
    </row>
    <row r="166" spans="1:24" ht="33.950000000000003" customHeight="1" x14ac:dyDescent="0.2">
      <c r="A166" s="363">
        <v>4</v>
      </c>
      <c r="B166" s="709" t="s">
        <v>672</v>
      </c>
      <c r="C166" s="38" t="s">
        <v>671</v>
      </c>
      <c r="D166" s="167"/>
      <c r="E166" s="167"/>
      <c r="F166" s="167"/>
      <c r="G166" s="167"/>
      <c r="H166" s="172"/>
      <c r="I166" s="167"/>
      <c r="J166" s="167"/>
      <c r="K166" s="167"/>
      <c r="L166" s="167"/>
      <c r="M166" s="167"/>
      <c r="N166" s="167"/>
      <c r="O166" s="167">
        <f t="shared" si="48"/>
        <v>0</v>
      </c>
      <c r="P166" s="167"/>
      <c r="Q166" s="167"/>
      <c r="R166" s="167"/>
      <c r="S166" s="167"/>
      <c r="T166" s="167"/>
      <c r="U166" s="167">
        <f t="shared" si="51"/>
        <v>0</v>
      </c>
      <c r="V166" s="168"/>
      <c r="W166" s="463">
        <f t="shared" si="52"/>
        <v>0</v>
      </c>
      <c r="X166" s="398">
        <f>17653</f>
        <v>17653</v>
      </c>
    </row>
    <row r="167" spans="1:24" ht="33.950000000000003" customHeight="1" x14ac:dyDescent="0.2">
      <c r="A167" s="175">
        <v>5</v>
      </c>
      <c r="B167" s="709" t="s">
        <v>660</v>
      </c>
      <c r="C167" s="33" t="s">
        <v>613</v>
      </c>
      <c r="D167" s="167"/>
      <c r="E167" s="167"/>
      <c r="F167" s="167"/>
      <c r="G167" s="167"/>
      <c r="H167" s="172"/>
      <c r="I167" s="167"/>
      <c r="J167" s="167"/>
      <c r="K167" s="167"/>
      <c r="L167" s="167"/>
      <c r="M167" s="167"/>
      <c r="N167" s="167"/>
      <c r="O167" s="167">
        <f t="shared" si="48"/>
        <v>0</v>
      </c>
      <c r="P167" s="167"/>
      <c r="Q167" s="167"/>
      <c r="R167" s="167"/>
      <c r="S167" s="167"/>
      <c r="T167" s="167"/>
      <c r="U167" s="167">
        <f t="shared" si="51"/>
        <v>0</v>
      </c>
      <c r="V167" s="168"/>
      <c r="W167" s="463">
        <f t="shared" si="52"/>
        <v>0</v>
      </c>
      <c r="X167" s="398">
        <f>43.977</f>
        <v>43.976999999999997</v>
      </c>
    </row>
    <row r="168" spans="1:24" ht="33.950000000000003" customHeight="1" x14ac:dyDescent="0.2">
      <c r="A168" s="363">
        <v>6</v>
      </c>
      <c r="B168" s="709" t="s">
        <v>679</v>
      </c>
      <c r="C168" s="33" t="s">
        <v>678</v>
      </c>
      <c r="D168" s="167"/>
      <c r="E168" s="167"/>
      <c r="F168" s="167"/>
      <c r="G168" s="167"/>
      <c r="H168" s="172"/>
      <c r="I168" s="167"/>
      <c r="J168" s="167"/>
      <c r="K168" s="167"/>
      <c r="L168" s="167"/>
      <c r="M168" s="167"/>
      <c r="N168" s="167"/>
      <c r="O168" s="167">
        <f t="shared" si="48"/>
        <v>0</v>
      </c>
      <c r="P168" s="167"/>
      <c r="Q168" s="167"/>
      <c r="R168" s="167"/>
      <c r="S168" s="167"/>
      <c r="T168" s="167"/>
      <c r="U168" s="167">
        <f t="shared" si="51"/>
        <v>0</v>
      </c>
      <c r="V168" s="168"/>
      <c r="W168" s="463">
        <f t="shared" si="52"/>
        <v>0</v>
      </c>
      <c r="X168" s="398">
        <f>2900</f>
        <v>2900</v>
      </c>
    </row>
    <row r="169" spans="1:24" ht="33.950000000000003" customHeight="1" x14ac:dyDescent="0.2">
      <c r="A169" s="175">
        <v>7</v>
      </c>
      <c r="B169" s="709" t="s">
        <v>682</v>
      </c>
      <c r="C169" s="33" t="s">
        <v>681</v>
      </c>
      <c r="D169" s="167"/>
      <c r="E169" s="167"/>
      <c r="F169" s="167"/>
      <c r="G169" s="167"/>
      <c r="H169" s="172"/>
      <c r="I169" s="167"/>
      <c r="J169" s="167"/>
      <c r="K169" s="167"/>
      <c r="L169" s="167"/>
      <c r="M169" s="167"/>
      <c r="N169" s="167"/>
      <c r="O169" s="167">
        <f t="shared" si="48"/>
        <v>0</v>
      </c>
      <c r="P169" s="167"/>
      <c r="Q169" s="167"/>
      <c r="R169" s="167"/>
      <c r="S169" s="167"/>
      <c r="T169" s="167"/>
      <c r="U169" s="167">
        <f t="shared" si="51"/>
        <v>0</v>
      </c>
      <c r="V169" s="168"/>
      <c r="W169" s="463">
        <f t="shared" si="52"/>
        <v>0</v>
      </c>
      <c r="X169" s="398">
        <f>6750</f>
        <v>6750</v>
      </c>
    </row>
    <row r="170" spans="1:24" ht="33.950000000000003" customHeight="1" x14ac:dyDescent="0.2">
      <c r="A170" s="363">
        <v>8</v>
      </c>
      <c r="B170" s="709" t="s">
        <v>683</v>
      </c>
      <c r="C170" s="412" t="s">
        <v>684</v>
      </c>
      <c r="D170" s="413"/>
      <c r="E170" s="167"/>
      <c r="F170" s="167"/>
      <c r="G170" s="167"/>
      <c r="H170" s="172"/>
      <c r="I170" s="167"/>
      <c r="J170" s="167"/>
      <c r="K170" s="167"/>
      <c r="L170" s="167"/>
      <c r="M170" s="167"/>
      <c r="N170" s="167"/>
      <c r="O170" s="167">
        <f t="shared" si="48"/>
        <v>0</v>
      </c>
      <c r="P170" s="167"/>
      <c r="Q170" s="167"/>
      <c r="R170" s="167"/>
      <c r="S170" s="167"/>
      <c r="T170" s="167"/>
      <c r="U170" s="167">
        <f t="shared" si="51"/>
        <v>0</v>
      </c>
      <c r="V170" s="168"/>
      <c r="W170" s="463">
        <f t="shared" si="52"/>
        <v>0</v>
      </c>
      <c r="X170" s="398">
        <f>18867</f>
        <v>18867</v>
      </c>
    </row>
    <row r="171" spans="1:24" ht="33.950000000000003" customHeight="1" x14ac:dyDescent="0.2">
      <c r="A171" s="175">
        <v>9</v>
      </c>
      <c r="B171" s="709" t="s">
        <v>690</v>
      </c>
      <c r="C171" s="412" t="s">
        <v>689</v>
      </c>
      <c r="D171" s="413"/>
      <c r="E171" s="167"/>
      <c r="F171" s="167"/>
      <c r="G171" s="167"/>
      <c r="H171" s="172"/>
      <c r="I171" s="167"/>
      <c r="J171" s="167"/>
      <c r="K171" s="167"/>
      <c r="L171" s="167"/>
      <c r="M171" s="167"/>
      <c r="N171" s="167"/>
      <c r="O171" s="167">
        <f t="shared" si="48"/>
        <v>0</v>
      </c>
      <c r="P171" s="167"/>
      <c r="Q171" s="167"/>
      <c r="R171" s="167"/>
      <c r="S171" s="167"/>
      <c r="T171" s="167"/>
      <c r="U171" s="167">
        <f t="shared" si="51"/>
        <v>0</v>
      </c>
      <c r="V171" s="168"/>
      <c r="W171" s="463">
        <f t="shared" si="52"/>
        <v>0</v>
      </c>
      <c r="X171" s="398">
        <f>9360</f>
        <v>9360</v>
      </c>
    </row>
    <row r="172" spans="1:24" ht="33.950000000000003" customHeight="1" x14ac:dyDescent="0.2">
      <c r="A172" s="363">
        <v>10</v>
      </c>
      <c r="B172" s="709" t="s">
        <v>693</v>
      </c>
      <c r="C172" s="412" t="s">
        <v>692</v>
      </c>
      <c r="D172" s="413"/>
      <c r="E172" s="167"/>
      <c r="F172" s="167"/>
      <c r="G172" s="167"/>
      <c r="H172" s="172"/>
      <c r="I172" s="167"/>
      <c r="J172" s="167"/>
      <c r="K172" s="167"/>
      <c r="L172" s="167"/>
      <c r="M172" s="167"/>
      <c r="N172" s="167"/>
      <c r="O172" s="167">
        <f t="shared" si="48"/>
        <v>0</v>
      </c>
      <c r="P172" s="167"/>
      <c r="Q172" s="167"/>
      <c r="R172" s="167"/>
      <c r="S172" s="167"/>
      <c r="T172" s="167"/>
      <c r="U172" s="167">
        <f t="shared" si="51"/>
        <v>0</v>
      </c>
      <c r="V172" s="168"/>
      <c r="W172" s="463">
        <f t="shared" si="52"/>
        <v>0</v>
      </c>
      <c r="X172" s="398">
        <f>8845</f>
        <v>8845</v>
      </c>
    </row>
    <row r="173" spans="1:24" ht="33.950000000000003" customHeight="1" x14ac:dyDescent="0.2">
      <c r="A173" s="175">
        <v>11</v>
      </c>
      <c r="B173" s="709" t="s">
        <v>695</v>
      </c>
      <c r="C173" s="412" t="s">
        <v>477</v>
      </c>
      <c r="D173" s="413"/>
      <c r="E173" s="167"/>
      <c r="F173" s="167"/>
      <c r="G173" s="167"/>
      <c r="H173" s="172"/>
      <c r="I173" s="167"/>
      <c r="J173" s="167"/>
      <c r="K173" s="167"/>
      <c r="L173" s="167"/>
      <c r="M173" s="167"/>
      <c r="N173" s="167"/>
      <c r="O173" s="167">
        <f t="shared" si="48"/>
        <v>0</v>
      </c>
      <c r="P173" s="167"/>
      <c r="Q173" s="167"/>
      <c r="R173" s="167"/>
      <c r="S173" s="167"/>
      <c r="T173" s="167"/>
      <c r="U173" s="167">
        <f t="shared" si="51"/>
        <v>0</v>
      </c>
      <c r="V173" s="168"/>
      <c r="W173" s="463">
        <f t="shared" si="52"/>
        <v>0</v>
      </c>
      <c r="X173" s="398">
        <f>635</f>
        <v>635</v>
      </c>
    </row>
    <row r="174" spans="1:24" ht="33.950000000000003" customHeight="1" x14ac:dyDescent="0.2">
      <c r="A174" s="363">
        <v>12</v>
      </c>
      <c r="B174" s="711" t="s">
        <v>709</v>
      </c>
      <c r="C174" s="412" t="s">
        <v>708</v>
      </c>
      <c r="D174" s="413"/>
      <c r="E174" s="167"/>
      <c r="F174" s="167"/>
      <c r="G174" s="167"/>
      <c r="H174" s="172"/>
      <c r="I174" s="167"/>
      <c r="J174" s="167"/>
      <c r="K174" s="167"/>
      <c r="L174" s="167"/>
      <c r="M174" s="167"/>
      <c r="N174" s="167"/>
      <c r="O174" s="167">
        <f t="shared" si="48"/>
        <v>0</v>
      </c>
      <c r="P174" s="167"/>
      <c r="Q174" s="167"/>
      <c r="R174" s="167"/>
      <c r="S174" s="167"/>
      <c r="T174" s="167"/>
      <c r="U174" s="167">
        <f t="shared" si="51"/>
        <v>0</v>
      </c>
      <c r="V174" s="168"/>
      <c r="W174" s="463">
        <f t="shared" si="52"/>
        <v>0</v>
      </c>
      <c r="X174" s="398">
        <f>27101</f>
        <v>27101</v>
      </c>
    </row>
    <row r="175" spans="1:24" ht="33.950000000000003" hidden="1" customHeight="1" x14ac:dyDescent="0.2">
      <c r="A175" s="175"/>
      <c r="B175" s="270"/>
      <c r="C175" s="33"/>
      <c r="D175" s="167"/>
      <c r="E175" s="167"/>
      <c r="F175" s="167"/>
      <c r="G175" s="167"/>
      <c r="H175" s="172"/>
      <c r="I175" s="167"/>
      <c r="J175" s="167"/>
      <c r="K175" s="167"/>
      <c r="L175" s="167"/>
      <c r="M175" s="167"/>
      <c r="N175" s="167"/>
      <c r="O175" s="167">
        <f t="shared" si="48"/>
        <v>0</v>
      </c>
      <c r="P175" s="167"/>
      <c r="Q175" s="167"/>
      <c r="R175" s="167"/>
      <c r="S175" s="167"/>
      <c r="T175" s="167"/>
      <c r="U175" s="167">
        <f t="shared" si="51"/>
        <v>0</v>
      </c>
      <c r="V175" s="168"/>
      <c r="W175" s="463">
        <f t="shared" si="52"/>
        <v>0</v>
      </c>
      <c r="X175" s="398"/>
    </row>
    <row r="176" spans="1:24" ht="33.950000000000003" hidden="1" customHeight="1" x14ac:dyDescent="0.2">
      <c r="A176" s="175"/>
      <c r="B176" s="270"/>
      <c r="C176" s="33"/>
      <c r="D176" s="167"/>
      <c r="E176" s="167"/>
      <c r="F176" s="167"/>
      <c r="G176" s="167"/>
      <c r="H176" s="172"/>
      <c r="I176" s="167"/>
      <c r="J176" s="167"/>
      <c r="K176" s="167"/>
      <c r="L176" s="167"/>
      <c r="M176" s="167"/>
      <c r="N176" s="167"/>
      <c r="O176" s="167">
        <f t="shared" si="48"/>
        <v>0</v>
      </c>
      <c r="P176" s="167"/>
      <c r="Q176" s="167"/>
      <c r="R176" s="167"/>
      <c r="S176" s="167"/>
      <c r="T176" s="167"/>
      <c r="U176" s="167">
        <f t="shared" si="51"/>
        <v>0</v>
      </c>
      <c r="V176" s="168"/>
      <c r="W176" s="463">
        <f t="shared" si="52"/>
        <v>0</v>
      </c>
      <c r="X176" s="398"/>
    </row>
    <row r="177" spans="1:24" ht="33.950000000000003" hidden="1" customHeight="1" x14ac:dyDescent="0.2">
      <c r="A177" s="175"/>
      <c r="B177" s="270"/>
      <c r="C177" s="33"/>
      <c r="D177" s="167"/>
      <c r="E177" s="167"/>
      <c r="F177" s="167"/>
      <c r="G177" s="167"/>
      <c r="H177" s="172"/>
      <c r="I177" s="167"/>
      <c r="J177" s="167"/>
      <c r="K177" s="167"/>
      <c r="L177" s="167"/>
      <c r="M177" s="167"/>
      <c r="N177" s="167"/>
      <c r="O177" s="167">
        <f t="shared" si="48"/>
        <v>0</v>
      </c>
      <c r="P177" s="167"/>
      <c r="Q177" s="167"/>
      <c r="R177" s="167"/>
      <c r="S177" s="167"/>
      <c r="T177" s="167"/>
      <c r="U177" s="167">
        <f t="shared" si="51"/>
        <v>0</v>
      </c>
      <c r="V177" s="168"/>
      <c r="W177" s="463">
        <f t="shared" si="52"/>
        <v>0</v>
      </c>
      <c r="X177" s="398"/>
    </row>
    <row r="178" spans="1:24" ht="33.950000000000003" hidden="1" customHeight="1" x14ac:dyDescent="0.2">
      <c r="A178" s="39"/>
      <c r="B178" s="49"/>
      <c r="C178" s="33"/>
      <c r="D178" s="167"/>
      <c r="E178" s="167"/>
      <c r="F178" s="167"/>
      <c r="G178" s="167"/>
      <c r="H178" s="172"/>
      <c r="I178" s="167"/>
      <c r="J178" s="167"/>
      <c r="K178" s="167"/>
      <c r="L178" s="167"/>
      <c r="M178" s="167"/>
      <c r="N178" s="167"/>
      <c r="O178" s="167">
        <f t="shared" si="48"/>
        <v>0</v>
      </c>
      <c r="P178" s="167"/>
      <c r="Q178" s="167"/>
      <c r="R178" s="167"/>
      <c r="S178" s="167"/>
      <c r="T178" s="167"/>
      <c r="U178" s="167">
        <f t="shared" si="51"/>
        <v>0</v>
      </c>
      <c r="V178" s="168"/>
      <c r="W178" s="463">
        <f t="shared" si="52"/>
        <v>0</v>
      </c>
      <c r="X178" s="398"/>
    </row>
    <row r="179" spans="1:24" ht="33.950000000000003" hidden="1" customHeight="1" x14ac:dyDescent="0.2">
      <c r="A179" s="39"/>
      <c r="B179" s="49"/>
      <c r="C179" s="33"/>
      <c r="D179" s="167"/>
      <c r="E179" s="167"/>
      <c r="F179" s="167"/>
      <c r="G179" s="167"/>
      <c r="H179" s="172"/>
      <c r="I179" s="167"/>
      <c r="J179" s="167"/>
      <c r="K179" s="167"/>
      <c r="L179" s="167"/>
      <c r="M179" s="167"/>
      <c r="N179" s="167"/>
      <c r="O179" s="167">
        <f t="shared" si="48"/>
        <v>0</v>
      </c>
      <c r="P179" s="167"/>
      <c r="Q179" s="167"/>
      <c r="R179" s="167"/>
      <c r="S179" s="167"/>
      <c r="T179" s="167"/>
      <c r="U179" s="167">
        <f t="shared" si="51"/>
        <v>0</v>
      </c>
      <c r="V179" s="168"/>
      <c r="W179" s="463">
        <f t="shared" si="52"/>
        <v>0</v>
      </c>
      <c r="X179" s="398"/>
    </row>
    <row r="180" spans="1:24" ht="33.950000000000003" hidden="1" customHeight="1" x14ac:dyDescent="0.2">
      <c r="A180" s="39"/>
      <c r="B180" s="49"/>
      <c r="C180" s="33"/>
      <c r="D180" s="167"/>
      <c r="E180" s="167"/>
      <c r="F180" s="167"/>
      <c r="G180" s="167"/>
      <c r="H180" s="172"/>
      <c r="I180" s="167"/>
      <c r="J180" s="167"/>
      <c r="K180" s="167"/>
      <c r="L180" s="167"/>
      <c r="M180" s="167"/>
      <c r="N180" s="167"/>
      <c r="O180" s="167">
        <f t="shared" si="48"/>
        <v>0</v>
      </c>
      <c r="P180" s="167"/>
      <c r="Q180" s="167"/>
      <c r="R180" s="167"/>
      <c r="S180" s="167"/>
      <c r="T180" s="167"/>
      <c r="U180" s="167">
        <f t="shared" si="51"/>
        <v>0</v>
      </c>
      <c r="V180" s="168"/>
      <c r="W180" s="463">
        <f t="shared" si="52"/>
        <v>0</v>
      </c>
      <c r="X180" s="398"/>
    </row>
    <row r="181" spans="1:24" ht="33.950000000000003" hidden="1" customHeight="1" x14ac:dyDescent="0.2">
      <c r="A181" s="39"/>
      <c r="B181" s="49"/>
      <c r="C181" s="33"/>
      <c r="D181" s="167"/>
      <c r="E181" s="167"/>
      <c r="F181" s="167"/>
      <c r="G181" s="167"/>
      <c r="H181" s="172"/>
      <c r="I181" s="167"/>
      <c r="J181" s="167"/>
      <c r="K181" s="167"/>
      <c r="L181" s="167"/>
      <c r="M181" s="167"/>
      <c r="N181" s="167"/>
      <c r="O181" s="167">
        <f t="shared" si="48"/>
        <v>0</v>
      </c>
      <c r="P181" s="167"/>
      <c r="Q181" s="167"/>
      <c r="R181" s="167"/>
      <c r="S181" s="167"/>
      <c r="T181" s="167"/>
      <c r="U181" s="167">
        <f t="shared" si="51"/>
        <v>0</v>
      </c>
      <c r="V181" s="168"/>
      <c r="W181" s="463">
        <f t="shared" si="52"/>
        <v>0</v>
      </c>
      <c r="X181" s="398"/>
    </row>
    <row r="182" spans="1:24" ht="20.100000000000001" customHeight="1" x14ac:dyDescent="0.2">
      <c r="A182" s="39"/>
      <c r="B182" s="49"/>
      <c r="C182" s="33"/>
      <c r="D182" s="167"/>
      <c r="E182" s="167"/>
      <c r="F182" s="167"/>
      <c r="G182" s="167"/>
      <c r="H182" s="172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8"/>
      <c r="W182" s="463"/>
      <c r="X182" s="398"/>
    </row>
    <row r="183" spans="1:24" ht="20.100000000000001" customHeight="1" x14ac:dyDescent="0.2">
      <c r="A183" s="39"/>
      <c r="B183" s="49"/>
      <c r="C183" s="33"/>
      <c r="D183" s="167"/>
      <c r="E183" s="167"/>
      <c r="F183" s="167"/>
      <c r="G183" s="167"/>
      <c r="H183" s="172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8"/>
      <c r="W183" s="463"/>
      <c r="X183" s="409"/>
    </row>
    <row r="184" spans="1:24" ht="20.100000000000001" customHeight="1" x14ac:dyDescent="0.2">
      <c r="A184" s="205" t="s">
        <v>64</v>
      </c>
      <c r="B184" s="201"/>
      <c r="C184" s="206" t="s">
        <v>62</v>
      </c>
      <c r="D184" s="167">
        <f t="shared" ref="D184:X184" si="53">SUM(D162:D183)</f>
        <v>0</v>
      </c>
      <c r="E184" s="167">
        <f t="shared" si="53"/>
        <v>0</v>
      </c>
      <c r="F184" s="167">
        <f t="shared" si="53"/>
        <v>0</v>
      </c>
      <c r="G184" s="167">
        <f t="shared" si="53"/>
        <v>0</v>
      </c>
      <c r="H184" s="167">
        <f t="shared" si="53"/>
        <v>0</v>
      </c>
      <c r="I184" s="167">
        <f t="shared" si="53"/>
        <v>0</v>
      </c>
      <c r="J184" s="167">
        <f t="shared" si="53"/>
        <v>0</v>
      </c>
      <c r="K184" s="167">
        <f t="shared" si="53"/>
        <v>0</v>
      </c>
      <c r="L184" s="167">
        <f t="shared" si="53"/>
        <v>0</v>
      </c>
      <c r="M184" s="167">
        <f t="shared" si="53"/>
        <v>0</v>
      </c>
      <c r="N184" s="167">
        <f t="shared" si="53"/>
        <v>0</v>
      </c>
      <c r="O184" s="167">
        <f t="shared" si="53"/>
        <v>0</v>
      </c>
      <c r="P184" s="167"/>
      <c r="Q184" s="167">
        <f t="shared" si="53"/>
        <v>0</v>
      </c>
      <c r="R184" s="167">
        <f t="shared" si="53"/>
        <v>0</v>
      </c>
      <c r="S184" s="167">
        <f t="shared" si="53"/>
        <v>0</v>
      </c>
      <c r="T184" s="167">
        <f t="shared" si="53"/>
        <v>0</v>
      </c>
      <c r="U184" s="167">
        <f t="shared" si="53"/>
        <v>0</v>
      </c>
      <c r="V184" s="167"/>
      <c r="W184" s="747">
        <f t="shared" si="53"/>
        <v>0</v>
      </c>
      <c r="X184" s="768">
        <f t="shared" si="53"/>
        <v>84234.012000000002</v>
      </c>
    </row>
    <row r="185" spans="1:24" ht="20.100000000000001" customHeight="1" x14ac:dyDescent="0.2">
      <c r="A185" s="39"/>
      <c r="B185" s="49"/>
      <c r="C185" s="33"/>
      <c r="D185" s="167"/>
      <c r="E185" s="167"/>
      <c r="F185" s="167"/>
      <c r="G185" s="167"/>
      <c r="H185" s="172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8"/>
      <c r="W185" s="463"/>
      <c r="X185" s="409"/>
    </row>
    <row r="186" spans="1:24" ht="33.950000000000003" customHeight="1" x14ac:dyDescent="0.2">
      <c r="A186" s="175">
        <v>13</v>
      </c>
      <c r="B186" s="688" t="s">
        <v>696</v>
      </c>
      <c r="C186" s="28" t="s">
        <v>697</v>
      </c>
      <c r="D186" s="167"/>
      <c r="E186" s="167"/>
      <c r="F186" s="167"/>
      <c r="G186" s="167">
        <f>387+200-475-500</f>
        <v>-388</v>
      </c>
      <c r="H186" s="167">
        <f>-6+112+210+210-520+340-155+36+18+119+1+1</f>
        <v>366</v>
      </c>
      <c r="I186" s="167"/>
      <c r="J186" s="167"/>
      <c r="K186" s="167"/>
      <c r="L186" s="167">
        <f>-50</f>
        <v>-50</v>
      </c>
      <c r="M186" s="167">
        <f>72</f>
        <v>72</v>
      </c>
      <c r="N186" s="167"/>
      <c r="O186" s="167">
        <f>SUM(D186:N186)</f>
        <v>0</v>
      </c>
      <c r="P186" s="167"/>
      <c r="Q186" s="167"/>
      <c r="R186" s="167"/>
      <c r="S186" s="167"/>
      <c r="T186" s="167"/>
      <c r="U186" s="167">
        <f>SUM(Q186:T186)</f>
        <v>0</v>
      </c>
      <c r="V186" s="167"/>
      <c r="W186" s="463">
        <f>O186+U186</f>
        <v>0</v>
      </c>
      <c r="X186" s="761"/>
    </row>
    <row r="187" spans="1:24" ht="33.950000000000003" customHeight="1" x14ac:dyDescent="0.2">
      <c r="A187" s="175">
        <v>14</v>
      </c>
      <c r="B187" s="712" t="s">
        <v>698</v>
      </c>
      <c r="C187" s="28" t="s">
        <v>699</v>
      </c>
      <c r="D187" s="167"/>
      <c r="E187" s="167"/>
      <c r="F187" s="167"/>
      <c r="G187" s="167">
        <f>-666-2391</f>
        <v>-3057</v>
      </c>
      <c r="H187" s="167">
        <f>-140-40-35-24-1078-146</f>
        <v>-1463</v>
      </c>
      <c r="I187" s="167"/>
      <c r="J187" s="167"/>
      <c r="K187" s="167"/>
      <c r="L187" s="167"/>
      <c r="M187" s="167"/>
      <c r="N187" s="167"/>
      <c r="O187" s="167">
        <f>SUM(D187:N187)</f>
        <v>-4520</v>
      </c>
      <c r="P187" s="167"/>
      <c r="Q187" s="167"/>
      <c r="R187" s="167"/>
      <c r="S187" s="167"/>
      <c r="T187" s="167"/>
      <c r="U187" s="167">
        <f>SUM(Q187:T187)</f>
        <v>0</v>
      </c>
      <c r="V187" s="167"/>
      <c r="W187" s="463">
        <f>O187+U187</f>
        <v>-4520</v>
      </c>
      <c r="X187" s="398"/>
    </row>
    <row r="188" spans="1:24" ht="33.950000000000003" customHeight="1" x14ac:dyDescent="0.2">
      <c r="A188" s="39"/>
      <c r="B188" s="122"/>
      <c r="C188" s="40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>
        <f>SUM(D188:N188)</f>
        <v>0</v>
      </c>
      <c r="P188" s="167"/>
      <c r="Q188" s="167"/>
      <c r="R188" s="167"/>
      <c r="S188" s="167"/>
      <c r="T188" s="167"/>
      <c r="U188" s="167">
        <f>SUM(Q188:T188)</f>
        <v>0</v>
      </c>
      <c r="V188" s="167"/>
      <c r="W188" s="463">
        <f>O188+U188</f>
        <v>0</v>
      </c>
      <c r="X188" s="761"/>
    </row>
    <row r="189" spans="1:24" ht="33.950000000000003" customHeight="1" x14ac:dyDescent="0.2">
      <c r="A189" s="39"/>
      <c r="B189" s="122"/>
      <c r="C189" s="40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>
        <f>SUM(D189:N189)</f>
        <v>0</v>
      </c>
      <c r="P189" s="167"/>
      <c r="Q189" s="167"/>
      <c r="R189" s="167"/>
      <c r="S189" s="167"/>
      <c r="T189" s="167"/>
      <c r="U189" s="167">
        <f>SUM(Q189:T189)</f>
        <v>0</v>
      </c>
      <c r="V189" s="167"/>
      <c r="W189" s="463">
        <f>O189+U189</f>
        <v>0</v>
      </c>
      <c r="X189" s="761"/>
    </row>
    <row r="190" spans="1:24" ht="20.100000000000001" customHeight="1" x14ac:dyDescent="0.2">
      <c r="A190" s="39"/>
      <c r="B190" s="122"/>
      <c r="C190" s="40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463"/>
      <c r="X190" s="203"/>
    </row>
    <row r="191" spans="1:24" ht="20.100000000000001" customHeight="1" x14ac:dyDescent="0.2">
      <c r="A191" s="205" t="s">
        <v>65</v>
      </c>
      <c r="B191" s="201"/>
      <c r="C191" s="206" t="s">
        <v>63</v>
      </c>
      <c r="D191" s="167">
        <f t="shared" ref="D191:U191" si="54">SUM(D186:D190)</f>
        <v>0</v>
      </c>
      <c r="E191" s="167">
        <f t="shared" si="54"/>
        <v>0</v>
      </c>
      <c r="F191" s="167">
        <f t="shared" si="54"/>
        <v>0</v>
      </c>
      <c r="G191" s="167">
        <f t="shared" si="54"/>
        <v>-3445</v>
      </c>
      <c r="H191" s="167">
        <f t="shared" si="54"/>
        <v>-1097</v>
      </c>
      <c r="I191" s="167">
        <f t="shared" si="54"/>
        <v>0</v>
      </c>
      <c r="J191" s="167">
        <f t="shared" si="54"/>
        <v>0</v>
      </c>
      <c r="K191" s="167">
        <f t="shared" si="54"/>
        <v>0</v>
      </c>
      <c r="L191" s="167">
        <f t="shared" si="54"/>
        <v>-50</v>
      </c>
      <c r="M191" s="167">
        <f t="shared" si="54"/>
        <v>72</v>
      </c>
      <c r="N191" s="167">
        <f>SUM(N186:N190)</f>
        <v>0</v>
      </c>
      <c r="O191" s="167">
        <f t="shared" si="54"/>
        <v>-4520</v>
      </c>
      <c r="P191" s="167"/>
      <c r="Q191" s="167">
        <f>SUM(Q186:Q190)</f>
        <v>0</v>
      </c>
      <c r="R191" s="167">
        <f>SUM(R186:R190)</f>
        <v>0</v>
      </c>
      <c r="S191" s="167">
        <f t="shared" si="54"/>
        <v>0</v>
      </c>
      <c r="T191" s="167">
        <f t="shared" si="54"/>
        <v>0</v>
      </c>
      <c r="U191" s="167">
        <f t="shared" si="54"/>
        <v>0</v>
      </c>
      <c r="V191" s="167"/>
      <c r="W191" s="747">
        <f>SUM(W186:W190)</f>
        <v>-4520</v>
      </c>
      <c r="X191" s="764">
        <f>SUM(X186:X190)</f>
        <v>0</v>
      </c>
    </row>
    <row r="192" spans="1:24" ht="20.100000000000001" customHeight="1" x14ac:dyDescent="0.2">
      <c r="A192" s="39"/>
      <c r="B192" s="122"/>
      <c r="C192" s="40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463"/>
      <c r="X192" s="761"/>
    </row>
    <row r="193" spans="1:25" ht="20.100000000000001" customHeight="1" thickBot="1" x14ac:dyDescent="0.25">
      <c r="A193" s="39"/>
      <c r="B193" s="290"/>
      <c r="C193" s="34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463"/>
      <c r="X193" s="761"/>
    </row>
    <row r="194" spans="1:25" ht="24.75" customHeight="1" thickTop="1" thickBot="1" x14ac:dyDescent="0.25">
      <c r="A194" s="45"/>
      <c r="B194" s="253" t="s">
        <v>557</v>
      </c>
      <c r="C194" s="43" t="s">
        <v>66</v>
      </c>
      <c r="D194" s="171">
        <f t="shared" ref="D194:U194" si="55">D184+D191</f>
        <v>0</v>
      </c>
      <c r="E194" s="171">
        <f t="shared" si="55"/>
        <v>0</v>
      </c>
      <c r="F194" s="171">
        <f t="shared" si="55"/>
        <v>0</v>
      </c>
      <c r="G194" s="171">
        <f t="shared" si="55"/>
        <v>-3445</v>
      </c>
      <c r="H194" s="171">
        <f t="shared" si="55"/>
        <v>-1097</v>
      </c>
      <c r="I194" s="171">
        <f t="shared" si="55"/>
        <v>0</v>
      </c>
      <c r="J194" s="171">
        <f t="shared" si="55"/>
        <v>0</v>
      </c>
      <c r="K194" s="171">
        <f t="shared" si="55"/>
        <v>0</v>
      </c>
      <c r="L194" s="171">
        <f t="shared" si="55"/>
        <v>-50</v>
      </c>
      <c r="M194" s="171">
        <f t="shared" si="55"/>
        <v>72</v>
      </c>
      <c r="N194" s="171">
        <f t="shared" si="55"/>
        <v>0</v>
      </c>
      <c r="O194" s="171">
        <f t="shared" si="55"/>
        <v>-4520</v>
      </c>
      <c r="P194" s="171"/>
      <c r="Q194" s="171">
        <f>Q184+Q191</f>
        <v>0</v>
      </c>
      <c r="R194" s="171">
        <f>R184+R191</f>
        <v>0</v>
      </c>
      <c r="S194" s="171">
        <f t="shared" si="55"/>
        <v>0</v>
      </c>
      <c r="T194" s="171">
        <f t="shared" si="55"/>
        <v>0</v>
      </c>
      <c r="U194" s="171">
        <f t="shared" si="55"/>
        <v>0</v>
      </c>
      <c r="V194" s="171"/>
      <c r="W194" s="748">
        <f>W184+W191</f>
        <v>-4520</v>
      </c>
      <c r="X194" s="179">
        <f>X184+X191</f>
        <v>84234.012000000002</v>
      </c>
    </row>
    <row r="195" spans="1:25" ht="24.75" customHeight="1" thickTop="1" thickBot="1" x14ac:dyDescent="0.25">
      <c r="A195" s="41"/>
      <c r="B195" s="42" t="s">
        <v>155</v>
      </c>
      <c r="C195" s="43" t="s">
        <v>124</v>
      </c>
      <c r="D195" s="199">
        <f t="shared" ref="D195:U195" si="56">D161+D194</f>
        <v>0</v>
      </c>
      <c r="E195" s="199">
        <f t="shared" si="56"/>
        <v>0</v>
      </c>
      <c r="F195" s="199">
        <f t="shared" si="56"/>
        <v>20203.919000000002</v>
      </c>
      <c r="G195" s="199">
        <f t="shared" si="56"/>
        <v>1055</v>
      </c>
      <c r="H195" s="199">
        <f t="shared" si="56"/>
        <v>10602</v>
      </c>
      <c r="I195" s="199">
        <f t="shared" si="56"/>
        <v>0</v>
      </c>
      <c r="J195" s="199">
        <f t="shared" si="56"/>
        <v>0</v>
      </c>
      <c r="K195" s="199">
        <f t="shared" si="56"/>
        <v>0</v>
      </c>
      <c r="L195" s="199">
        <f t="shared" si="56"/>
        <v>2010</v>
      </c>
      <c r="M195" s="199">
        <f t="shared" si="56"/>
        <v>1572</v>
      </c>
      <c r="N195" s="199">
        <f t="shared" si="56"/>
        <v>0</v>
      </c>
      <c r="O195" s="199">
        <f t="shared" si="56"/>
        <v>35442.918999999994</v>
      </c>
      <c r="P195" s="199"/>
      <c r="Q195" s="199">
        <f t="shared" si="56"/>
        <v>0</v>
      </c>
      <c r="R195" s="199">
        <f t="shared" si="56"/>
        <v>260627.83900000001</v>
      </c>
      <c r="S195" s="199">
        <f t="shared" si="56"/>
        <v>0</v>
      </c>
      <c r="T195" s="199">
        <f t="shared" si="56"/>
        <v>0</v>
      </c>
      <c r="U195" s="199">
        <f t="shared" si="56"/>
        <v>260627.83900000001</v>
      </c>
      <c r="V195" s="199"/>
      <c r="W195" s="748">
        <f>O195+U195</f>
        <v>296070.75800000003</v>
      </c>
      <c r="X195" s="179">
        <f>X160+X194</f>
        <v>3645912.9190000002</v>
      </c>
    </row>
    <row r="196" spans="1:25" ht="24.95" customHeight="1" thickTop="1" x14ac:dyDescent="0.25"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</row>
    <row r="197" spans="1:25" ht="24.95" hidden="1" customHeight="1" thickBot="1" x14ac:dyDescent="0.3"/>
    <row r="198" spans="1:25" ht="24.95" hidden="1" customHeight="1" thickTop="1" thickBot="1" x14ac:dyDescent="0.3">
      <c r="C198" s="275" t="s">
        <v>74</v>
      </c>
      <c r="D198" s="273">
        <v>0</v>
      </c>
      <c r="E198" s="273">
        <v>0</v>
      </c>
      <c r="F198" s="273">
        <v>20204</v>
      </c>
      <c r="G198" s="273">
        <v>1055</v>
      </c>
      <c r="H198" s="273">
        <v>10602</v>
      </c>
      <c r="I198" s="273">
        <v>0</v>
      </c>
      <c r="J198" s="273">
        <v>0</v>
      </c>
      <c r="K198" s="273">
        <v>0</v>
      </c>
      <c r="L198" s="273">
        <v>2010</v>
      </c>
      <c r="M198" s="273">
        <v>1572</v>
      </c>
      <c r="N198" s="273">
        <v>0</v>
      </c>
      <c r="O198" s="273">
        <v>35442.919000000002</v>
      </c>
      <c r="P198" s="273"/>
      <c r="Q198" s="273">
        <v>0</v>
      </c>
      <c r="R198" s="273">
        <v>260627.83900000001</v>
      </c>
      <c r="S198" s="273">
        <v>0</v>
      </c>
      <c r="T198" s="273">
        <v>0</v>
      </c>
      <c r="U198" s="273">
        <v>260627.83900000001</v>
      </c>
      <c r="V198" s="273"/>
      <c r="W198" s="273">
        <v>296070.75799999997</v>
      </c>
      <c r="X198" s="273">
        <v>3645913</v>
      </c>
      <c r="Y198" s="29">
        <f>SUM(W198:X198)</f>
        <v>3941983.7579999999</v>
      </c>
    </row>
    <row r="199" spans="1:25" ht="24.95" hidden="1" customHeight="1" thickTop="1" x14ac:dyDescent="0.25"/>
    <row r="200" spans="1:25" ht="24.95" hidden="1" customHeight="1" x14ac:dyDescent="0.25">
      <c r="C200" s="2" t="s">
        <v>73</v>
      </c>
      <c r="D200" s="166">
        <f>D195-D198</f>
        <v>0</v>
      </c>
      <c r="E200" s="166">
        <f t="shared" ref="E200:X200" si="57">E195-E198</f>
        <v>0</v>
      </c>
      <c r="F200" s="166">
        <f t="shared" si="57"/>
        <v>-8.0999999998311978E-2</v>
      </c>
      <c r="G200" s="166">
        <f t="shared" si="57"/>
        <v>0</v>
      </c>
      <c r="H200" s="166">
        <f t="shared" si="57"/>
        <v>0</v>
      </c>
      <c r="I200" s="166">
        <f t="shared" si="57"/>
        <v>0</v>
      </c>
      <c r="J200" s="166">
        <f t="shared" si="57"/>
        <v>0</v>
      </c>
      <c r="K200" s="166">
        <f t="shared" si="57"/>
        <v>0</v>
      </c>
      <c r="L200" s="166">
        <f t="shared" si="57"/>
        <v>0</v>
      </c>
      <c r="M200" s="166">
        <f t="shared" si="57"/>
        <v>0</v>
      </c>
      <c r="N200" s="166">
        <f t="shared" si="57"/>
        <v>0</v>
      </c>
      <c r="O200" s="166">
        <f t="shared" si="57"/>
        <v>0</v>
      </c>
      <c r="P200" s="166"/>
      <c r="Q200" s="166">
        <f t="shared" si="57"/>
        <v>0</v>
      </c>
      <c r="R200" s="166">
        <f t="shared" si="57"/>
        <v>0</v>
      </c>
      <c r="S200" s="166">
        <f t="shared" si="57"/>
        <v>0</v>
      </c>
      <c r="T200" s="166">
        <f t="shared" si="57"/>
        <v>0</v>
      </c>
      <c r="U200" s="166">
        <f t="shared" si="57"/>
        <v>0</v>
      </c>
      <c r="V200" s="166"/>
      <c r="W200" s="166">
        <f t="shared" si="57"/>
        <v>0</v>
      </c>
      <c r="X200" s="166">
        <f t="shared" si="57"/>
        <v>-8.0999999772757292E-2</v>
      </c>
    </row>
    <row r="201" spans="1:25" ht="24.95" customHeight="1" x14ac:dyDescent="0.25"/>
    <row r="202" spans="1:25" ht="24.95" customHeight="1" x14ac:dyDescent="0.25"/>
    <row r="203" spans="1:25" ht="24.95" customHeight="1" x14ac:dyDescent="0.25"/>
    <row r="204" spans="1:25" ht="24.95" customHeight="1" x14ac:dyDescent="0.25"/>
    <row r="205" spans="1:25" ht="24.95" customHeight="1" x14ac:dyDescent="0.25"/>
    <row r="206" spans="1:25" ht="24.95" customHeight="1" x14ac:dyDescent="0.25"/>
    <row r="207" spans="1:25" ht="24.95" customHeight="1" x14ac:dyDescent="0.25"/>
    <row r="208" spans="1:2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493" spans="9:9" x14ac:dyDescent="0.25">
      <c r="I493" s="51">
        <f>-10437-1367-86-236+13-6357-200+31+71-310-1500-799-55-443-3970</f>
        <v>-25645</v>
      </c>
    </row>
  </sheetData>
  <mergeCells count="5">
    <mergeCell ref="A2:X2"/>
    <mergeCell ref="A4:X4"/>
    <mergeCell ref="D7:F7"/>
    <mergeCell ref="J7:K7"/>
    <mergeCell ref="Q7:T7"/>
  </mergeCells>
  <phoneticPr fontId="3" type="noConversion"/>
  <printOptions horizontalCentered="1" verticalCentered="1"/>
  <pageMargins left="0" right="0" top="0.31496062992125984" bottom="0.73" header="7.874015748031496E-2" footer="7.874015748031496E-2"/>
  <pageSetup paperSize="9" scale="44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2"/>
  <sheetViews>
    <sheetView topLeftCell="A7" zoomScale="75" zoomScaleNormal="75" workbookViewId="0">
      <pane xSplit="3" ySplit="199" topLeftCell="D215" activePane="bottomRight" state="frozen"/>
      <selection activeCell="A7" sqref="A7"/>
      <selection pane="topRight" activeCell="D7" sqref="D7"/>
      <selection pane="bottomLeft" activeCell="A206" sqref="A206"/>
      <selection pane="bottomRight" activeCell="Y242" sqref="Y242"/>
    </sheetView>
  </sheetViews>
  <sheetFormatPr defaultRowHeight="16.5" x14ac:dyDescent="0.25"/>
  <cols>
    <col min="1" max="1" width="4.7109375" style="89" customWidth="1"/>
    <col min="2" max="2" width="12.42578125" style="1" hidden="1" customWidth="1"/>
    <col min="3" max="3" width="58.7109375" style="2" customWidth="1"/>
    <col min="4" max="4" width="13.28515625" style="2" customWidth="1"/>
    <col min="5" max="5" width="13.85546875" style="2" customWidth="1"/>
    <col min="6" max="6" width="13.140625" style="2" customWidth="1"/>
    <col min="7" max="7" width="13.85546875" style="2" customWidth="1"/>
    <col min="8" max="8" width="12.28515625" style="2" customWidth="1"/>
    <col min="9" max="9" width="12.7109375" style="2" customWidth="1"/>
    <col min="10" max="11" width="12.28515625" style="2" customWidth="1"/>
    <col min="12" max="12" width="13.28515625" style="2" customWidth="1"/>
    <col min="13" max="17" width="12.7109375" style="2" customWidth="1"/>
    <col min="18" max="18" width="14" style="2" customWidth="1"/>
    <col min="19" max="19" width="1.7109375" style="2" customWidth="1"/>
    <col min="20" max="24" width="12.7109375" style="2" customWidth="1"/>
    <col min="25" max="25" width="18.28515625" style="52" customWidth="1"/>
    <col min="26" max="26" width="16.28515625" style="52" customWidth="1"/>
    <col min="27" max="29" width="10.42578125" style="52" customWidth="1"/>
    <col min="30" max="30" width="12.28515625" style="52" customWidth="1"/>
    <col min="31" max="31" width="14" style="52" customWidth="1"/>
    <col min="32" max="32" width="12.28515625" style="52" customWidth="1"/>
    <col min="33" max="34" width="10.42578125" style="52" customWidth="1"/>
    <col min="35" max="35" width="12.28515625" style="52" customWidth="1"/>
    <col min="36" max="36" width="9.140625" style="52"/>
    <col min="37" max="38" width="10.42578125" style="52" customWidth="1"/>
    <col min="39" max="39" width="12.28515625" style="52" customWidth="1"/>
    <col min="40" max="40" width="12.7109375" style="52" customWidth="1"/>
    <col min="41" max="16384" width="9.140625" style="2"/>
  </cols>
  <sheetData>
    <row r="1" spans="1:40" x14ac:dyDescent="0.25">
      <c r="Y1" s="180" t="s">
        <v>71</v>
      </c>
    </row>
    <row r="2" spans="1:40" ht="18.75" x14ac:dyDescent="0.2">
      <c r="A2" s="729" t="s">
        <v>0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</row>
    <row r="3" spans="1:40" ht="18.75" x14ac:dyDescent="0.2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40" ht="42" customHeight="1" x14ac:dyDescent="0.2">
      <c r="A4" s="730" t="s">
        <v>561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</row>
    <row r="5" spans="1:40" ht="24.95" customHeight="1" x14ac:dyDescent="0.2">
      <c r="A5" s="421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</row>
    <row r="6" spans="1:40" ht="17.25" customHeight="1" thickBo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" t="s">
        <v>1</v>
      </c>
    </row>
    <row r="7" spans="1:40" ht="17.25" thickBot="1" x14ac:dyDescent="0.3">
      <c r="A7" s="54"/>
      <c r="B7" s="8"/>
      <c r="C7" s="447"/>
      <c r="D7" s="739" t="s">
        <v>26</v>
      </c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31"/>
      <c r="Y7" s="414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</row>
    <row r="8" spans="1:40" ht="17.25" customHeight="1" thickTop="1" x14ac:dyDescent="0.25">
      <c r="A8" s="56"/>
      <c r="B8" s="12"/>
      <c r="C8" s="13"/>
      <c r="D8" s="732" t="s">
        <v>141</v>
      </c>
      <c r="E8" s="733"/>
      <c r="F8" s="733"/>
      <c r="G8" s="733"/>
      <c r="H8" s="733"/>
      <c r="I8" s="733"/>
      <c r="J8" s="733"/>
      <c r="K8" s="734"/>
      <c r="L8" s="735" t="s">
        <v>142</v>
      </c>
      <c r="M8" s="736"/>
      <c r="N8" s="736"/>
      <c r="O8" s="736"/>
      <c r="P8" s="736"/>
      <c r="Q8" s="734"/>
      <c r="R8" s="436" t="s">
        <v>109</v>
      </c>
      <c r="S8" s="464"/>
      <c r="T8" s="735" t="s">
        <v>143</v>
      </c>
      <c r="U8" s="736"/>
      <c r="V8" s="736"/>
      <c r="W8" s="737"/>
      <c r="X8" s="440" t="s">
        <v>120</v>
      </c>
      <c r="Y8" s="97" t="s">
        <v>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5"/>
    </row>
    <row r="9" spans="1:40" x14ac:dyDescent="0.25">
      <c r="A9" s="18" t="s">
        <v>8</v>
      </c>
      <c r="B9" s="12"/>
      <c r="C9" s="13" t="s">
        <v>3</v>
      </c>
      <c r="D9" s="57"/>
      <c r="E9" s="197" t="s">
        <v>31</v>
      </c>
      <c r="F9" s="58"/>
      <c r="G9" s="58" t="s">
        <v>27</v>
      </c>
      <c r="H9" s="58" t="s">
        <v>95</v>
      </c>
      <c r="I9" s="58" t="s">
        <v>96</v>
      </c>
      <c r="J9" s="58" t="s">
        <v>96</v>
      </c>
      <c r="K9" s="197"/>
      <c r="L9" s="58"/>
      <c r="M9" s="58"/>
      <c r="N9" s="58" t="s">
        <v>4</v>
      </c>
      <c r="O9" s="58" t="s">
        <v>126</v>
      </c>
      <c r="P9" s="59" t="s">
        <v>127</v>
      </c>
      <c r="Q9" s="197" t="s">
        <v>4</v>
      </c>
      <c r="R9" s="437" t="s">
        <v>110</v>
      </c>
      <c r="S9" s="437"/>
      <c r="T9" s="17" t="s">
        <v>128</v>
      </c>
      <c r="U9" s="17" t="s">
        <v>129</v>
      </c>
      <c r="V9" s="17" t="s">
        <v>201</v>
      </c>
      <c r="W9" s="17" t="s">
        <v>4</v>
      </c>
      <c r="X9" s="441" t="s">
        <v>121</v>
      </c>
      <c r="Y9" s="98" t="s">
        <v>29</v>
      </c>
      <c r="Z9" s="4"/>
      <c r="AA9" s="4"/>
      <c r="AB9" s="4"/>
      <c r="AC9" s="4"/>
      <c r="AD9" s="4"/>
      <c r="AE9" s="4"/>
      <c r="AF9" s="4"/>
      <c r="AG9" s="4"/>
      <c r="AH9" s="728"/>
      <c r="AI9" s="728"/>
      <c r="AJ9" s="4"/>
      <c r="AK9" s="4"/>
      <c r="AL9" s="4"/>
      <c r="AM9" s="4"/>
      <c r="AN9" s="55"/>
    </row>
    <row r="10" spans="1:40" ht="16.5" customHeight="1" x14ac:dyDescent="0.25">
      <c r="A10" s="11"/>
      <c r="B10" s="12"/>
      <c r="C10" s="13" t="s">
        <v>9</v>
      </c>
      <c r="D10" s="58" t="s">
        <v>30</v>
      </c>
      <c r="E10" s="58" t="s">
        <v>56</v>
      </c>
      <c r="F10" s="58" t="s">
        <v>32</v>
      </c>
      <c r="G10" s="58" t="s">
        <v>33</v>
      </c>
      <c r="H10" s="58" t="s">
        <v>97</v>
      </c>
      <c r="I10" s="58" t="s">
        <v>58</v>
      </c>
      <c r="J10" s="58" t="s">
        <v>58</v>
      </c>
      <c r="K10" s="58" t="s">
        <v>36</v>
      </c>
      <c r="L10" s="58" t="s">
        <v>130</v>
      </c>
      <c r="M10" s="58" t="s">
        <v>131</v>
      </c>
      <c r="N10" s="58" t="s">
        <v>132</v>
      </c>
      <c r="O10" s="58" t="s">
        <v>133</v>
      </c>
      <c r="P10" s="58" t="s">
        <v>44</v>
      </c>
      <c r="Q10" s="58" t="s">
        <v>132</v>
      </c>
      <c r="R10" s="438" t="s">
        <v>34</v>
      </c>
      <c r="S10" s="438"/>
      <c r="T10" s="13" t="s">
        <v>134</v>
      </c>
      <c r="U10" s="13" t="s">
        <v>114</v>
      </c>
      <c r="V10" s="13" t="s">
        <v>202</v>
      </c>
      <c r="W10" s="17" t="s">
        <v>160</v>
      </c>
      <c r="X10" s="372" t="s">
        <v>34</v>
      </c>
      <c r="Y10" s="98" t="s">
        <v>12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5"/>
    </row>
    <row r="11" spans="1:40" x14ac:dyDescent="0.25">
      <c r="A11" s="56"/>
      <c r="B11" s="12"/>
      <c r="C11" s="13" t="s">
        <v>13</v>
      </c>
      <c r="D11" s="58" t="s">
        <v>38</v>
      </c>
      <c r="E11" s="58" t="s">
        <v>43</v>
      </c>
      <c r="F11" s="58" t="s">
        <v>34</v>
      </c>
      <c r="G11" s="58" t="s">
        <v>39</v>
      </c>
      <c r="H11" s="58" t="s">
        <v>99</v>
      </c>
      <c r="I11" s="58" t="s">
        <v>100</v>
      </c>
      <c r="J11" s="58" t="s">
        <v>100</v>
      </c>
      <c r="K11" s="58"/>
      <c r="L11" s="58"/>
      <c r="M11" s="58"/>
      <c r="N11" s="58" t="s">
        <v>58</v>
      </c>
      <c r="O11" s="58" t="s">
        <v>40</v>
      </c>
      <c r="P11" s="58"/>
      <c r="Q11" s="58" t="s">
        <v>58</v>
      </c>
      <c r="R11" s="438" t="s">
        <v>12</v>
      </c>
      <c r="S11" s="438"/>
      <c r="T11" s="13" t="s">
        <v>135</v>
      </c>
      <c r="U11" s="13" t="s">
        <v>116</v>
      </c>
      <c r="V11" s="13" t="s">
        <v>205</v>
      </c>
      <c r="W11" s="17" t="s">
        <v>161</v>
      </c>
      <c r="X11" s="372" t="s">
        <v>12</v>
      </c>
      <c r="Y11" s="99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5"/>
    </row>
    <row r="12" spans="1:40" x14ac:dyDescent="0.25">
      <c r="A12" s="56"/>
      <c r="B12" s="12"/>
      <c r="C12" s="13"/>
      <c r="D12" s="60"/>
      <c r="E12" s="58" t="s">
        <v>57</v>
      </c>
      <c r="F12" s="58"/>
      <c r="G12" s="125"/>
      <c r="H12" s="61"/>
      <c r="I12" s="125" t="s">
        <v>136</v>
      </c>
      <c r="J12" s="125" t="s">
        <v>137</v>
      </c>
      <c r="K12" s="58"/>
      <c r="L12" s="61"/>
      <c r="M12" s="58"/>
      <c r="N12" s="58" t="s">
        <v>138</v>
      </c>
      <c r="O12" s="58" t="s">
        <v>139</v>
      </c>
      <c r="P12" s="58"/>
      <c r="Q12" s="58" t="s">
        <v>139</v>
      </c>
      <c r="R12" s="439" t="s">
        <v>145</v>
      </c>
      <c r="S12" s="439"/>
      <c r="T12" s="13" t="s">
        <v>140</v>
      </c>
      <c r="U12" s="13" t="s">
        <v>41</v>
      </c>
      <c r="V12" s="13" t="s">
        <v>206</v>
      </c>
      <c r="W12" s="13" t="s">
        <v>34</v>
      </c>
      <c r="X12" s="315" t="s">
        <v>146</v>
      </c>
      <c r="Y12" s="99" t="s">
        <v>147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5"/>
    </row>
    <row r="13" spans="1:40" hidden="1" x14ac:dyDescent="0.25">
      <c r="A13" s="115"/>
      <c r="B13" s="108"/>
      <c r="C13" s="109"/>
      <c r="D13" s="110" t="s">
        <v>164</v>
      </c>
      <c r="E13" s="16" t="s">
        <v>165</v>
      </c>
      <c r="F13" s="16" t="s">
        <v>166</v>
      </c>
      <c r="G13" s="17" t="s">
        <v>167</v>
      </c>
      <c r="H13" s="116" t="s">
        <v>168</v>
      </c>
      <c r="I13" s="13" t="s">
        <v>169</v>
      </c>
      <c r="J13" s="17" t="s">
        <v>170</v>
      </c>
      <c r="K13" s="109" t="s">
        <v>171</v>
      </c>
      <c r="L13" s="116" t="s">
        <v>172</v>
      </c>
      <c r="M13" s="116" t="s">
        <v>173</v>
      </c>
      <c r="N13" s="116" t="s">
        <v>174</v>
      </c>
      <c r="O13" s="117" t="s">
        <v>175</v>
      </c>
      <c r="P13" s="109" t="s">
        <v>176</v>
      </c>
      <c r="Q13" s="109" t="s">
        <v>177</v>
      </c>
      <c r="R13" s="109"/>
      <c r="S13" s="109"/>
      <c r="T13" s="109" t="s">
        <v>178</v>
      </c>
      <c r="U13" s="109" t="s">
        <v>179</v>
      </c>
      <c r="V13" s="109" t="s">
        <v>180</v>
      </c>
      <c r="W13" s="118" t="s">
        <v>181</v>
      </c>
      <c r="X13" s="428"/>
      <c r="Y13" s="119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5"/>
    </row>
    <row r="14" spans="1:40" ht="18" customHeight="1" x14ac:dyDescent="0.25">
      <c r="A14" s="186">
        <v>1</v>
      </c>
      <c r="B14" s="213"/>
      <c r="C14" s="210">
        <v>2</v>
      </c>
      <c r="D14" s="210">
        <v>3</v>
      </c>
      <c r="E14" s="210">
        <v>4</v>
      </c>
      <c r="F14" s="210">
        <v>5</v>
      </c>
      <c r="G14" s="210">
        <v>6</v>
      </c>
      <c r="H14" s="210">
        <v>7</v>
      </c>
      <c r="I14" s="210">
        <v>8</v>
      </c>
      <c r="J14" s="210">
        <v>9</v>
      </c>
      <c r="K14" s="210">
        <v>10</v>
      </c>
      <c r="L14" s="210">
        <v>11</v>
      </c>
      <c r="M14" s="210">
        <v>12</v>
      </c>
      <c r="N14" s="210">
        <v>13</v>
      </c>
      <c r="O14" s="210">
        <v>14</v>
      </c>
      <c r="P14" s="210">
        <v>15</v>
      </c>
      <c r="Q14" s="210">
        <v>16</v>
      </c>
      <c r="R14" s="210">
        <v>17</v>
      </c>
      <c r="S14" s="210"/>
      <c r="T14" s="210">
        <v>18</v>
      </c>
      <c r="U14" s="210">
        <v>19</v>
      </c>
      <c r="V14" s="444">
        <v>20</v>
      </c>
      <c r="W14" s="210">
        <v>21</v>
      </c>
      <c r="X14" s="210">
        <v>22</v>
      </c>
      <c r="Y14" s="211">
        <v>23</v>
      </c>
      <c r="Z14" s="4"/>
      <c r="AA14" s="4"/>
      <c r="AB14" s="4"/>
      <c r="AC14" s="4"/>
      <c r="AD14" s="4"/>
      <c r="AE14" s="4"/>
      <c r="AF14" s="4"/>
      <c r="AG14" s="4"/>
      <c r="AH14" s="728"/>
      <c r="AI14" s="728"/>
      <c r="AJ14" s="4"/>
      <c r="AK14" s="4"/>
      <c r="AL14" s="4"/>
      <c r="AM14" s="4"/>
      <c r="AN14" s="4"/>
    </row>
    <row r="15" spans="1:40" s="66" customFormat="1" ht="19.5" hidden="1" customHeight="1" x14ac:dyDescent="0.3">
      <c r="A15" s="62"/>
      <c r="B15" s="147"/>
      <c r="C15" s="63" t="s">
        <v>51</v>
      </c>
      <c r="D15" s="148">
        <v>2187728</v>
      </c>
      <c r="E15" s="148">
        <v>506193</v>
      </c>
      <c r="F15" s="148">
        <v>632867</v>
      </c>
      <c r="G15" s="148">
        <v>185</v>
      </c>
      <c r="H15" s="148">
        <v>0</v>
      </c>
      <c r="I15" s="148">
        <v>0</v>
      </c>
      <c r="J15" s="148">
        <v>0</v>
      </c>
      <c r="K15" s="148">
        <v>0</v>
      </c>
      <c r="L15" s="148">
        <v>123256</v>
      </c>
      <c r="M15" s="148">
        <v>0</v>
      </c>
      <c r="N15" s="148">
        <v>0</v>
      </c>
      <c r="O15" s="148">
        <v>5000</v>
      </c>
      <c r="P15" s="148">
        <v>0</v>
      </c>
      <c r="Q15" s="148">
        <v>0</v>
      </c>
      <c r="R15" s="148">
        <f>SUM(D15:Q15)</f>
        <v>3455229</v>
      </c>
      <c r="S15" s="148"/>
      <c r="T15" s="148">
        <v>0</v>
      </c>
      <c r="U15" s="148">
        <v>0</v>
      </c>
      <c r="V15" s="149">
        <v>0</v>
      </c>
      <c r="W15" s="148">
        <v>0</v>
      </c>
      <c r="X15" s="149">
        <f>SUM(T15:W15)</f>
        <v>0</v>
      </c>
      <c r="Y15" s="150">
        <f>R15+X15</f>
        <v>3455229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5"/>
    </row>
    <row r="16" spans="1:40" ht="20.100000000000001" hidden="1" customHeight="1" x14ac:dyDescent="0.25">
      <c r="A16" s="67"/>
      <c r="B16" s="133" t="s">
        <v>59</v>
      </c>
      <c r="C16" s="40" t="s">
        <v>82</v>
      </c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1"/>
      <c r="X16" s="72"/>
      <c r="Y16" s="80">
        <f>SUM(D16:W16)</f>
        <v>0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9"/>
    </row>
    <row r="17" spans="1:40" ht="20.100000000000001" hidden="1" customHeight="1" x14ac:dyDescent="0.25">
      <c r="A17" s="153"/>
      <c r="B17" s="27"/>
      <c r="C17" s="24" t="s">
        <v>18</v>
      </c>
      <c r="D17" s="148">
        <f t="shared" ref="D17:Y17" si="0">SUM(D15:D16)</f>
        <v>2187728</v>
      </c>
      <c r="E17" s="148">
        <f t="shared" si="0"/>
        <v>506193</v>
      </c>
      <c r="F17" s="148">
        <f t="shared" si="0"/>
        <v>632867</v>
      </c>
      <c r="G17" s="148">
        <f t="shared" si="0"/>
        <v>185</v>
      </c>
      <c r="H17" s="148">
        <f t="shared" si="0"/>
        <v>0</v>
      </c>
      <c r="I17" s="148">
        <f t="shared" si="0"/>
        <v>0</v>
      </c>
      <c r="J17" s="148">
        <f t="shared" si="0"/>
        <v>0</v>
      </c>
      <c r="K17" s="148">
        <f t="shared" si="0"/>
        <v>0</v>
      </c>
      <c r="L17" s="148">
        <f t="shared" si="0"/>
        <v>123256</v>
      </c>
      <c r="M17" s="148">
        <f t="shared" si="0"/>
        <v>0</v>
      </c>
      <c r="N17" s="148">
        <f t="shared" si="0"/>
        <v>0</v>
      </c>
      <c r="O17" s="148">
        <f t="shared" si="0"/>
        <v>5000</v>
      </c>
      <c r="P17" s="148">
        <f t="shared" si="0"/>
        <v>0</v>
      </c>
      <c r="Q17" s="148">
        <f t="shared" si="0"/>
        <v>0</v>
      </c>
      <c r="R17" s="148">
        <f>SUM(D17:Q17)</f>
        <v>3455229</v>
      </c>
      <c r="S17" s="148"/>
      <c r="T17" s="148">
        <f t="shared" si="0"/>
        <v>0</v>
      </c>
      <c r="U17" s="148">
        <f t="shared" si="0"/>
        <v>0</v>
      </c>
      <c r="V17" s="149">
        <f t="shared" si="0"/>
        <v>0</v>
      </c>
      <c r="W17" s="148">
        <f t="shared" si="0"/>
        <v>0</v>
      </c>
      <c r="X17" s="149">
        <f>SUM(T17:W17)</f>
        <v>0</v>
      </c>
      <c r="Y17" s="150">
        <f t="shared" si="0"/>
        <v>3455229</v>
      </c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</row>
    <row r="18" spans="1:40" ht="30" hidden="1" customHeight="1" x14ac:dyDescent="0.25">
      <c r="A18" s="79"/>
      <c r="B18" s="133"/>
      <c r="C18" s="28"/>
      <c r="D18" s="71"/>
      <c r="E18" s="71"/>
      <c r="F18" s="7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>
        <f t="shared" ref="R18:R90" si="1">SUM(D18:Q18)</f>
        <v>0</v>
      </c>
      <c r="S18" s="71"/>
      <c r="T18" s="71"/>
      <c r="U18" s="71"/>
      <c r="V18" s="72"/>
      <c r="W18" s="71"/>
      <c r="X18" s="72">
        <f t="shared" ref="X18:X90" si="2">SUM(T18:W18)</f>
        <v>0</v>
      </c>
      <c r="Y18" s="80">
        <f t="shared" ref="Y18:Y90" si="3">R18+X18</f>
        <v>0</v>
      </c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</row>
    <row r="19" spans="1:40" ht="30" hidden="1" customHeight="1" x14ac:dyDescent="0.25">
      <c r="A19" s="79">
        <v>1</v>
      </c>
      <c r="B19" s="559" t="s">
        <v>207</v>
      </c>
      <c r="C19" s="28" t="s">
        <v>330</v>
      </c>
      <c r="D19" s="152"/>
      <c r="E19" s="152"/>
      <c r="F19" s="152">
        <f>-1492-403</f>
        <v>-1895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>
        <f t="shared" si="1"/>
        <v>-1895</v>
      </c>
      <c r="S19" s="152"/>
      <c r="T19" s="152"/>
      <c r="U19" s="152"/>
      <c r="V19" s="158"/>
      <c r="W19" s="152"/>
      <c r="X19" s="158">
        <f t="shared" si="2"/>
        <v>0</v>
      </c>
      <c r="Y19" s="557">
        <f t="shared" si="3"/>
        <v>-1895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hidden="1" customHeight="1" x14ac:dyDescent="0.25">
      <c r="A20" s="79">
        <v>2</v>
      </c>
      <c r="B20" s="221" t="s">
        <v>208</v>
      </c>
      <c r="C20" s="28" t="s">
        <v>215</v>
      </c>
      <c r="D20" s="152">
        <f>12219</f>
        <v>12219</v>
      </c>
      <c r="E20" s="152">
        <f>2383</f>
        <v>2383</v>
      </c>
      <c r="F20" s="152">
        <f>179+28+189+441+39+1600+2311+861</f>
        <v>5648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>
        <f t="shared" si="1"/>
        <v>20250</v>
      </c>
      <c r="S20" s="152"/>
      <c r="T20" s="152"/>
      <c r="U20" s="152"/>
      <c r="V20" s="158"/>
      <c r="W20" s="152"/>
      <c r="X20" s="158">
        <f t="shared" si="2"/>
        <v>0</v>
      </c>
      <c r="Y20" s="557">
        <f t="shared" si="3"/>
        <v>20250</v>
      </c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30" hidden="1" customHeight="1" x14ac:dyDescent="0.25">
      <c r="A21" s="79">
        <v>3</v>
      </c>
      <c r="B21" s="221" t="s">
        <v>239</v>
      </c>
      <c r="C21" s="33" t="s">
        <v>238</v>
      </c>
      <c r="D21" s="152"/>
      <c r="E21" s="152"/>
      <c r="F21" s="152">
        <f>780+1021</f>
        <v>1801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>
        <f t="shared" si="1"/>
        <v>1801</v>
      </c>
      <c r="S21" s="152"/>
      <c r="T21" s="152"/>
      <c r="U21" s="152"/>
      <c r="V21" s="158"/>
      <c r="W21" s="152"/>
      <c r="X21" s="158">
        <f t="shared" si="2"/>
        <v>0</v>
      </c>
      <c r="Y21" s="557">
        <f t="shared" si="3"/>
        <v>1801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</row>
    <row r="22" spans="1:40" ht="30" hidden="1" customHeight="1" x14ac:dyDescent="0.25">
      <c r="A22" s="79">
        <v>4</v>
      </c>
      <c r="B22" s="221" t="s">
        <v>240</v>
      </c>
      <c r="C22" s="28" t="s">
        <v>241</v>
      </c>
      <c r="D22" s="152">
        <f>-91</f>
        <v>-91</v>
      </c>
      <c r="E22" s="152">
        <f>-16</f>
        <v>-16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>
        <f t="shared" si="1"/>
        <v>-107</v>
      </c>
      <c r="S22" s="152"/>
      <c r="T22" s="152"/>
      <c r="U22" s="152"/>
      <c r="V22" s="158"/>
      <c r="W22" s="152"/>
      <c r="X22" s="158">
        <f t="shared" si="2"/>
        <v>0</v>
      </c>
      <c r="Y22" s="557">
        <f t="shared" si="3"/>
        <v>-107</v>
      </c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30" hidden="1" customHeight="1" x14ac:dyDescent="0.25">
      <c r="A23" s="79">
        <v>5</v>
      </c>
      <c r="B23" s="221" t="s">
        <v>246</v>
      </c>
      <c r="C23" s="28" t="s">
        <v>245</v>
      </c>
      <c r="D23" s="152">
        <f>193.4</f>
        <v>193.4</v>
      </c>
      <c r="E23" s="152">
        <f>42.548</f>
        <v>42.548000000000002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>
        <f t="shared" si="1"/>
        <v>235.94800000000001</v>
      </c>
      <c r="S23" s="152"/>
      <c r="T23" s="152"/>
      <c r="U23" s="152"/>
      <c r="V23" s="158"/>
      <c r="W23" s="152"/>
      <c r="X23" s="158">
        <f t="shared" si="2"/>
        <v>0</v>
      </c>
      <c r="Y23" s="557">
        <f t="shared" si="3"/>
        <v>235.94800000000001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</row>
    <row r="24" spans="1:40" ht="30" hidden="1" customHeight="1" x14ac:dyDescent="0.25">
      <c r="A24" s="79">
        <v>6</v>
      </c>
      <c r="B24" s="221" t="s">
        <v>247</v>
      </c>
      <c r="C24" s="28" t="s">
        <v>248</v>
      </c>
      <c r="D24" s="152">
        <f>505.261</f>
        <v>505.26100000000002</v>
      </c>
      <c r="E24" s="152">
        <f>73.359</f>
        <v>73.358999999999995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f t="shared" si="1"/>
        <v>578.62</v>
      </c>
      <c r="S24" s="152"/>
      <c r="T24" s="152"/>
      <c r="U24" s="152"/>
      <c r="V24" s="158"/>
      <c r="W24" s="152"/>
      <c r="X24" s="158">
        <f t="shared" si="2"/>
        <v>0</v>
      </c>
      <c r="Y24" s="557">
        <f t="shared" si="3"/>
        <v>578.62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9"/>
    </row>
    <row r="25" spans="1:40" ht="30" hidden="1" customHeight="1" x14ac:dyDescent="0.25">
      <c r="A25" s="220">
        <v>7</v>
      </c>
      <c r="B25" s="221" t="s">
        <v>266</v>
      </c>
      <c r="C25" s="644" t="s">
        <v>265</v>
      </c>
      <c r="D25" s="152"/>
      <c r="E25" s="152"/>
      <c r="F25" s="152"/>
      <c r="G25" s="152"/>
      <c r="H25" s="152"/>
      <c r="I25" s="152"/>
      <c r="J25" s="152"/>
      <c r="K25" s="152"/>
      <c r="L25" s="152">
        <f>8000+2160</f>
        <v>10160</v>
      </c>
      <c r="M25" s="152"/>
      <c r="N25" s="152"/>
      <c r="O25" s="152"/>
      <c r="P25" s="152"/>
      <c r="Q25" s="152"/>
      <c r="R25" s="152">
        <f t="shared" si="1"/>
        <v>10160</v>
      </c>
      <c r="S25" s="152"/>
      <c r="T25" s="152"/>
      <c r="U25" s="152"/>
      <c r="V25" s="158"/>
      <c r="W25" s="152"/>
      <c r="X25" s="158">
        <f t="shared" si="2"/>
        <v>0</v>
      </c>
      <c r="Y25" s="557">
        <f t="shared" si="3"/>
        <v>10160</v>
      </c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9"/>
    </row>
    <row r="26" spans="1:40" ht="30" hidden="1" customHeight="1" x14ac:dyDescent="0.25">
      <c r="A26" s="79">
        <v>8</v>
      </c>
      <c r="B26" s="221" t="s">
        <v>289</v>
      </c>
      <c r="C26" s="33" t="s">
        <v>287</v>
      </c>
      <c r="D26" s="152"/>
      <c r="E26" s="152"/>
      <c r="F26" s="152"/>
      <c r="G26" s="152"/>
      <c r="H26" s="152"/>
      <c r="I26" s="152"/>
      <c r="J26" s="152"/>
      <c r="K26" s="152"/>
      <c r="L26" s="152">
        <f>8863+2393</f>
        <v>11256</v>
      </c>
      <c r="M26" s="152"/>
      <c r="N26" s="152"/>
      <c r="O26" s="152"/>
      <c r="P26" s="152"/>
      <c r="Q26" s="152"/>
      <c r="R26" s="152">
        <f t="shared" si="1"/>
        <v>11256</v>
      </c>
      <c r="S26" s="152"/>
      <c r="T26" s="152"/>
      <c r="U26" s="152"/>
      <c r="V26" s="158"/>
      <c r="W26" s="152"/>
      <c r="X26" s="158">
        <f t="shared" si="2"/>
        <v>0</v>
      </c>
      <c r="Y26" s="557">
        <f t="shared" si="3"/>
        <v>11256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9"/>
    </row>
    <row r="27" spans="1:40" ht="30" hidden="1" customHeight="1" x14ac:dyDescent="0.25">
      <c r="A27" s="220"/>
      <c r="B27" s="221"/>
      <c r="C27" s="41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>
        <f t="shared" si="1"/>
        <v>0</v>
      </c>
      <c r="S27" s="152"/>
      <c r="T27" s="152"/>
      <c r="U27" s="152"/>
      <c r="V27" s="158"/>
      <c r="W27" s="152"/>
      <c r="X27" s="158">
        <f t="shared" si="2"/>
        <v>0</v>
      </c>
      <c r="Y27" s="557">
        <f t="shared" si="3"/>
        <v>0</v>
      </c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9"/>
    </row>
    <row r="28" spans="1:40" ht="30" hidden="1" customHeight="1" x14ac:dyDescent="0.25">
      <c r="A28" s="79"/>
      <c r="B28" s="134"/>
      <c r="C28" s="28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>
        <f t="shared" si="1"/>
        <v>0</v>
      </c>
      <c r="S28" s="152"/>
      <c r="T28" s="152"/>
      <c r="U28" s="152"/>
      <c r="V28" s="158"/>
      <c r="W28" s="152"/>
      <c r="X28" s="158">
        <f t="shared" si="2"/>
        <v>0</v>
      </c>
      <c r="Y28" s="557">
        <f t="shared" si="3"/>
        <v>0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9"/>
    </row>
    <row r="29" spans="1:40" ht="9.9499999999999993" hidden="1" customHeight="1" x14ac:dyDescent="0.25">
      <c r="A29" s="79"/>
      <c r="B29" s="134"/>
      <c r="C29" s="28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8"/>
      <c r="W29" s="152"/>
      <c r="X29" s="158"/>
      <c r="Y29" s="557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9"/>
    </row>
    <row r="30" spans="1:40" ht="30" hidden="1" customHeight="1" x14ac:dyDescent="0.25">
      <c r="A30" s="205" t="s">
        <v>64</v>
      </c>
      <c r="B30" s="201"/>
      <c r="C30" s="206" t="s">
        <v>62</v>
      </c>
      <c r="D30" s="152">
        <f t="shared" ref="D30:I30" si="4">SUM(D18:D28)</f>
        <v>12826.661</v>
      </c>
      <c r="E30" s="152">
        <f t="shared" si="4"/>
        <v>2482.9069999999997</v>
      </c>
      <c r="F30" s="152">
        <f t="shared" si="4"/>
        <v>5554</v>
      </c>
      <c r="G30" s="152">
        <f t="shared" si="4"/>
        <v>0</v>
      </c>
      <c r="H30" s="152">
        <f t="shared" si="4"/>
        <v>0</v>
      </c>
      <c r="I30" s="152">
        <f t="shared" si="4"/>
        <v>0</v>
      </c>
      <c r="J30" s="152"/>
      <c r="K30" s="152">
        <f t="shared" ref="K30:Q30" si="5">SUM(K18:K28)</f>
        <v>0</v>
      </c>
      <c r="L30" s="152">
        <f t="shared" si="5"/>
        <v>21416</v>
      </c>
      <c r="M30" s="152">
        <f t="shared" si="5"/>
        <v>0</v>
      </c>
      <c r="N30" s="152">
        <f t="shared" si="5"/>
        <v>0</v>
      </c>
      <c r="O30" s="152">
        <f t="shared" si="5"/>
        <v>0</v>
      </c>
      <c r="P30" s="152">
        <f t="shared" si="5"/>
        <v>0</v>
      </c>
      <c r="Q30" s="152">
        <f t="shared" si="5"/>
        <v>0</v>
      </c>
      <c r="R30" s="152">
        <f t="shared" si="1"/>
        <v>42279.567999999999</v>
      </c>
      <c r="S30" s="152"/>
      <c r="T30" s="152">
        <f>SUM(T18:T28)</f>
        <v>0</v>
      </c>
      <c r="U30" s="152">
        <f>SUM(U18:U28)</f>
        <v>0</v>
      </c>
      <c r="V30" s="158">
        <f>SUM(V18:V28)</f>
        <v>0</v>
      </c>
      <c r="W30" s="152">
        <f>SUM(W18:W28)</f>
        <v>0</v>
      </c>
      <c r="X30" s="158">
        <f t="shared" si="2"/>
        <v>0</v>
      </c>
      <c r="Y30" s="558">
        <f t="shared" si="3"/>
        <v>42279.567999999999</v>
      </c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9"/>
    </row>
    <row r="31" spans="1:40" ht="30" hidden="1" customHeight="1" x14ac:dyDescent="0.25">
      <c r="A31" s="79"/>
      <c r="B31" s="134"/>
      <c r="C31" s="28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8"/>
      <c r="W31" s="152"/>
      <c r="X31" s="158"/>
      <c r="Y31" s="557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9"/>
    </row>
    <row r="32" spans="1:40" ht="30" hidden="1" customHeight="1" x14ac:dyDescent="0.25">
      <c r="A32" s="79">
        <v>9</v>
      </c>
      <c r="B32" s="221" t="s">
        <v>216</v>
      </c>
      <c r="C32" s="644" t="s">
        <v>217</v>
      </c>
      <c r="D32" s="152">
        <f>12118.6+482+150</f>
        <v>12750.6</v>
      </c>
      <c r="E32" s="152">
        <f>2392.377+140.592+108.147</f>
        <v>2641.116</v>
      </c>
      <c r="F32" s="152">
        <f>735.405+10+90+300+299.213+300+10+200+400.047</f>
        <v>2344.665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>
        <f t="shared" si="1"/>
        <v>17736.381000000001</v>
      </c>
      <c r="S32" s="152"/>
      <c r="T32" s="152"/>
      <c r="U32" s="152"/>
      <c r="V32" s="158"/>
      <c r="W32" s="152"/>
      <c r="X32" s="158">
        <f t="shared" si="2"/>
        <v>0</v>
      </c>
      <c r="Y32" s="557">
        <f t="shared" si="3"/>
        <v>17736.381000000001</v>
      </c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9"/>
    </row>
    <row r="33" spans="1:40" ht="30" hidden="1" customHeight="1" x14ac:dyDescent="0.25">
      <c r="A33" s="79">
        <v>10</v>
      </c>
      <c r="B33" s="221" t="s">
        <v>299</v>
      </c>
      <c r="C33" s="121" t="s">
        <v>300</v>
      </c>
      <c r="D33" s="152"/>
      <c r="E33" s="152"/>
      <c r="F33" s="152">
        <f>267+72</f>
        <v>339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>
        <f t="shared" si="1"/>
        <v>339</v>
      </c>
      <c r="S33" s="152"/>
      <c r="T33" s="152"/>
      <c r="U33" s="152"/>
      <c r="V33" s="158"/>
      <c r="W33" s="152"/>
      <c r="X33" s="158">
        <f t="shared" si="2"/>
        <v>0</v>
      </c>
      <c r="Y33" s="557">
        <f t="shared" si="3"/>
        <v>339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</row>
    <row r="34" spans="1:40" ht="30" hidden="1" customHeight="1" x14ac:dyDescent="0.25">
      <c r="A34" s="79">
        <v>11</v>
      </c>
      <c r="B34" s="559" t="s">
        <v>297</v>
      </c>
      <c r="C34" s="121" t="s">
        <v>298</v>
      </c>
      <c r="D34" s="152">
        <f>1553.847</f>
        <v>1553.847</v>
      </c>
      <c r="E34" s="152">
        <f>155.385</f>
        <v>155.38499999999999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>
        <f t="shared" si="1"/>
        <v>1709.232</v>
      </c>
      <c r="S34" s="152"/>
      <c r="T34" s="152"/>
      <c r="U34" s="152"/>
      <c r="V34" s="158"/>
      <c r="W34" s="152"/>
      <c r="X34" s="158">
        <f t="shared" si="2"/>
        <v>0</v>
      </c>
      <c r="Y34" s="557">
        <f t="shared" si="3"/>
        <v>1709.232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9"/>
    </row>
    <row r="35" spans="1:40" ht="30" hidden="1" customHeight="1" x14ac:dyDescent="0.25">
      <c r="A35" s="79" t="s">
        <v>89</v>
      </c>
      <c r="B35" s="559" t="s">
        <v>292</v>
      </c>
      <c r="C35" s="40" t="s">
        <v>287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>
        <f t="shared" si="1"/>
        <v>0</v>
      </c>
      <c r="S35" s="152"/>
      <c r="T35" s="152"/>
      <c r="U35" s="152"/>
      <c r="V35" s="158"/>
      <c r="W35" s="152"/>
      <c r="X35" s="158">
        <f t="shared" si="2"/>
        <v>0</v>
      </c>
      <c r="Y35" s="557">
        <f t="shared" si="3"/>
        <v>0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9"/>
    </row>
    <row r="36" spans="1:40" ht="30" hidden="1" customHeight="1" x14ac:dyDescent="0.25">
      <c r="A36" s="79">
        <v>12</v>
      </c>
      <c r="B36" s="559" t="s">
        <v>293</v>
      </c>
      <c r="C36" s="40" t="s">
        <v>294</v>
      </c>
      <c r="D36" s="152"/>
      <c r="E36" s="152"/>
      <c r="F36" s="152">
        <f>302+81</f>
        <v>383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>
        <f t="shared" si="1"/>
        <v>383</v>
      </c>
      <c r="S36" s="152"/>
      <c r="T36" s="152"/>
      <c r="U36" s="152"/>
      <c r="V36" s="158"/>
      <c r="W36" s="152"/>
      <c r="X36" s="158">
        <f t="shared" si="2"/>
        <v>0</v>
      </c>
      <c r="Y36" s="557">
        <f t="shared" si="3"/>
        <v>383</v>
      </c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/>
    </row>
    <row r="37" spans="1:40" ht="30" hidden="1" customHeight="1" x14ac:dyDescent="0.25">
      <c r="A37" s="79">
        <v>13</v>
      </c>
      <c r="B37" s="559" t="s">
        <v>295</v>
      </c>
      <c r="C37" s="40" t="s">
        <v>296</v>
      </c>
      <c r="D37" s="152"/>
      <c r="E37" s="152"/>
      <c r="F37" s="152">
        <f>-406.976</f>
        <v>-406.976</v>
      </c>
      <c r="G37" s="152"/>
      <c r="H37" s="152"/>
      <c r="I37" s="152">
        <f>129.883</f>
        <v>129.88300000000001</v>
      </c>
      <c r="J37" s="152">
        <f>19.807+257.286</f>
        <v>277.09300000000002</v>
      </c>
      <c r="K37" s="152"/>
      <c r="L37" s="152"/>
      <c r="M37" s="152"/>
      <c r="N37" s="152"/>
      <c r="O37" s="152"/>
      <c r="P37" s="152"/>
      <c r="Q37" s="152"/>
      <c r="R37" s="152">
        <f t="shared" si="1"/>
        <v>0</v>
      </c>
      <c r="S37" s="152"/>
      <c r="T37" s="152"/>
      <c r="U37" s="152"/>
      <c r="V37" s="158"/>
      <c r="W37" s="152"/>
      <c r="X37" s="158">
        <f t="shared" si="2"/>
        <v>0</v>
      </c>
      <c r="Y37" s="557">
        <f t="shared" si="3"/>
        <v>0</v>
      </c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9"/>
    </row>
    <row r="38" spans="1:40" ht="30" hidden="1" customHeight="1" x14ac:dyDescent="0.25">
      <c r="A38" s="79" t="s">
        <v>89</v>
      </c>
      <c r="B38" s="559"/>
      <c r="C38" s="40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>
        <f t="shared" si="1"/>
        <v>0</v>
      </c>
      <c r="S38" s="152"/>
      <c r="T38" s="152"/>
      <c r="U38" s="152"/>
      <c r="V38" s="158"/>
      <c r="W38" s="152"/>
      <c r="X38" s="158">
        <f t="shared" si="2"/>
        <v>0</v>
      </c>
      <c r="Y38" s="557">
        <f t="shared" si="3"/>
        <v>0</v>
      </c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9"/>
    </row>
    <row r="39" spans="1:40" ht="30" hidden="1" customHeight="1" x14ac:dyDescent="0.25">
      <c r="A39" s="79" t="s">
        <v>89</v>
      </c>
      <c r="B39" s="559"/>
      <c r="C39" s="40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>
        <f t="shared" si="1"/>
        <v>0</v>
      </c>
      <c r="S39" s="152"/>
      <c r="T39" s="152"/>
      <c r="U39" s="152"/>
      <c r="V39" s="158"/>
      <c r="W39" s="152"/>
      <c r="X39" s="158">
        <f t="shared" si="2"/>
        <v>0</v>
      </c>
      <c r="Y39" s="557">
        <f t="shared" si="3"/>
        <v>0</v>
      </c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</row>
    <row r="40" spans="1:40" ht="30" hidden="1" customHeight="1" x14ac:dyDescent="0.25">
      <c r="A40" s="79" t="s">
        <v>89</v>
      </c>
      <c r="B40" s="559"/>
      <c r="C40" s="40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>
        <f t="shared" si="1"/>
        <v>0</v>
      </c>
      <c r="S40" s="152"/>
      <c r="T40" s="152"/>
      <c r="U40" s="152"/>
      <c r="V40" s="158"/>
      <c r="W40" s="152"/>
      <c r="X40" s="158">
        <f t="shared" si="2"/>
        <v>0</v>
      </c>
      <c r="Y40" s="557">
        <f t="shared" si="3"/>
        <v>0</v>
      </c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9"/>
    </row>
    <row r="41" spans="1:40" ht="30" hidden="1" customHeight="1" x14ac:dyDescent="0.25">
      <c r="A41" s="79" t="s">
        <v>89</v>
      </c>
      <c r="B41" s="559"/>
      <c r="C41" s="40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>
        <f t="shared" si="1"/>
        <v>0</v>
      </c>
      <c r="S41" s="152"/>
      <c r="T41" s="152"/>
      <c r="U41" s="152"/>
      <c r="V41" s="158"/>
      <c r="W41" s="152"/>
      <c r="X41" s="158">
        <f t="shared" si="2"/>
        <v>0</v>
      </c>
      <c r="Y41" s="557">
        <f t="shared" si="3"/>
        <v>0</v>
      </c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9"/>
    </row>
    <row r="42" spans="1:40" ht="30" hidden="1" customHeight="1" x14ac:dyDescent="0.25">
      <c r="A42" s="79" t="s">
        <v>89</v>
      </c>
      <c r="B42" s="221"/>
      <c r="C42" s="28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>
        <f t="shared" si="1"/>
        <v>0</v>
      </c>
      <c r="S42" s="152"/>
      <c r="T42" s="152"/>
      <c r="U42" s="152"/>
      <c r="V42" s="158"/>
      <c r="W42" s="152"/>
      <c r="X42" s="158">
        <f t="shared" si="2"/>
        <v>0</v>
      </c>
      <c r="Y42" s="557">
        <f t="shared" si="3"/>
        <v>0</v>
      </c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</row>
    <row r="43" spans="1:40" ht="30" hidden="1" customHeight="1" x14ac:dyDescent="0.25">
      <c r="A43" s="79" t="s">
        <v>89</v>
      </c>
      <c r="B43" s="221"/>
      <c r="C43" s="28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>
        <f t="shared" si="1"/>
        <v>0</v>
      </c>
      <c r="S43" s="152"/>
      <c r="T43" s="152"/>
      <c r="U43" s="152"/>
      <c r="V43" s="158"/>
      <c r="W43" s="152"/>
      <c r="X43" s="158">
        <f t="shared" si="2"/>
        <v>0</v>
      </c>
      <c r="Y43" s="557">
        <f t="shared" si="3"/>
        <v>0</v>
      </c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9"/>
    </row>
    <row r="44" spans="1:40" ht="30" hidden="1" customHeight="1" x14ac:dyDescent="0.25">
      <c r="A44" s="79" t="s">
        <v>89</v>
      </c>
      <c r="B44" s="221"/>
      <c r="C44" s="28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>
        <f t="shared" si="1"/>
        <v>0</v>
      </c>
      <c r="S44" s="152"/>
      <c r="T44" s="152"/>
      <c r="U44" s="152"/>
      <c r="V44" s="158"/>
      <c r="W44" s="152"/>
      <c r="X44" s="158">
        <f t="shared" si="2"/>
        <v>0</v>
      </c>
      <c r="Y44" s="557">
        <f t="shared" si="3"/>
        <v>0</v>
      </c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9"/>
    </row>
    <row r="45" spans="1:40" ht="30" hidden="1" customHeight="1" x14ac:dyDescent="0.25">
      <c r="A45" s="79"/>
      <c r="B45" s="134"/>
      <c r="C45" s="28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8"/>
      <c r="W45" s="152"/>
      <c r="X45" s="158"/>
      <c r="Y45" s="557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</row>
    <row r="46" spans="1:40" ht="30" hidden="1" customHeight="1" x14ac:dyDescent="0.25">
      <c r="A46" s="205" t="s">
        <v>65</v>
      </c>
      <c r="B46" s="201"/>
      <c r="C46" s="206" t="s">
        <v>63</v>
      </c>
      <c r="D46" s="152">
        <f t="shared" ref="D46:Q46" si="6">SUM(D32:D44)</f>
        <v>14304.447</v>
      </c>
      <c r="E46" s="152">
        <f t="shared" si="6"/>
        <v>2796.5010000000002</v>
      </c>
      <c r="F46" s="152">
        <f t="shared" si="6"/>
        <v>2659.6889999999999</v>
      </c>
      <c r="G46" s="152">
        <f t="shared" si="6"/>
        <v>0</v>
      </c>
      <c r="H46" s="152">
        <f t="shared" si="6"/>
        <v>0</v>
      </c>
      <c r="I46" s="152">
        <f t="shared" si="6"/>
        <v>129.88300000000001</v>
      </c>
      <c r="J46" s="152">
        <f t="shared" si="6"/>
        <v>277.09300000000002</v>
      </c>
      <c r="K46" s="152">
        <f t="shared" si="6"/>
        <v>0</v>
      </c>
      <c r="L46" s="152">
        <f t="shared" si="6"/>
        <v>0</v>
      </c>
      <c r="M46" s="152">
        <f t="shared" si="6"/>
        <v>0</v>
      </c>
      <c r="N46" s="152">
        <f t="shared" si="6"/>
        <v>0</v>
      </c>
      <c r="O46" s="152">
        <f t="shared" si="6"/>
        <v>0</v>
      </c>
      <c r="P46" s="152">
        <f t="shared" si="6"/>
        <v>0</v>
      </c>
      <c r="Q46" s="152">
        <f t="shared" si="6"/>
        <v>0</v>
      </c>
      <c r="R46" s="152">
        <f t="shared" si="1"/>
        <v>20167.613000000001</v>
      </c>
      <c r="S46" s="152"/>
      <c r="T46" s="152">
        <f>SUM(T32:T44)</f>
        <v>0</v>
      </c>
      <c r="U46" s="152">
        <f>SUM(U32:U44)</f>
        <v>0</v>
      </c>
      <c r="V46" s="152">
        <f>SUM(V32:V44)</f>
        <v>0</v>
      </c>
      <c r="W46" s="152">
        <f>SUM(W32:W44)</f>
        <v>0</v>
      </c>
      <c r="X46" s="158">
        <f t="shared" si="2"/>
        <v>0</v>
      </c>
      <c r="Y46" s="558">
        <f t="shared" si="3"/>
        <v>20167.613000000001</v>
      </c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9"/>
    </row>
    <row r="47" spans="1:40" ht="30" hidden="1" customHeight="1" x14ac:dyDescent="0.25">
      <c r="A47" s="79"/>
      <c r="B47" s="134"/>
      <c r="C47" s="28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1"/>
      <c r="X47" s="72"/>
      <c r="Y47" s="80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9"/>
    </row>
    <row r="48" spans="1:40" ht="17.25" hidden="1" thickBot="1" x14ac:dyDescent="0.25">
      <c r="A48" s="79"/>
      <c r="B48" s="122"/>
      <c r="C48" s="156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1"/>
      <c r="X48" s="72"/>
      <c r="Y48" s="80"/>
    </row>
    <row r="49" spans="1:72" ht="30" hidden="1" customHeight="1" thickTop="1" thickBot="1" x14ac:dyDescent="0.25">
      <c r="A49" s="131"/>
      <c r="B49" s="87"/>
      <c r="C49" s="43" t="s">
        <v>66</v>
      </c>
      <c r="D49" s="83">
        <f t="shared" ref="D49:W49" si="7">D30+D46</f>
        <v>27131.108</v>
      </c>
      <c r="E49" s="83">
        <f t="shared" si="7"/>
        <v>5279.4079999999994</v>
      </c>
      <c r="F49" s="83">
        <f t="shared" si="7"/>
        <v>8213.6890000000003</v>
      </c>
      <c r="G49" s="83">
        <f t="shared" si="7"/>
        <v>0</v>
      </c>
      <c r="H49" s="83">
        <f t="shared" si="7"/>
        <v>0</v>
      </c>
      <c r="I49" s="83">
        <f t="shared" si="7"/>
        <v>129.88300000000001</v>
      </c>
      <c r="J49" s="83">
        <f t="shared" si="7"/>
        <v>277.09300000000002</v>
      </c>
      <c r="K49" s="83">
        <f t="shared" si="7"/>
        <v>0</v>
      </c>
      <c r="L49" s="83">
        <f t="shared" si="7"/>
        <v>21416</v>
      </c>
      <c r="M49" s="83">
        <f t="shared" si="7"/>
        <v>0</v>
      </c>
      <c r="N49" s="83">
        <f t="shared" si="7"/>
        <v>0</v>
      </c>
      <c r="O49" s="83">
        <f t="shared" si="7"/>
        <v>0</v>
      </c>
      <c r="P49" s="83">
        <f t="shared" si="7"/>
        <v>0</v>
      </c>
      <c r="Q49" s="83">
        <f t="shared" si="7"/>
        <v>0</v>
      </c>
      <c r="R49" s="83">
        <f t="shared" si="1"/>
        <v>62447.181000000004</v>
      </c>
      <c r="S49" s="83"/>
      <c r="T49" s="83">
        <f t="shared" si="7"/>
        <v>0</v>
      </c>
      <c r="U49" s="83">
        <f t="shared" si="7"/>
        <v>0</v>
      </c>
      <c r="V49" s="84">
        <f t="shared" si="7"/>
        <v>0</v>
      </c>
      <c r="W49" s="83">
        <f t="shared" si="7"/>
        <v>0</v>
      </c>
      <c r="X49" s="83">
        <f t="shared" si="2"/>
        <v>0</v>
      </c>
      <c r="Y49" s="77">
        <f t="shared" si="3"/>
        <v>62447.181000000004</v>
      </c>
    </row>
    <row r="50" spans="1:72" ht="9.9499999999999993" hidden="1" customHeight="1" thickTop="1" x14ac:dyDescent="0.2">
      <c r="A50" s="588"/>
      <c r="B50" s="182"/>
      <c r="C50" s="183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524"/>
      <c r="W50" s="602"/>
      <c r="X50" s="524"/>
      <c r="Y50" s="603"/>
    </row>
    <row r="51" spans="1:72" ht="30" hidden="1" customHeight="1" x14ac:dyDescent="0.2">
      <c r="A51" s="604"/>
      <c r="B51" s="30"/>
      <c r="C51" s="605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606"/>
      <c r="O51" s="606"/>
      <c r="P51" s="606"/>
      <c r="Q51" s="606"/>
      <c r="R51" s="606">
        <f>SUM(D51:Q51)</f>
        <v>0</v>
      </c>
      <c r="S51" s="606"/>
      <c r="T51" s="606"/>
      <c r="U51" s="606"/>
      <c r="V51" s="607"/>
      <c r="W51" s="606"/>
      <c r="X51" s="607">
        <f>SUM(T51:W51)</f>
        <v>0</v>
      </c>
      <c r="Y51" s="608">
        <f>R51+X51</f>
        <v>0</v>
      </c>
    </row>
    <row r="52" spans="1:72" ht="9.9499999999999993" hidden="1" customHeight="1" thickBot="1" x14ac:dyDescent="0.25">
      <c r="A52" s="598"/>
      <c r="B52" s="191"/>
      <c r="C52" s="192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10"/>
      <c r="W52" s="609"/>
      <c r="X52" s="610"/>
      <c r="Y52" s="611"/>
    </row>
    <row r="53" spans="1:72" ht="30" hidden="1" customHeight="1" thickTop="1" thickBot="1" x14ac:dyDescent="0.25">
      <c r="A53" s="131"/>
      <c r="B53" s="87"/>
      <c r="C53" s="43" t="s">
        <v>124</v>
      </c>
      <c r="D53" s="124">
        <f t="shared" ref="D53:K53" si="8">D17+D49</f>
        <v>2214859.108</v>
      </c>
      <c r="E53" s="124">
        <f t="shared" si="8"/>
        <v>511472.408</v>
      </c>
      <c r="F53" s="124">
        <f t="shared" si="8"/>
        <v>641080.68900000001</v>
      </c>
      <c r="G53" s="124">
        <f t="shared" si="8"/>
        <v>185</v>
      </c>
      <c r="H53" s="124">
        <f t="shared" si="8"/>
        <v>0</v>
      </c>
      <c r="I53" s="124">
        <f t="shared" si="8"/>
        <v>129.88300000000001</v>
      </c>
      <c r="J53" s="124">
        <f t="shared" si="8"/>
        <v>277.09300000000002</v>
      </c>
      <c r="K53" s="124">
        <f t="shared" si="8"/>
        <v>0</v>
      </c>
      <c r="L53" s="124">
        <f>L17+L49+L51</f>
        <v>144672</v>
      </c>
      <c r="M53" s="124">
        <f>M17+M49</f>
        <v>0</v>
      </c>
      <c r="N53" s="124">
        <f>N17+N49</f>
        <v>0</v>
      </c>
      <c r="O53" s="124">
        <f>O17+O49</f>
        <v>5000</v>
      </c>
      <c r="P53" s="124">
        <f>P17+P49</f>
        <v>0</v>
      </c>
      <c r="Q53" s="124">
        <f>Q17+Q49</f>
        <v>0</v>
      </c>
      <c r="R53" s="124">
        <f>SUM(D53:Q53)</f>
        <v>3517676.1809999999</v>
      </c>
      <c r="S53" s="124"/>
      <c r="T53" s="124">
        <f>T17+T49</f>
        <v>0</v>
      </c>
      <c r="U53" s="124">
        <f>U17+U49</f>
        <v>0</v>
      </c>
      <c r="V53" s="330">
        <f>V17+V49</f>
        <v>0</v>
      </c>
      <c r="W53" s="124">
        <f>W17+W49</f>
        <v>0</v>
      </c>
      <c r="X53" s="330">
        <f t="shared" si="2"/>
        <v>0</v>
      </c>
      <c r="Y53" s="154">
        <f>R53+X53+Y51</f>
        <v>3517676.1809999999</v>
      </c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</row>
    <row r="54" spans="1:72" ht="17.25" hidden="1" thickTop="1" x14ac:dyDescent="0.2">
      <c r="A54" s="26"/>
      <c r="B54" s="132" t="s">
        <v>50</v>
      </c>
      <c r="C54" s="90" t="s">
        <v>117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>
        <f t="shared" si="1"/>
        <v>0</v>
      </c>
      <c r="S54" s="91"/>
      <c r="T54" s="91"/>
      <c r="U54" s="91"/>
      <c r="V54" s="95"/>
      <c r="W54" s="91"/>
      <c r="X54" s="95">
        <f t="shared" si="2"/>
        <v>0</v>
      </c>
      <c r="Y54" s="621">
        <f t="shared" si="3"/>
        <v>0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</row>
    <row r="55" spans="1:72" hidden="1" x14ac:dyDescent="0.2">
      <c r="A55" s="26"/>
      <c r="B55" s="73" t="s">
        <v>53</v>
      </c>
      <c r="C55" s="92" t="s">
        <v>117</v>
      </c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>
        <f t="shared" si="1"/>
        <v>0</v>
      </c>
      <c r="S55" s="93"/>
      <c r="T55" s="93"/>
      <c r="U55" s="93"/>
      <c r="V55" s="96"/>
      <c r="W55" s="93"/>
      <c r="X55" s="96">
        <f t="shared" si="2"/>
        <v>0</v>
      </c>
      <c r="Y55" s="622">
        <f t="shared" si="3"/>
        <v>0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</row>
    <row r="56" spans="1:72" hidden="1" x14ac:dyDescent="0.2">
      <c r="A56" s="26"/>
      <c r="B56" s="73" t="s">
        <v>60</v>
      </c>
      <c r="C56" s="92" t="s">
        <v>117</v>
      </c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19"/>
      <c r="R56" s="619">
        <f t="shared" si="1"/>
        <v>0</v>
      </c>
      <c r="S56" s="93"/>
      <c r="T56" s="93"/>
      <c r="U56" s="93"/>
      <c r="V56" s="96"/>
      <c r="W56" s="93"/>
      <c r="X56" s="96">
        <f t="shared" si="2"/>
        <v>0</v>
      </c>
      <c r="Y56" s="622">
        <f t="shared" si="3"/>
        <v>0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</row>
    <row r="57" spans="1:72" ht="16.5" hidden="1" customHeight="1" x14ac:dyDescent="0.2">
      <c r="A57" s="26"/>
      <c r="B57" s="73" t="s">
        <v>307</v>
      </c>
      <c r="C57" s="92" t="s">
        <v>117</v>
      </c>
      <c r="D57" s="619"/>
      <c r="E57" s="619"/>
      <c r="F57" s="619">
        <f>3061</f>
        <v>3061</v>
      </c>
      <c r="G57" s="619"/>
      <c r="H57" s="619"/>
      <c r="I57" s="619"/>
      <c r="J57" s="619"/>
      <c r="K57" s="619"/>
      <c r="L57" s="619"/>
      <c r="M57" s="619"/>
      <c r="N57" s="619"/>
      <c r="O57" s="619">
        <f>1000</f>
        <v>1000</v>
      </c>
      <c r="P57" s="619"/>
      <c r="Q57" s="619"/>
      <c r="R57" s="619">
        <f t="shared" si="1"/>
        <v>4061</v>
      </c>
      <c r="S57" s="93"/>
      <c r="T57" s="93"/>
      <c r="U57" s="93"/>
      <c r="V57" s="96"/>
      <c r="W57" s="93"/>
      <c r="X57" s="96">
        <f t="shared" si="2"/>
        <v>0</v>
      </c>
      <c r="Y57" s="622">
        <f t="shared" si="3"/>
        <v>4061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</row>
    <row r="58" spans="1:72" hidden="1" x14ac:dyDescent="0.2">
      <c r="A58" s="26"/>
      <c r="B58" s="73" t="s">
        <v>308</v>
      </c>
      <c r="C58" s="92" t="s">
        <v>117</v>
      </c>
      <c r="D58" s="619"/>
      <c r="E58" s="619"/>
      <c r="F58" s="619">
        <f>12270+3240+24</f>
        <v>15534</v>
      </c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>
        <f t="shared" si="1"/>
        <v>15534</v>
      </c>
      <c r="S58" s="93"/>
      <c r="T58" s="93"/>
      <c r="U58" s="93"/>
      <c r="V58" s="96"/>
      <c r="W58" s="93"/>
      <c r="X58" s="96">
        <f t="shared" si="2"/>
        <v>0</v>
      </c>
      <c r="Y58" s="622">
        <f t="shared" si="3"/>
        <v>15534</v>
      </c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</row>
    <row r="59" spans="1:72" hidden="1" x14ac:dyDescent="0.2">
      <c r="A59" s="26"/>
      <c r="B59" s="73" t="s">
        <v>309</v>
      </c>
      <c r="C59" s="92" t="s">
        <v>117</v>
      </c>
      <c r="D59" s="619">
        <f>77820+546.153+98+12</f>
        <v>78476.153000000006</v>
      </c>
      <c r="E59" s="619">
        <f>17120.071+69.615</f>
        <v>17189.686000000002</v>
      </c>
      <c r="F59" s="619">
        <f>1180+48</f>
        <v>1228</v>
      </c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>
        <f t="shared" si="1"/>
        <v>96893.839000000007</v>
      </c>
      <c r="S59" s="93"/>
      <c r="T59" s="93"/>
      <c r="U59" s="93"/>
      <c r="V59" s="96"/>
      <c r="W59" s="93"/>
      <c r="X59" s="96">
        <f t="shared" si="2"/>
        <v>0</v>
      </c>
      <c r="Y59" s="622">
        <f t="shared" si="3"/>
        <v>96893.839000000007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</row>
    <row r="60" spans="1:72" hidden="1" x14ac:dyDescent="0.2">
      <c r="A60" s="26"/>
      <c r="B60" s="73" t="s">
        <v>310</v>
      </c>
      <c r="C60" s="92" t="s">
        <v>117</v>
      </c>
      <c r="D60" s="619">
        <f>172</f>
        <v>172</v>
      </c>
      <c r="E60" s="619">
        <f>875+937</f>
        <v>1812</v>
      </c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19"/>
      <c r="R60" s="619">
        <f t="shared" si="1"/>
        <v>1984</v>
      </c>
      <c r="S60" s="93"/>
      <c r="T60" s="93"/>
      <c r="U60" s="93"/>
      <c r="V60" s="96"/>
      <c r="W60" s="93"/>
      <c r="X60" s="96">
        <f t="shared" si="2"/>
        <v>0</v>
      </c>
      <c r="Y60" s="622">
        <f t="shared" si="3"/>
        <v>1984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</row>
    <row r="61" spans="1:72" hidden="1" x14ac:dyDescent="0.2">
      <c r="A61" s="26"/>
      <c r="B61" s="73" t="s">
        <v>45</v>
      </c>
      <c r="C61" s="92" t="s">
        <v>117</v>
      </c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>
        <f t="shared" si="1"/>
        <v>0</v>
      </c>
      <c r="S61" s="93"/>
      <c r="T61" s="93"/>
      <c r="U61" s="93"/>
      <c r="V61" s="96"/>
      <c r="W61" s="93"/>
      <c r="X61" s="96">
        <f t="shared" si="2"/>
        <v>0</v>
      </c>
      <c r="Y61" s="622">
        <f t="shared" si="3"/>
        <v>0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</row>
    <row r="62" spans="1:72" hidden="1" x14ac:dyDescent="0.2">
      <c r="A62" s="26"/>
      <c r="B62" s="73" t="s">
        <v>311</v>
      </c>
      <c r="C62" s="92" t="s">
        <v>117</v>
      </c>
      <c r="D62" s="619">
        <f>1586</f>
        <v>1586</v>
      </c>
      <c r="E62" s="619">
        <f>349</f>
        <v>349</v>
      </c>
      <c r="F62" s="619"/>
      <c r="G62" s="619"/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>
        <f t="shared" si="1"/>
        <v>1935</v>
      </c>
      <c r="S62" s="93"/>
      <c r="T62" s="93"/>
      <c r="U62" s="93"/>
      <c r="V62" s="96"/>
      <c r="W62" s="93"/>
      <c r="X62" s="96">
        <f t="shared" si="2"/>
        <v>0</v>
      </c>
      <c r="Y62" s="622">
        <f t="shared" si="3"/>
        <v>1935</v>
      </c>
      <c r="Z62" s="8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</row>
    <row r="63" spans="1:72" hidden="1" x14ac:dyDescent="0.2">
      <c r="A63" s="26"/>
      <c r="B63" s="73" t="s">
        <v>312</v>
      </c>
      <c r="C63" s="92" t="s">
        <v>117</v>
      </c>
      <c r="D63" s="619"/>
      <c r="E63" s="619"/>
      <c r="F63" s="619">
        <f>30</f>
        <v>30</v>
      </c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>
        <f t="shared" si="1"/>
        <v>30</v>
      </c>
      <c r="S63" s="93"/>
      <c r="T63" s="93"/>
      <c r="U63" s="93"/>
      <c r="V63" s="96"/>
      <c r="W63" s="93"/>
      <c r="X63" s="96">
        <f t="shared" si="2"/>
        <v>0</v>
      </c>
      <c r="Y63" s="622">
        <f t="shared" si="3"/>
        <v>30</v>
      </c>
      <c r="Z63" s="8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</row>
    <row r="64" spans="1:72" hidden="1" x14ac:dyDescent="0.2">
      <c r="A64" s="26"/>
      <c r="B64" s="73" t="s">
        <v>87</v>
      </c>
      <c r="C64" s="92" t="s">
        <v>117</v>
      </c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>
        <f t="shared" si="1"/>
        <v>0</v>
      </c>
      <c r="S64" s="93"/>
      <c r="T64" s="93"/>
      <c r="U64" s="93"/>
      <c r="V64" s="96"/>
      <c r="W64" s="93"/>
      <c r="X64" s="96">
        <f t="shared" si="2"/>
        <v>0</v>
      </c>
      <c r="Y64" s="622">
        <f t="shared" si="3"/>
        <v>0</v>
      </c>
      <c r="Z64" s="8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</row>
    <row r="65" spans="1:72" hidden="1" x14ac:dyDescent="0.2">
      <c r="A65" s="26"/>
      <c r="B65" s="73" t="s">
        <v>313</v>
      </c>
      <c r="C65" s="92" t="s">
        <v>117</v>
      </c>
      <c r="D65" s="619">
        <f>400</f>
        <v>400</v>
      </c>
      <c r="E65" s="619"/>
      <c r="F65" s="619">
        <f>3154+851+190+51+1847+499+1012+273+1956+528+1692+457+730+197+300+78+3277+885+788+39+2060+556+5001+1350+362+98+3938+1062+1000+270+1000+270+172+46+986+266+630+170</f>
        <v>38041</v>
      </c>
      <c r="G65" s="619"/>
      <c r="H65" s="619"/>
      <c r="I65" s="619"/>
      <c r="J65" s="619"/>
      <c r="K65" s="619"/>
      <c r="L65" s="619">
        <f>985+266+15228+4111+727+196+1071+289+14803+3997</f>
        <v>41673</v>
      </c>
      <c r="M65" s="619">
        <f>5827+1573</f>
        <v>7400</v>
      </c>
      <c r="N65" s="619"/>
      <c r="O65" s="619"/>
      <c r="P65" s="619"/>
      <c r="Q65" s="619"/>
      <c r="R65" s="619">
        <f t="shared" si="1"/>
        <v>87514</v>
      </c>
      <c r="S65" s="93"/>
      <c r="T65" s="93"/>
      <c r="U65" s="93"/>
      <c r="V65" s="96"/>
      <c r="W65" s="93"/>
      <c r="X65" s="96">
        <f t="shared" si="2"/>
        <v>0</v>
      </c>
      <c r="Y65" s="622">
        <f t="shared" si="3"/>
        <v>87514</v>
      </c>
      <c r="Z65" s="8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</row>
    <row r="66" spans="1:72" hidden="1" x14ac:dyDescent="0.2">
      <c r="A66" s="26"/>
      <c r="B66" s="73" t="s">
        <v>314</v>
      </c>
      <c r="C66" s="92" t="s">
        <v>117</v>
      </c>
      <c r="D66" s="619"/>
      <c r="E66" s="619"/>
      <c r="F66" s="619"/>
      <c r="G66" s="619"/>
      <c r="H66" s="619"/>
      <c r="I66" s="619"/>
      <c r="J66" s="619"/>
      <c r="K66" s="619"/>
      <c r="L66" s="619">
        <f>40955+11057</f>
        <v>52012</v>
      </c>
      <c r="M66" s="619"/>
      <c r="N66" s="619"/>
      <c r="O66" s="619"/>
      <c r="P66" s="619"/>
      <c r="Q66" s="619"/>
      <c r="R66" s="619">
        <f t="shared" si="1"/>
        <v>52012</v>
      </c>
      <c r="S66" s="93"/>
      <c r="T66" s="93"/>
      <c r="U66" s="93"/>
      <c r="V66" s="96"/>
      <c r="W66" s="93"/>
      <c r="X66" s="96">
        <f t="shared" si="2"/>
        <v>0</v>
      </c>
      <c r="Y66" s="622">
        <f t="shared" si="3"/>
        <v>52012</v>
      </c>
      <c r="Z66" s="8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</row>
    <row r="67" spans="1:72" hidden="1" x14ac:dyDescent="0.2">
      <c r="A67" s="26"/>
      <c r="B67" s="267" t="s">
        <v>315</v>
      </c>
      <c r="C67" s="92" t="s">
        <v>117</v>
      </c>
      <c r="D67" s="620"/>
      <c r="E67" s="620"/>
      <c r="F67" s="620">
        <f>170+47</f>
        <v>217</v>
      </c>
      <c r="G67" s="620"/>
      <c r="H67" s="620"/>
      <c r="I67" s="620"/>
      <c r="J67" s="620"/>
      <c r="K67" s="620"/>
      <c r="L67" s="620">
        <f>13496+3644+5617+1516+39+11+8+2+1998+540</f>
        <v>26871</v>
      </c>
      <c r="M67" s="620"/>
      <c r="N67" s="620"/>
      <c r="O67" s="620"/>
      <c r="P67" s="620"/>
      <c r="Q67" s="620"/>
      <c r="R67" s="620">
        <f t="shared" si="1"/>
        <v>27088</v>
      </c>
      <c r="S67" s="285"/>
      <c r="T67" s="285"/>
      <c r="U67" s="285"/>
      <c r="V67" s="286"/>
      <c r="W67" s="285"/>
      <c r="X67" s="286">
        <f t="shared" si="2"/>
        <v>0</v>
      </c>
      <c r="Y67" s="622">
        <f t="shared" si="3"/>
        <v>27088</v>
      </c>
      <c r="Z67" s="8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</row>
    <row r="68" spans="1:72" hidden="1" x14ac:dyDescent="0.2">
      <c r="A68" s="26"/>
      <c r="B68" s="267" t="s">
        <v>67</v>
      </c>
      <c r="C68" s="92" t="s">
        <v>117</v>
      </c>
      <c r="D68" s="620"/>
      <c r="E68" s="620"/>
      <c r="F68" s="620"/>
      <c r="G68" s="620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>
        <f t="shared" si="1"/>
        <v>0</v>
      </c>
      <c r="S68" s="285"/>
      <c r="T68" s="285"/>
      <c r="U68" s="285"/>
      <c r="V68" s="286"/>
      <c r="W68" s="285"/>
      <c r="X68" s="286">
        <f t="shared" si="2"/>
        <v>0</v>
      </c>
      <c r="Y68" s="622">
        <f t="shared" si="3"/>
        <v>0</v>
      </c>
      <c r="Z68" s="8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</row>
    <row r="69" spans="1:72" hidden="1" x14ac:dyDescent="0.2">
      <c r="A69" s="26"/>
      <c r="B69" s="283" t="s">
        <v>88</v>
      </c>
      <c r="C69" s="284" t="s">
        <v>117</v>
      </c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>
        <f t="shared" si="1"/>
        <v>0</v>
      </c>
      <c r="S69" s="285"/>
      <c r="T69" s="285"/>
      <c r="U69" s="285"/>
      <c r="V69" s="286"/>
      <c r="W69" s="285"/>
      <c r="X69" s="286">
        <f t="shared" si="2"/>
        <v>0</v>
      </c>
      <c r="Y69" s="623">
        <f t="shared" si="3"/>
        <v>0</v>
      </c>
      <c r="Z69" s="8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</row>
    <row r="70" spans="1:72" ht="17.25" hidden="1" thickBot="1" x14ac:dyDescent="0.25">
      <c r="A70" s="26"/>
      <c r="B70" s="422"/>
      <c r="C70" s="423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5"/>
      <c r="W70" s="424"/>
      <c r="X70" s="425"/>
      <c r="Y70" s="426"/>
      <c r="Z70" s="8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</row>
    <row r="71" spans="1:72" s="78" customFormat="1" ht="30" hidden="1" customHeight="1" thickTop="1" thickBot="1" x14ac:dyDescent="0.25">
      <c r="A71" s="131"/>
      <c r="B71" s="287"/>
      <c r="C71" s="288" t="s">
        <v>198</v>
      </c>
      <c r="D71" s="627">
        <f t="shared" ref="D71:I71" si="9">SUM(D54:D69)</f>
        <v>80634.153000000006</v>
      </c>
      <c r="E71" s="627">
        <f t="shared" si="9"/>
        <v>19350.686000000002</v>
      </c>
      <c r="F71" s="627">
        <f t="shared" si="9"/>
        <v>58111</v>
      </c>
      <c r="G71" s="627">
        <f t="shared" si="9"/>
        <v>0</v>
      </c>
      <c r="H71" s="627">
        <f t="shared" si="9"/>
        <v>0</v>
      </c>
      <c r="I71" s="627">
        <f t="shared" si="9"/>
        <v>0</v>
      </c>
      <c r="J71" s="627"/>
      <c r="K71" s="627">
        <f t="shared" ref="K71:W71" si="10">SUM(K54:K69)</f>
        <v>0</v>
      </c>
      <c r="L71" s="627">
        <f t="shared" si="10"/>
        <v>120556</v>
      </c>
      <c r="M71" s="627">
        <f t="shared" si="10"/>
        <v>7400</v>
      </c>
      <c r="N71" s="627">
        <f t="shared" si="10"/>
        <v>0</v>
      </c>
      <c r="O71" s="627">
        <f t="shared" si="10"/>
        <v>1000</v>
      </c>
      <c r="P71" s="627">
        <f t="shared" si="10"/>
        <v>0</v>
      </c>
      <c r="Q71" s="627">
        <f t="shared" si="10"/>
        <v>0</v>
      </c>
      <c r="R71" s="627">
        <f t="shared" si="1"/>
        <v>287051.83900000004</v>
      </c>
      <c r="S71" s="289"/>
      <c r="T71" s="289">
        <f t="shared" si="10"/>
        <v>0</v>
      </c>
      <c r="U71" s="289">
        <f t="shared" si="10"/>
        <v>0</v>
      </c>
      <c r="V71" s="445">
        <f t="shared" si="10"/>
        <v>0</v>
      </c>
      <c r="W71" s="289">
        <f t="shared" si="10"/>
        <v>0</v>
      </c>
      <c r="X71" s="445">
        <f t="shared" si="2"/>
        <v>0</v>
      </c>
      <c r="Y71" s="624">
        <f t="shared" si="3"/>
        <v>287051.83900000004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</row>
    <row r="72" spans="1:72" s="52" customFormat="1" ht="16.5" hidden="1" customHeight="1" thickTop="1" thickBot="1" x14ac:dyDescent="0.25">
      <c r="A72" s="145"/>
      <c r="B72" s="290"/>
      <c r="C72" s="291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446"/>
      <c r="W72" s="292"/>
      <c r="X72" s="446"/>
      <c r="Y72" s="293"/>
    </row>
    <row r="73" spans="1:72" ht="30" hidden="1" customHeight="1" thickTop="1" thickBot="1" x14ac:dyDescent="0.35">
      <c r="A73" s="130"/>
      <c r="B73" s="427" t="s">
        <v>144</v>
      </c>
      <c r="C73" s="43" t="s">
        <v>200</v>
      </c>
      <c r="D73" s="83">
        <f>D53+D71</f>
        <v>2295493.2609999999</v>
      </c>
      <c r="E73" s="83">
        <f t="shared" ref="E73:Q73" si="11">E53+E71</f>
        <v>530823.09400000004</v>
      </c>
      <c r="F73" s="83">
        <f t="shared" si="11"/>
        <v>699191.68900000001</v>
      </c>
      <c r="G73" s="83">
        <f t="shared" si="11"/>
        <v>185</v>
      </c>
      <c r="H73" s="83">
        <f t="shared" si="11"/>
        <v>0</v>
      </c>
      <c r="I73" s="83">
        <f t="shared" si="11"/>
        <v>129.88300000000001</v>
      </c>
      <c r="J73" s="83">
        <f t="shared" si="11"/>
        <v>277.09300000000002</v>
      </c>
      <c r="K73" s="83">
        <f t="shared" si="11"/>
        <v>0</v>
      </c>
      <c r="L73" s="83">
        <f>L53+L71</f>
        <v>265228</v>
      </c>
      <c r="M73" s="83">
        <f t="shared" si="11"/>
        <v>7400</v>
      </c>
      <c r="N73" s="83">
        <f t="shared" si="11"/>
        <v>0</v>
      </c>
      <c r="O73" s="83">
        <f t="shared" si="11"/>
        <v>6000</v>
      </c>
      <c r="P73" s="83">
        <f t="shared" si="11"/>
        <v>0</v>
      </c>
      <c r="Q73" s="83">
        <f t="shared" si="11"/>
        <v>0</v>
      </c>
      <c r="R73" s="83">
        <f t="shared" si="1"/>
        <v>3804728.0199999996</v>
      </c>
      <c r="S73" s="83"/>
      <c r="T73" s="83">
        <f>T53+T71</f>
        <v>0</v>
      </c>
      <c r="U73" s="83">
        <f>U53+U71</f>
        <v>0</v>
      </c>
      <c r="V73" s="83">
        <f>V53+V71</f>
        <v>0</v>
      </c>
      <c r="W73" s="83">
        <f>W53+W71</f>
        <v>0</v>
      </c>
      <c r="X73" s="83">
        <f t="shared" si="2"/>
        <v>0</v>
      </c>
      <c r="Y73" s="83">
        <f t="shared" si="3"/>
        <v>3804728.0199999996</v>
      </c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</row>
    <row r="74" spans="1:72" ht="24" hidden="1" customHeight="1" x14ac:dyDescent="0.25">
      <c r="A74" s="128"/>
      <c r="B74" s="264"/>
      <c r="C74" s="129" t="s">
        <v>18</v>
      </c>
      <c r="D74" s="216">
        <f t="shared" ref="D74:L74" si="12">D73</f>
        <v>2295493.2609999999</v>
      </c>
      <c r="E74" s="216">
        <f t="shared" si="12"/>
        <v>530823.09400000004</v>
      </c>
      <c r="F74" s="216">
        <f t="shared" si="12"/>
        <v>699191.68900000001</v>
      </c>
      <c r="G74" s="216">
        <f t="shared" si="12"/>
        <v>185</v>
      </c>
      <c r="H74" s="216">
        <f t="shared" si="12"/>
        <v>0</v>
      </c>
      <c r="I74" s="216">
        <f t="shared" si="12"/>
        <v>129.88300000000001</v>
      </c>
      <c r="J74" s="216">
        <f t="shared" si="12"/>
        <v>277.09300000000002</v>
      </c>
      <c r="K74" s="216">
        <f t="shared" si="12"/>
        <v>0</v>
      </c>
      <c r="L74" s="216">
        <f t="shared" si="12"/>
        <v>265228</v>
      </c>
      <c r="M74" s="216">
        <f t="shared" ref="M74:W74" si="13">M73</f>
        <v>7400</v>
      </c>
      <c r="N74" s="216">
        <f t="shared" si="13"/>
        <v>0</v>
      </c>
      <c r="O74" s="216">
        <f t="shared" si="13"/>
        <v>6000</v>
      </c>
      <c r="P74" s="216">
        <f t="shared" si="13"/>
        <v>0</v>
      </c>
      <c r="Q74" s="216">
        <f t="shared" si="13"/>
        <v>0</v>
      </c>
      <c r="R74" s="216">
        <f t="shared" si="1"/>
        <v>3804728.0199999996</v>
      </c>
      <c r="S74" s="216"/>
      <c r="T74" s="216">
        <f>T73</f>
        <v>0</v>
      </c>
      <c r="U74" s="216">
        <f>U73</f>
        <v>0</v>
      </c>
      <c r="V74" s="254">
        <f t="shared" si="13"/>
        <v>0</v>
      </c>
      <c r="W74" s="148">
        <f t="shared" si="13"/>
        <v>0</v>
      </c>
      <c r="X74" s="396">
        <f t="shared" si="2"/>
        <v>0</v>
      </c>
      <c r="Y74" s="303">
        <f t="shared" si="3"/>
        <v>3804728.0199999996</v>
      </c>
    </row>
    <row r="75" spans="1:72" ht="24" hidden="1" customHeight="1" x14ac:dyDescent="0.25">
      <c r="A75" s="18"/>
      <c r="B75" s="462"/>
      <c r="C75" s="40"/>
      <c r="D75" s="461"/>
      <c r="E75" s="461"/>
      <c r="F75" s="461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79"/>
      <c r="W75" s="460"/>
      <c r="X75" s="472"/>
      <c r="Y75" s="259"/>
    </row>
    <row r="76" spans="1:72" ht="30.75" hidden="1" customHeight="1" x14ac:dyDescent="0.2">
      <c r="A76" s="79">
        <v>1</v>
      </c>
      <c r="B76" s="223" t="s">
        <v>339</v>
      </c>
      <c r="C76" s="33" t="s">
        <v>337</v>
      </c>
      <c r="D76" s="152"/>
      <c r="E76" s="152"/>
      <c r="F76" s="152">
        <f>-358-97</f>
        <v>-455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>
        <f t="shared" si="1"/>
        <v>-455</v>
      </c>
      <c r="S76" s="152"/>
      <c r="T76" s="152"/>
      <c r="U76" s="152"/>
      <c r="V76" s="158"/>
      <c r="W76" s="152"/>
      <c r="X76" s="403">
        <f t="shared" si="2"/>
        <v>0</v>
      </c>
      <c r="Y76" s="259">
        <f t="shared" si="3"/>
        <v>-455</v>
      </c>
    </row>
    <row r="77" spans="1:72" ht="30.75" hidden="1" customHeight="1" x14ac:dyDescent="0.2">
      <c r="A77" s="79">
        <v>2</v>
      </c>
      <c r="B77" s="223" t="s">
        <v>369</v>
      </c>
      <c r="C77" s="33" t="s">
        <v>370</v>
      </c>
      <c r="D77" s="152">
        <v>518.9</v>
      </c>
      <c r="E77" s="152">
        <v>101.185</v>
      </c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>
        <f t="shared" si="1"/>
        <v>620.08500000000004</v>
      </c>
      <c r="S77" s="152"/>
      <c r="T77" s="152"/>
      <c r="U77" s="152"/>
      <c r="V77" s="158"/>
      <c r="W77" s="152"/>
      <c r="X77" s="403">
        <f t="shared" si="2"/>
        <v>0</v>
      </c>
      <c r="Y77" s="259">
        <f t="shared" si="3"/>
        <v>620.08500000000004</v>
      </c>
    </row>
    <row r="78" spans="1:72" ht="30.75" hidden="1" customHeight="1" x14ac:dyDescent="0.2">
      <c r="A78" s="79">
        <v>3</v>
      </c>
      <c r="B78" s="652" t="s">
        <v>374</v>
      </c>
      <c r="C78" s="33" t="s">
        <v>373</v>
      </c>
      <c r="D78" s="152">
        <f>1394-898+830+68</f>
        <v>1394</v>
      </c>
      <c r="E78" s="152">
        <f>100</f>
        <v>100</v>
      </c>
      <c r="F78" s="152">
        <f>198+240+20+1102+438+350+778+160-126+145+44+113+115-571+120</f>
        <v>3126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>
        <f t="shared" si="1"/>
        <v>4620</v>
      </c>
      <c r="S78" s="152"/>
      <c r="T78" s="152"/>
      <c r="U78" s="152"/>
      <c r="V78" s="158"/>
      <c r="W78" s="152"/>
      <c r="X78" s="403">
        <f t="shared" si="2"/>
        <v>0</v>
      </c>
      <c r="Y78" s="259">
        <f t="shared" si="3"/>
        <v>4620</v>
      </c>
    </row>
    <row r="79" spans="1:72" ht="30.75" hidden="1" customHeight="1" x14ac:dyDescent="0.2">
      <c r="A79" s="79">
        <v>4</v>
      </c>
      <c r="B79" s="223" t="s">
        <v>389</v>
      </c>
      <c r="C79" s="33" t="s">
        <v>388</v>
      </c>
      <c r="D79" s="152"/>
      <c r="E79" s="152"/>
      <c r="F79" s="152"/>
      <c r="G79" s="152"/>
      <c r="H79" s="152"/>
      <c r="I79" s="152"/>
      <c r="J79" s="152"/>
      <c r="K79" s="152"/>
      <c r="L79" s="152">
        <f>14936+4033</f>
        <v>18969</v>
      </c>
      <c r="M79" s="152"/>
      <c r="N79" s="152"/>
      <c r="O79" s="152"/>
      <c r="P79" s="152"/>
      <c r="Q79" s="152"/>
      <c r="R79" s="152">
        <f t="shared" si="1"/>
        <v>18969</v>
      </c>
      <c r="S79" s="152"/>
      <c r="T79" s="152"/>
      <c r="U79" s="152"/>
      <c r="V79" s="158"/>
      <c r="W79" s="152"/>
      <c r="X79" s="403">
        <f t="shared" si="2"/>
        <v>0</v>
      </c>
      <c r="Y79" s="259">
        <f t="shared" si="3"/>
        <v>18969</v>
      </c>
    </row>
    <row r="80" spans="1:72" ht="30.75" hidden="1" customHeight="1" x14ac:dyDescent="0.2">
      <c r="A80" s="79">
        <v>5</v>
      </c>
      <c r="B80" s="223" t="s">
        <v>394</v>
      </c>
      <c r="C80" s="33" t="s">
        <v>393</v>
      </c>
      <c r="D80" s="152"/>
      <c r="E80" s="152"/>
      <c r="F80" s="152">
        <f>14500+3915</f>
        <v>18415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>
        <f t="shared" si="1"/>
        <v>18415</v>
      </c>
      <c r="S80" s="152"/>
      <c r="T80" s="152"/>
      <c r="U80" s="152"/>
      <c r="V80" s="158"/>
      <c r="W80" s="152"/>
      <c r="X80" s="403">
        <f t="shared" si="2"/>
        <v>0</v>
      </c>
      <c r="Y80" s="259">
        <f t="shared" si="3"/>
        <v>18415</v>
      </c>
    </row>
    <row r="81" spans="1:25" ht="30.75" hidden="1" customHeight="1" x14ac:dyDescent="0.2">
      <c r="A81" s="79">
        <v>6</v>
      </c>
      <c r="B81" s="223" t="s">
        <v>397</v>
      </c>
      <c r="C81" s="33" t="s">
        <v>396</v>
      </c>
      <c r="D81" s="152"/>
      <c r="E81" s="152"/>
      <c r="F81" s="152">
        <f>9801+2646</f>
        <v>12447</v>
      </c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>
        <f t="shared" si="1"/>
        <v>12447</v>
      </c>
      <c r="S81" s="152"/>
      <c r="T81" s="152"/>
      <c r="U81" s="152"/>
      <c r="V81" s="158"/>
      <c r="W81" s="152"/>
      <c r="X81" s="403">
        <f t="shared" si="2"/>
        <v>0</v>
      </c>
      <c r="Y81" s="259">
        <f t="shared" si="3"/>
        <v>12447</v>
      </c>
    </row>
    <row r="82" spans="1:25" ht="30.75" hidden="1" customHeight="1" x14ac:dyDescent="0.2">
      <c r="A82" s="79">
        <v>7</v>
      </c>
      <c r="B82" s="223" t="s">
        <v>431</v>
      </c>
      <c r="C82" s="33" t="s">
        <v>430</v>
      </c>
      <c r="D82" s="152"/>
      <c r="E82" s="152"/>
      <c r="F82" s="152">
        <f>13420+3624</f>
        <v>17044</v>
      </c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>
        <f t="shared" si="1"/>
        <v>17044</v>
      </c>
      <c r="S82" s="152"/>
      <c r="T82" s="152"/>
      <c r="U82" s="152"/>
      <c r="V82" s="158"/>
      <c r="W82" s="152"/>
      <c r="X82" s="403">
        <f t="shared" si="2"/>
        <v>0</v>
      </c>
      <c r="Y82" s="259">
        <f t="shared" si="3"/>
        <v>17044</v>
      </c>
    </row>
    <row r="83" spans="1:25" ht="30.75" hidden="1" customHeight="1" x14ac:dyDescent="0.2">
      <c r="A83" s="79">
        <v>8</v>
      </c>
      <c r="B83" s="223" t="s">
        <v>433</v>
      </c>
      <c r="C83" s="33" t="s">
        <v>432</v>
      </c>
      <c r="D83" s="152"/>
      <c r="E83" s="152"/>
      <c r="F83" s="152"/>
      <c r="G83" s="152"/>
      <c r="H83" s="152"/>
      <c r="I83" s="152"/>
      <c r="J83" s="152"/>
      <c r="K83" s="152"/>
      <c r="L83" s="152">
        <f>2461+665</f>
        <v>3126</v>
      </c>
      <c r="M83" s="152"/>
      <c r="N83" s="152"/>
      <c r="O83" s="152"/>
      <c r="P83" s="152"/>
      <c r="Q83" s="152"/>
      <c r="R83" s="152">
        <f t="shared" si="1"/>
        <v>3126</v>
      </c>
      <c r="S83" s="152"/>
      <c r="T83" s="152"/>
      <c r="U83" s="152"/>
      <c r="V83" s="158"/>
      <c r="W83" s="152"/>
      <c r="X83" s="403">
        <f t="shared" si="2"/>
        <v>0</v>
      </c>
      <c r="Y83" s="259">
        <f t="shared" si="3"/>
        <v>3126</v>
      </c>
    </row>
    <row r="84" spans="1:25" ht="30.75" hidden="1" customHeight="1" x14ac:dyDescent="0.2">
      <c r="A84" s="79">
        <v>9</v>
      </c>
      <c r="B84" s="655" t="s">
        <v>446</v>
      </c>
      <c r="C84" s="33" t="s">
        <v>445</v>
      </c>
      <c r="D84" s="152">
        <f>490.601</f>
        <v>490.601</v>
      </c>
      <c r="E84" s="152">
        <f>95.667</f>
        <v>95.667000000000002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>
        <f t="shared" si="1"/>
        <v>586.26800000000003</v>
      </c>
      <c r="S84" s="152"/>
      <c r="T84" s="152"/>
      <c r="U84" s="152"/>
      <c r="V84" s="158"/>
      <c r="W84" s="152"/>
      <c r="X84" s="403">
        <f t="shared" si="2"/>
        <v>0</v>
      </c>
      <c r="Y84" s="259">
        <f t="shared" si="3"/>
        <v>586.26800000000003</v>
      </c>
    </row>
    <row r="85" spans="1:25" ht="24" hidden="1" customHeight="1" x14ac:dyDescent="0.2">
      <c r="A85" s="79"/>
      <c r="B85" s="462"/>
      <c r="C85" s="40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>
        <f t="shared" si="1"/>
        <v>0</v>
      </c>
      <c r="S85" s="152"/>
      <c r="T85" s="152"/>
      <c r="U85" s="152"/>
      <c r="V85" s="158"/>
      <c r="W85" s="152"/>
      <c r="X85" s="403">
        <f t="shared" si="2"/>
        <v>0</v>
      </c>
      <c r="Y85" s="259">
        <f t="shared" si="3"/>
        <v>0</v>
      </c>
    </row>
    <row r="86" spans="1:25" ht="24" hidden="1" customHeight="1" x14ac:dyDescent="0.2">
      <c r="A86" s="79"/>
      <c r="B86" s="462"/>
      <c r="C86" s="33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>
        <f t="shared" si="1"/>
        <v>0</v>
      </c>
      <c r="S86" s="152"/>
      <c r="T86" s="152"/>
      <c r="U86" s="152"/>
      <c r="V86" s="158"/>
      <c r="W86" s="152"/>
      <c r="X86" s="403">
        <f t="shared" si="2"/>
        <v>0</v>
      </c>
      <c r="Y86" s="259">
        <f t="shared" si="3"/>
        <v>0</v>
      </c>
    </row>
    <row r="87" spans="1:25" ht="24" hidden="1" customHeight="1" x14ac:dyDescent="0.2">
      <c r="A87" s="79"/>
      <c r="B87" s="462"/>
      <c r="C87" s="28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>
        <f t="shared" si="1"/>
        <v>0</v>
      </c>
      <c r="S87" s="152"/>
      <c r="T87" s="152"/>
      <c r="U87" s="152"/>
      <c r="V87" s="158"/>
      <c r="W87" s="152"/>
      <c r="X87" s="403">
        <f t="shared" si="2"/>
        <v>0</v>
      </c>
      <c r="Y87" s="259">
        <f t="shared" si="3"/>
        <v>0</v>
      </c>
    </row>
    <row r="88" spans="1:25" ht="24" hidden="1" customHeight="1" x14ac:dyDescent="0.2">
      <c r="A88" s="79"/>
      <c r="B88" s="462"/>
      <c r="C88" s="28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>
        <f t="shared" si="1"/>
        <v>0</v>
      </c>
      <c r="S88" s="152"/>
      <c r="T88" s="152"/>
      <c r="U88" s="152"/>
      <c r="V88" s="158"/>
      <c r="W88" s="152"/>
      <c r="X88" s="403">
        <f t="shared" si="2"/>
        <v>0</v>
      </c>
      <c r="Y88" s="259">
        <f t="shared" si="3"/>
        <v>0</v>
      </c>
    </row>
    <row r="89" spans="1:25" ht="24" hidden="1" customHeight="1" x14ac:dyDescent="0.2">
      <c r="A89" s="79"/>
      <c r="B89" s="462"/>
      <c r="C89" s="40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>
        <f t="shared" si="1"/>
        <v>0</v>
      </c>
      <c r="S89" s="152"/>
      <c r="T89" s="152"/>
      <c r="U89" s="152"/>
      <c r="V89" s="158"/>
      <c r="W89" s="152"/>
      <c r="X89" s="403">
        <f t="shared" si="2"/>
        <v>0</v>
      </c>
      <c r="Y89" s="259">
        <f t="shared" si="3"/>
        <v>0</v>
      </c>
    </row>
    <row r="90" spans="1:25" ht="24" hidden="1" customHeight="1" x14ac:dyDescent="0.2">
      <c r="A90" s="79"/>
      <c r="B90" s="462"/>
      <c r="C90" s="28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>
        <f t="shared" si="1"/>
        <v>0</v>
      </c>
      <c r="S90" s="152"/>
      <c r="T90" s="152"/>
      <c r="U90" s="152"/>
      <c r="V90" s="158"/>
      <c r="W90" s="152"/>
      <c r="X90" s="403">
        <f t="shared" si="2"/>
        <v>0</v>
      </c>
      <c r="Y90" s="259">
        <f t="shared" si="3"/>
        <v>0</v>
      </c>
    </row>
    <row r="91" spans="1:25" ht="24" hidden="1" customHeight="1" x14ac:dyDescent="0.2">
      <c r="A91" s="79"/>
      <c r="B91" s="462"/>
      <c r="C91" s="28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8"/>
      <c r="W91" s="152"/>
      <c r="X91" s="403"/>
      <c r="Y91" s="259"/>
    </row>
    <row r="92" spans="1:25" ht="24" hidden="1" customHeight="1" x14ac:dyDescent="0.2">
      <c r="A92" s="79"/>
      <c r="B92" s="462"/>
      <c r="C92" s="28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8"/>
      <c r="W92" s="152"/>
      <c r="X92" s="403"/>
      <c r="Y92" s="259"/>
    </row>
    <row r="93" spans="1:25" ht="9.9499999999999993" hidden="1" customHeight="1" x14ac:dyDescent="0.2">
      <c r="A93" s="79"/>
      <c r="B93" s="30"/>
      <c r="C93" s="28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8"/>
      <c r="W93" s="152"/>
      <c r="X93" s="403"/>
      <c r="Y93" s="259"/>
    </row>
    <row r="94" spans="1:25" ht="30" hidden="1" customHeight="1" x14ac:dyDescent="0.2">
      <c r="A94" s="205" t="s">
        <v>64</v>
      </c>
      <c r="B94" s="201"/>
      <c r="C94" s="206" t="s">
        <v>62</v>
      </c>
      <c r="D94" s="152">
        <f t="shared" ref="D94:Q94" si="14">SUM(D75:D93)</f>
        <v>2403.5010000000002</v>
      </c>
      <c r="E94" s="152">
        <f t="shared" si="14"/>
        <v>296.85199999999998</v>
      </c>
      <c r="F94" s="152">
        <f t="shared" si="14"/>
        <v>50577</v>
      </c>
      <c r="G94" s="152">
        <f t="shared" si="14"/>
        <v>0</v>
      </c>
      <c r="H94" s="152">
        <f t="shared" si="14"/>
        <v>0</v>
      </c>
      <c r="I94" s="152">
        <f t="shared" si="14"/>
        <v>0</v>
      </c>
      <c r="J94" s="152">
        <f t="shared" si="14"/>
        <v>0</v>
      </c>
      <c r="K94" s="152">
        <f t="shared" si="14"/>
        <v>0</v>
      </c>
      <c r="L94" s="152">
        <f t="shared" si="14"/>
        <v>22095</v>
      </c>
      <c r="M94" s="152">
        <f t="shared" si="14"/>
        <v>0</v>
      </c>
      <c r="N94" s="152">
        <f t="shared" si="14"/>
        <v>0</v>
      </c>
      <c r="O94" s="152">
        <f t="shared" si="14"/>
        <v>0</v>
      </c>
      <c r="P94" s="152">
        <f t="shared" si="14"/>
        <v>0</v>
      </c>
      <c r="Q94" s="152">
        <f t="shared" si="14"/>
        <v>0</v>
      </c>
      <c r="R94" s="152">
        <f t="shared" ref="R94:R159" si="15">SUM(D94:Q94)</f>
        <v>75372.353000000003</v>
      </c>
      <c r="S94" s="152"/>
      <c r="T94" s="152">
        <f>SUM(T75:T93)</f>
        <v>0</v>
      </c>
      <c r="U94" s="152">
        <f>SUM(U75:U93)</f>
        <v>0</v>
      </c>
      <c r="V94" s="158">
        <f>SUM(V75:V93)</f>
        <v>0</v>
      </c>
      <c r="W94" s="152">
        <f>SUM(W75:W93)</f>
        <v>0</v>
      </c>
      <c r="X94" s="403">
        <f t="shared" ref="X94:X159" si="16">SUM(T94:W94)</f>
        <v>0</v>
      </c>
      <c r="Y94" s="305">
        <f t="shared" ref="Y94:Y161" si="17">R94+X94</f>
        <v>75372.353000000003</v>
      </c>
    </row>
    <row r="95" spans="1:25" ht="9.9499999999999993" hidden="1" customHeight="1" x14ac:dyDescent="0.2">
      <c r="A95" s="79"/>
      <c r="B95" s="470"/>
      <c r="C95" s="28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8"/>
      <c r="W95" s="152"/>
      <c r="X95" s="403"/>
      <c r="Y95" s="259"/>
    </row>
    <row r="96" spans="1:25" ht="24" hidden="1" customHeight="1" x14ac:dyDescent="0.25">
      <c r="A96" s="18" t="s">
        <v>89</v>
      </c>
      <c r="B96" s="653" t="s">
        <v>367</v>
      </c>
      <c r="C96" s="300" t="s">
        <v>368</v>
      </c>
      <c r="D96" s="152">
        <f>700.126-7414.224-0.85+7415.074</f>
        <v>700.12599999999929</v>
      </c>
      <c r="E96" s="152">
        <f>57.33-168.597+71.485+97.112</f>
        <v>57.329999999999984</v>
      </c>
      <c r="F96" s="152">
        <f>0.85-735.405+225.957-90-176.378+931.433-10-300+22+132.393</f>
        <v>0.850000000000108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>
        <f t="shared" si="15"/>
        <v>758.30599999999936</v>
      </c>
      <c r="S96" s="471"/>
      <c r="T96" s="471"/>
      <c r="U96" s="471"/>
      <c r="V96" s="480"/>
      <c r="W96" s="471"/>
      <c r="X96" s="472">
        <f t="shared" si="16"/>
        <v>0</v>
      </c>
      <c r="Y96" s="259">
        <f t="shared" si="17"/>
        <v>758.30599999999936</v>
      </c>
    </row>
    <row r="97" spans="1:25" ht="24" hidden="1" customHeight="1" x14ac:dyDescent="0.2">
      <c r="A97" s="220" t="s">
        <v>89</v>
      </c>
      <c r="B97" s="30"/>
      <c r="C97" s="40"/>
      <c r="D97" s="152"/>
      <c r="E97" s="152"/>
      <c r="F97" s="647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>
        <f t="shared" si="15"/>
        <v>0</v>
      </c>
      <c r="S97" s="152"/>
      <c r="T97" s="152"/>
      <c r="U97" s="152"/>
      <c r="V97" s="158"/>
      <c r="W97" s="152"/>
      <c r="X97" s="403">
        <f t="shared" si="16"/>
        <v>0</v>
      </c>
      <c r="Y97" s="259">
        <f t="shared" si="17"/>
        <v>0</v>
      </c>
    </row>
    <row r="98" spans="1:25" ht="24" hidden="1" customHeight="1" x14ac:dyDescent="0.2">
      <c r="A98" s="79" t="s">
        <v>89</v>
      </c>
      <c r="B98" s="30"/>
      <c r="C98" s="40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>
        <f t="shared" si="15"/>
        <v>0</v>
      </c>
      <c r="S98" s="152"/>
      <c r="T98" s="152"/>
      <c r="U98" s="152"/>
      <c r="V98" s="158"/>
      <c r="W98" s="152"/>
      <c r="X98" s="403">
        <f t="shared" si="16"/>
        <v>0</v>
      </c>
      <c r="Y98" s="259">
        <f t="shared" si="17"/>
        <v>0</v>
      </c>
    </row>
    <row r="99" spans="1:25" ht="24" hidden="1" customHeight="1" x14ac:dyDescent="0.2">
      <c r="A99" s="220"/>
      <c r="B99" s="176"/>
      <c r="C99" s="40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>
        <f t="shared" si="15"/>
        <v>0</v>
      </c>
      <c r="S99" s="152"/>
      <c r="T99" s="152"/>
      <c r="U99" s="152"/>
      <c r="V99" s="158"/>
      <c r="W99" s="152"/>
      <c r="X99" s="403">
        <f t="shared" si="16"/>
        <v>0</v>
      </c>
      <c r="Y99" s="259">
        <f t="shared" si="17"/>
        <v>0</v>
      </c>
    </row>
    <row r="100" spans="1:25" ht="24" hidden="1" customHeight="1" x14ac:dyDescent="0.2">
      <c r="A100" s="79"/>
      <c r="B100" s="30"/>
      <c r="C100" s="28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>
        <f t="shared" si="15"/>
        <v>0</v>
      </c>
      <c r="S100" s="152"/>
      <c r="T100" s="152"/>
      <c r="U100" s="152"/>
      <c r="V100" s="158"/>
      <c r="W100" s="152"/>
      <c r="X100" s="403">
        <f t="shared" si="16"/>
        <v>0</v>
      </c>
      <c r="Y100" s="259">
        <f t="shared" si="17"/>
        <v>0</v>
      </c>
    </row>
    <row r="101" spans="1:25" ht="24" hidden="1" customHeight="1" x14ac:dyDescent="0.2">
      <c r="A101" s="220"/>
      <c r="B101" s="30"/>
      <c r="C101" s="28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>
        <f t="shared" si="15"/>
        <v>0</v>
      </c>
      <c r="S101" s="152"/>
      <c r="T101" s="152"/>
      <c r="U101" s="152"/>
      <c r="V101" s="158"/>
      <c r="W101" s="152"/>
      <c r="X101" s="403">
        <f t="shared" si="16"/>
        <v>0</v>
      </c>
      <c r="Y101" s="259">
        <f t="shared" si="17"/>
        <v>0</v>
      </c>
    </row>
    <row r="102" spans="1:25" ht="24" hidden="1" customHeight="1" x14ac:dyDescent="0.2">
      <c r="A102" s="79"/>
      <c r="B102" s="462"/>
      <c r="C102" s="40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>
        <f t="shared" si="15"/>
        <v>0</v>
      </c>
      <c r="S102" s="152"/>
      <c r="T102" s="152"/>
      <c r="U102" s="152"/>
      <c r="V102" s="158"/>
      <c r="W102" s="152"/>
      <c r="X102" s="403">
        <f t="shared" si="16"/>
        <v>0</v>
      </c>
      <c r="Y102" s="259">
        <f t="shared" si="17"/>
        <v>0</v>
      </c>
    </row>
    <row r="103" spans="1:25" ht="24" hidden="1" customHeight="1" x14ac:dyDescent="0.2">
      <c r="A103" s="79"/>
      <c r="B103" s="32"/>
      <c r="C103" s="34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>
        <f t="shared" si="15"/>
        <v>0</v>
      </c>
      <c r="S103" s="152"/>
      <c r="T103" s="152"/>
      <c r="U103" s="152"/>
      <c r="V103" s="158"/>
      <c r="W103" s="152"/>
      <c r="X103" s="403">
        <f t="shared" si="16"/>
        <v>0</v>
      </c>
      <c r="Y103" s="259">
        <f t="shared" si="17"/>
        <v>0</v>
      </c>
    </row>
    <row r="104" spans="1:25" ht="24" hidden="1" customHeight="1" x14ac:dyDescent="0.2">
      <c r="A104" s="79"/>
      <c r="B104" s="32"/>
      <c r="C104" s="34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>
        <f t="shared" si="15"/>
        <v>0</v>
      </c>
      <c r="S104" s="152"/>
      <c r="T104" s="152"/>
      <c r="U104" s="152"/>
      <c r="V104" s="158"/>
      <c r="W104" s="152"/>
      <c r="X104" s="403">
        <f t="shared" si="16"/>
        <v>0</v>
      </c>
      <c r="Y104" s="259">
        <f t="shared" si="17"/>
        <v>0</v>
      </c>
    </row>
    <row r="105" spans="1:25" ht="24" hidden="1" customHeight="1" x14ac:dyDescent="0.2">
      <c r="A105" s="79"/>
      <c r="B105" s="32"/>
      <c r="C105" s="34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>
        <f t="shared" si="15"/>
        <v>0</v>
      </c>
      <c r="S105" s="152"/>
      <c r="T105" s="152"/>
      <c r="U105" s="152"/>
      <c r="V105" s="158"/>
      <c r="W105" s="152"/>
      <c r="X105" s="403">
        <f t="shared" si="16"/>
        <v>0</v>
      </c>
      <c r="Y105" s="259">
        <f t="shared" si="17"/>
        <v>0</v>
      </c>
    </row>
    <row r="106" spans="1:25" ht="24" hidden="1" customHeight="1" x14ac:dyDescent="0.2">
      <c r="A106" s="79"/>
      <c r="B106" s="31"/>
      <c r="C106" s="40"/>
      <c r="D106" s="157"/>
      <c r="E106" s="157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>
        <f t="shared" si="15"/>
        <v>0</v>
      </c>
      <c r="S106" s="152"/>
      <c r="T106" s="152"/>
      <c r="U106" s="152"/>
      <c r="V106" s="158"/>
      <c r="W106" s="152"/>
      <c r="X106" s="403">
        <f t="shared" si="16"/>
        <v>0</v>
      </c>
      <c r="Y106" s="259">
        <f t="shared" si="17"/>
        <v>0</v>
      </c>
    </row>
    <row r="107" spans="1:25" ht="24" hidden="1" customHeight="1" x14ac:dyDescent="0.2">
      <c r="A107" s="79"/>
      <c r="B107" s="31"/>
      <c r="C107" s="40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>
        <f t="shared" si="15"/>
        <v>0</v>
      </c>
      <c r="S107" s="152"/>
      <c r="T107" s="152"/>
      <c r="U107" s="152"/>
      <c r="V107" s="158"/>
      <c r="W107" s="152"/>
      <c r="X107" s="403">
        <f t="shared" si="16"/>
        <v>0</v>
      </c>
      <c r="Y107" s="259">
        <f t="shared" si="17"/>
        <v>0</v>
      </c>
    </row>
    <row r="108" spans="1:25" ht="24" hidden="1" customHeight="1" x14ac:dyDescent="0.2">
      <c r="A108" s="79"/>
      <c r="B108" s="31"/>
      <c r="C108" s="40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>
        <f t="shared" si="15"/>
        <v>0</v>
      </c>
      <c r="S108" s="152"/>
      <c r="T108" s="152"/>
      <c r="U108" s="152"/>
      <c r="V108" s="158"/>
      <c r="W108" s="152"/>
      <c r="X108" s="403">
        <f t="shared" si="16"/>
        <v>0</v>
      </c>
      <c r="Y108" s="259">
        <f t="shared" si="17"/>
        <v>0</v>
      </c>
    </row>
    <row r="109" spans="1:25" ht="24" hidden="1" customHeight="1" x14ac:dyDescent="0.2">
      <c r="A109" s="79"/>
      <c r="B109" s="31"/>
      <c r="C109" s="40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8"/>
      <c r="W109" s="152"/>
      <c r="X109" s="403"/>
      <c r="Y109" s="259"/>
    </row>
    <row r="110" spans="1:25" ht="24" hidden="1" customHeight="1" x14ac:dyDescent="0.2">
      <c r="A110" s="79"/>
      <c r="B110" s="100"/>
      <c r="C110" s="28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8"/>
      <c r="W110" s="152"/>
      <c r="X110" s="403"/>
      <c r="Y110" s="259"/>
    </row>
    <row r="111" spans="1:25" ht="9.9499999999999993" hidden="1" customHeight="1" x14ac:dyDescent="0.2">
      <c r="A111" s="79"/>
      <c r="B111" s="120"/>
      <c r="C111" s="40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8"/>
      <c r="W111" s="152"/>
      <c r="X111" s="403"/>
      <c r="Y111" s="259"/>
    </row>
    <row r="112" spans="1:25" ht="30" hidden="1" customHeight="1" x14ac:dyDescent="0.2">
      <c r="A112" s="205" t="s">
        <v>65</v>
      </c>
      <c r="B112" s="201"/>
      <c r="C112" s="206" t="s">
        <v>63</v>
      </c>
      <c r="D112" s="152">
        <f t="shared" ref="D112:Q112" si="18">SUM(D96:D111)</f>
        <v>700.12599999999929</v>
      </c>
      <c r="E112" s="152">
        <f t="shared" si="18"/>
        <v>57.329999999999984</v>
      </c>
      <c r="F112" s="152">
        <f t="shared" si="18"/>
        <v>0.850000000000108</v>
      </c>
      <c r="G112" s="152">
        <f t="shared" si="18"/>
        <v>0</v>
      </c>
      <c r="H112" s="152">
        <f t="shared" si="18"/>
        <v>0</v>
      </c>
      <c r="I112" s="152">
        <f t="shared" si="18"/>
        <v>0</v>
      </c>
      <c r="J112" s="152">
        <f t="shared" si="18"/>
        <v>0</v>
      </c>
      <c r="K112" s="152">
        <f t="shared" si="18"/>
        <v>0</v>
      </c>
      <c r="L112" s="152">
        <f t="shared" si="18"/>
        <v>0</v>
      </c>
      <c r="M112" s="152">
        <f t="shared" si="18"/>
        <v>0</v>
      </c>
      <c r="N112" s="152">
        <f t="shared" si="18"/>
        <v>0</v>
      </c>
      <c r="O112" s="152">
        <f t="shared" si="18"/>
        <v>0</v>
      </c>
      <c r="P112" s="152">
        <f t="shared" si="18"/>
        <v>0</v>
      </c>
      <c r="Q112" s="152">
        <f t="shared" si="18"/>
        <v>0</v>
      </c>
      <c r="R112" s="152">
        <f t="shared" si="15"/>
        <v>758.30599999999936</v>
      </c>
      <c r="S112" s="152"/>
      <c r="T112" s="152">
        <f>SUM(T96:T111)</f>
        <v>0</v>
      </c>
      <c r="U112" s="152">
        <f>SUM(U96:U111)</f>
        <v>0</v>
      </c>
      <c r="V112" s="158">
        <f>SUM(V96:V111)</f>
        <v>0</v>
      </c>
      <c r="W112" s="152">
        <f>SUM(W96:W111)</f>
        <v>0</v>
      </c>
      <c r="X112" s="403">
        <f t="shared" si="16"/>
        <v>0</v>
      </c>
      <c r="Y112" s="305">
        <f t="shared" si="17"/>
        <v>758.30599999999936</v>
      </c>
    </row>
    <row r="113" spans="1:25" ht="9.9499999999999993" hidden="1" customHeight="1" x14ac:dyDescent="0.2">
      <c r="A113" s="79"/>
      <c r="B113" s="120"/>
      <c r="C113" s="40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>
        <f t="shared" si="15"/>
        <v>0</v>
      </c>
      <c r="S113" s="71"/>
      <c r="T113" s="71"/>
      <c r="U113" s="71"/>
      <c r="V113" s="72"/>
      <c r="W113" s="71"/>
      <c r="X113" s="203">
        <f t="shared" si="16"/>
        <v>0</v>
      </c>
      <c r="Y113" s="256">
        <f t="shared" si="17"/>
        <v>0</v>
      </c>
    </row>
    <row r="114" spans="1:25" ht="24" hidden="1" customHeight="1" x14ac:dyDescent="0.2">
      <c r="A114" s="79"/>
      <c r="B114" s="31"/>
      <c r="C114" s="40" t="s">
        <v>52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>
        <f t="shared" si="15"/>
        <v>0</v>
      </c>
      <c r="S114" s="71"/>
      <c r="T114" s="71"/>
      <c r="U114" s="71"/>
      <c r="V114" s="72"/>
      <c r="W114" s="71"/>
      <c r="X114" s="203">
        <f t="shared" si="16"/>
        <v>0</v>
      </c>
      <c r="Y114" s="256">
        <f t="shared" si="17"/>
        <v>0</v>
      </c>
    </row>
    <row r="115" spans="1:25" ht="17.25" hidden="1" thickBot="1" x14ac:dyDescent="0.25">
      <c r="A115" s="79"/>
      <c r="B115" s="100"/>
      <c r="C115" s="101"/>
      <c r="D115" s="102"/>
      <c r="E115" s="102"/>
      <c r="F115" s="71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>
        <f t="shared" si="15"/>
        <v>0</v>
      </c>
      <c r="S115" s="102"/>
      <c r="T115" s="102"/>
      <c r="U115" s="102"/>
      <c r="V115" s="103"/>
      <c r="W115" s="102"/>
      <c r="X115" s="473">
        <f t="shared" si="16"/>
        <v>0</v>
      </c>
      <c r="Y115" s="257">
        <f t="shared" si="17"/>
        <v>0</v>
      </c>
    </row>
    <row r="116" spans="1:25" ht="30" hidden="1" customHeight="1" thickTop="1" thickBot="1" x14ac:dyDescent="0.25">
      <c r="A116" s="41"/>
      <c r="B116" s="660" t="s">
        <v>457</v>
      </c>
      <c r="C116" s="43" t="s">
        <v>66</v>
      </c>
      <c r="D116" s="83">
        <f t="shared" ref="D116:Q116" si="19">D94+D112</f>
        <v>3103.6269999999995</v>
      </c>
      <c r="E116" s="83">
        <f t="shared" si="19"/>
        <v>354.18199999999996</v>
      </c>
      <c r="F116" s="83">
        <f t="shared" si="19"/>
        <v>50577.85</v>
      </c>
      <c r="G116" s="83">
        <f t="shared" si="19"/>
        <v>0</v>
      </c>
      <c r="H116" s="83">
        <f t="shared" si="19"/>
        <v>0</v>
      </c>
      <c r="I116" s="83">
        <f t="shared" si="19"/>
        <v>0</v>
      </c>
      <c r="J116" s="83">
        <f t="shared" si="19"/>
        <v>0</v>
      </c>
      <c r="K116" s="83">
        <f t="shared" si="19"/>
        <v>0</v>
      </c>
      <c r="L116" s="83">
        <f t="shared" si="19"/>
        <v>22095</v>
      </c>
      <c r="M116" s="83">
        <f t="shared" si="19"/>
        <v>0</v>
      </c>
      <c r="N116" s="83">
        <f t="shared" si="19"/>
        <v>0</v>
      </c>
      <c r="O116" s="83">
        <f t="shared" si="19"/>
        <v>0</v>
      </c>
      <c r="P116" s="83">
        <f t="shared" si="19"/>
        <v>0</v>
      </c>
      <c r="Q116" s="83">
        <f t="shared" si="19"/>
        <v>0</v>
      </c>
      <c r="R116" s="83">
        <f t="shared" si="15"/>
        <v>76130.659</v>
      </c>
      <c r="S116" s="83"/>
      <c r="T116" s="83">
        <f>T94+T112</f>
        <v>0</v>
      </c>
      <c r="U116" s="83">
        <f>U94+U112</f>
        <v>0</v>
      </c>
      <c r="V116" s="84">
        <f>V94+V112</f>
        <v>0</v>
      </c>
      <c r="W116" s="474">
        <f>W94+W112</f>
        <v>0</v>
      </c>
      <c r="X116" s="475">
        <f t="shared" si="16"/>
        <v>0</v>
      </c>
      <c r="Y116" s="258">
        <f t="shared" si="17"/>
        <v>76130.659</v>
      </c>
    </row>
    <row r="117" spans="1:25" ht="30" hidden="1" customHeight="1" thickTop="1" thickBot="1" x14ac:dyDescent="0.25">
      <c r="A117" s="41"/>
      <c r="B117" s="105" t="s">
        <v>149</v>
      </c>
      <c r="C117" s="43" t="s">
        <v>124</v>
      </c>
      <c r="D117" s="248">
        <f t="shared" ref="D117:Q117" si="20">D74+D116</f>
        <v>2298596.8879999998</v>
      </c>
      <c r="E117" s="248">
        <f t="shared" si="20"/>
        <v>531177.27600000007</v>
      </c>
      <c r="F117" s="248">
        <f t="shared" si="20"/>
        <v>749769.53899999999</v>
      </c>
      <c r="G117" s="248">
        <f t="shared" si="20"/>
        <v>185</v>
      </c>
      <c r="H117" s="248">
        <f t="shared" si="20"/>
        <v>0</v>
      </c>
      <c r="I117" s="248">
        <f t="shared" si="20"/>
        <v>129.88300000000001</v>
      </c>
      <c r="J117" s="248">
        <f t="shared" si="20"/>
        <v>277.09300000000002</v>
      </c>
      <c r="K117" s="248">
        <f t="shared" si="20"/>
        <v>0</v>
      </c>
      <c r="L117" s="248">
        <f t="shared" si="20"/>
        <v>287323</v>
      </c>
      <c r="M117" s="248">
        <f t="shared" si="20"/>
        <v>7400</v>
      </c>
      <c r="N117" s="248">
        <f t="shared" si="20"/>
        <v>0</v>
      </c>
      <c r="O117" s="248">
        <f t="shared" si="20"/>
        <v>6000</v>
      </c>
      <c r="P117" s="248">
        <f t="shared" si="20"/>
        <v>0</v>
      </c>
      <c r="Q117" s="248">
        <f t="shared" si="20"/>
        <v>0</v>
      </c>
      <c r="R117" s="248">
        <f>SUM(D117:Q117)</f>
        <v>3880858.6789999995</v>
      </c>
      <c r="S117" s="248"/>
      <c r="T117" s="248">
        <f>T74+T116</f>
        <v>0</v>
      </c>
      <c r="U117" s="248">
        <f>U74+U116</f>
        <v>0</v>
      </c>
      <c r="V117" s="248">
        <f>V74+V116</f>
        <v>0</v>
      </c>
      <c r="W117" s="295">
        <f>W74+W116</f>
        <v>0</v>
      </c>
      <c r="X117" s="397">
        <f t="shared" si="16"/>
        <v>0</v>
      </c>
      <c r="Y117" s="228">
        <f>R117+X117</f>
        <v>3880858.6789999995</v>
      </c>
    </row>
    <row r="118" spans="1:25" ht="29.25" hidden="1" customHeight="1" thickTop="1" x14ac:dyDescent="0.25">
      <c r="A118" s="128"/>
      <c r="B118" s="178" t="s">
        <v>151</v>
      </c>
      <c r="C118" s="129" t="s">
        <v>18</v>
      </c>
      <c r="D118" s="216">
        <f t="shared" ref="D118:W118" si="21">D117</f>
        <v>2298596.8879999998</v>
      </c>
      <c r="E118" s="216">
        <f t="shared" si="21"/>
        <v>531177.27600000007</v>
      </c>
      <c r="F118" s="216">
        <f t="shared" si="21"/>
        <v>749769.53899999999</v>
      </c>
      <c r="G118" s="216">
        <f t="shared" si="21"/>
        <v>185</v>
      </c>
      <c r="H118" s="216">
        <f t="shared" si="21"/>
        <v>0</v>
      </c>
      <c r="I118" s="216">
        <f t="shared" si="21"/>
        <v>129.88300000000001</v>
      </c>
      <c r="J118" s="216">
        <f t="shared" si="21"/>
        <v>277.09300000000002</v>
      </c>
      <c r="K118" s="216">
        <f t="shared" si="21"/>
        <v>0</v>
      </c>
      <c r="L118" s="216">
        <f t="shared" si="21"/>
        <v>287323</v>
      </c>
      <c r="M118" s="216">
        <f t="shared" si="21"/>
        <v>7400</v>
      </c>
      <c r="N118" s="216">
        <f t="shared" si="21"/>
        <v>0</v>
      </c>
      <c r="O118" s="216">
        <f t="shared" si="21"/>
        <v>6000</v>
      </c>
      <c r="P118" s="216">
        <f t="shared" si="21"/>
        <v>0</v>
      </c>
      <c r="Q118" s="216">
        <f t="shared" si="21"/>
        <v>0</v>
      </c>
      <c r="R118" s="216">
        <f t="shared" si="15"/>
        <v>3880858.6789999995</v>
      </c>
      <c r="S118" s="216"/>
      <c r="T118" s="216">
        <f>T117</f>
        <v>0</v>
      </c>
      <c r="U118" s="216">
        <f>U117</f>
        <v>0</v>
      </c>
      <c r="V118" s="254">
        <f t="shared" si="21"/>
        <v>0</v>
      </c>
      <c r="W118" s="216">
        <f t="shared" si="21"/>
        <v>0</v>
      </c>
      <c r="X118" s="254">
        <f t="shared" si="16"/>
        <v>0</v>
      </c>
      <c r="Y118" s="255">
        <f t="shared" si="17"/>
        <v>3880858.6789999995</v>
      </c>
    </row>
    <row r="119" spans="1:25" ht="29.25" hidden="1" customHeight="1" x14ac:dyDescent="0.25">
      <c r="A119" s="18"/>
      <c r="B119" s="478"/>
      <c r="C119" s="556"/>
      <c r="D119" s="551"/>
      <c r="E119" s="551"/>
      <c r="F119" s="551"/>
      <c r="G119" s="551"/>
      <c r="H119" s="551"/>
      <c r="I119" s="551"/>
      <c r="J119" s="551"/>
      <c r="K119" s="551"/>
      <c r="L119" s="551"/>
      <c r="M119" s="551"/>
      <c r="N119" s="551"/>
      <c r="O119" s="551"/>
      <c r="P119" s="551"/>
      <c r="Q119" s="551"/>
      <c r="R119" s="551"/>
      <c r="S119" s="551"/>
      <c r="T119" s="551"/>
      <c r="U119" s="551"/>
      <c r="V119" s="553"/>
      <c r="W119" s="551"/>
      <c r="X119" s="553"/>
      <c r="Y119" s="309"/>
    </row>
    <row r="120" spans="1:25" ht="33.75" hidden="1" customHeight="1" x14ac:dyDescent="0.2">
      <c r="A120" s="79">
        <v>1</v>
      </c>
      <c r="B120" s="491"/>
      <c r="C120" s="40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>
        <f t="shared" si="15"/>
        <v>0</v>
      </c>
      <c r="S120" s="152"/>
      <c r="T120" s="152"/>
      <c r="U120" s="152"/>
      <c r="V120" s="158"/>
      <c r="W120" s="152"/>
      <c r="X120" s="158">
        <f t="shared" si="16"/>
        <v>0</v>
      </c>
      <c r="Y120" s="259">
        <f t="shared" si="17"/>
        <v>0</v>
      </c>
    </row>
    <row r="121" spans="1:25" ht="33.75" hidden="1" customHeight="1" x14ac:dyDescent="0.2">
      <c r="A121" s="220">
        <v>2</v>
      </c>
      <c r="B121" s="491"/>
      <c r="C121" s="40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>
        <f t="shared" si="15"/>
        <v>0</v>
      </c>
      <c r="S121" s="152"/>
      <c r="T121" s="152"/>
      <c r="U121" s="152"/>
      <c r="V121" s="158"/>
      <c r="W121" s="152"/>
      <c r="X121" s="158">
        <f t="shared" si="16"/>
        <v>0</v>
      </c>
      <c r="Y121" s="259">
        <f t="shared" si="17"/>
        <v>0</v>
      </c>
    </row>
    <row r="122" spans="1:25" ht="33.75" hidden="1" customHeight="1" x14ac:dyDescent="0.2">
      <c r="A122" s="79">
        <v>3</v>
      </c>
      <c r="B122" s="492"/>
      <c r="C122" s="40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>
        <f t="shared" si="15"/>
        <v>0</v>
      </c>
      <c r="S122" s="152"/>
      <c r="T122" s="152"/>
      <c r="U122" s="152"/>
      <c r="V122" s="158"/>
      <c r="W122" s="152"/>
      <c r="X122" s="158">
        <f t="shared" si="16"/>
        <v>0</v>
      </c>
      <c r="Y122" s="259">
        <f t="shared" si="17"/>
        <v>0</v>
      </c>
    </row>
    <row r="123" spans="1:25" ht="33.75" hidden="1" customHeight="1" x14ac:dyDescent="0.2">
      <c r="A123" s="220">
        <v>4</v>
      </c>
      <c r="B123" s="492"/>
      <c r="C123" s="40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>
        <f t="shared" si="15"/>
        <v>0</v>
      </c>
      <c r="S123" s="152"/>
      <c r="T123" s="152"/>
      <c r="U123" s="152"/>
      <c r="V123" s="158"/>
      <c r="W123" s="152"/>
      <c r="X123" s="158">
        <f t="shared" si="16"/>
        <v>0</v>
      </c>
      <c r="Y123" s="259">
        <f t="shared" si="17"/>
        <v>0</v>
      </c>
    </row>
    <row r="124" spans="1:25" ht="33.75" hidden="1" customHeight="1" x14ac:dyDescent="0.2">
      <c r="A124" s="79">
        <v>5</v>
      </c>
      <c r="B124" s="492"/>
      <c r="C124" s="40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>
        <f t="shared" si="15"/>
        <v>0</v>
      </c>
      <c r="S124" s="152"/>
      <c r="T124" s="152"/>
      <c r="U124" s="152"/>
      <c r="V124" s="158"/>
      <c r="W124" s="152"/>
      <c r="X124" s="158">
        <f t="shared" si="16"/>
        <v>0</v>
      </c>
      <c r="Y124" s="259">
        <f t="shared" si="17"/>
        <v>0</v>
      </c>
    </row>
    <row r="125" spans="1:25" ht="30.75" hidden="1" customHeight="1" x14ac:dyDescent="0.2">
      <c r="A125" s="79"/>
      <c r="B125" s="492"/>
      <c r="C125" s="40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8"/>
      <c r="W125" s="152"/>
      <c r="X125" s="158"/>
      <c r="Y125" s="259"/>
    </row>
    <row r="126" spans="1:25" ht="30.75" hidden="1" customHeight="1" x14ac:dyDescent="0.2">
      <c r="A126" s="79"/>
      <c r="B126" s="492"/>
      <c r="C126" s="40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8"/>
      <c r="W126" s="152"/>
      <c r="X126" s="158"/>
      <c r="Y126" s="259"/>
    </row>
    <row r="127" spans="1:25" ht="30.75" hidden="1" customHeight="1" x14ac:dyDescent="0.2">
      <c r="A127" s="79"/>
      <c r="B127" s="492"/>
      <c r="C127" s="40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8"/>
      <c r="W127" s="152"/>
      <c r="X127" s="158"/>
      <c r="Y127" s="259"/>
    </row>
    <row r="128" spans="1:25" ht="24" hidden="1" customHeight="1" x14ac:dyDescent="0.2">
      <c r="A128" s="79"/>
      <c r="B128" s="31"/>
      <c r="C128" s="40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8"/>
      <c r="W128" s="152"/>
      <c r="X128" s="158"/>
      <c r="Y128" s="259"/>
    </row>
    <row r="129" spans="1:25" ht="24" hidden="1" customHeight="1" x14ac:dyDescent="0.2">
      <c r="A129" s="205" t="s">
        <v>64</v>
      </c>
      <c r="B129" s="201"/>
      <c r="C129" s="206" t="s">
        <v>62</v>
      </c>
      <c r="D129" s="307">
        <f t="shared" ref="D129:W129" si="22">SUM(D120:D128)</f>
        <v>0</v>
      </c>
      <c r="E129" s="307">
        <f t="shared" si="22"/>
        <v>0</v>
      </c>
      <c r="F129" s="307">
        <f t="shared" si="22"/>
        <v>0</v>
      </c>
      <c r="G129" s="307">
        <f t="shared" si="22"/>
        <v>0</v>
      </c>
      <c r="H129" s="307">
        <f t="shared" si="22"/>
        <v>0</v>
      </c>
      <c r="I129" s="307">
        <f t="shared" si="22"/>
        <v>0</v>
      </c>
      <c r="J129" s="307">
        <f t="shared" si="22"/>
        <v>0</v>
      </c>
      <c r="K129" s="307">
        <f t="shared" si="22"/>
        <v>0</v>
      </c>
      <c r="L129" s="307">
        <f t="shared" si="22"/>
        <v>0</v>
      </c>
      <c r="M129" s="307">
        <f t="shared" si="22"/>
        <v>0</v>
      </c>
      <c r="N129" s="307">
        <f t="shared" si="22"/>
        <v>0</v>
      </c>
      <c r="O129" s="307">
        <f t="shared" si="22"/>
        <v>0</v>
      </c>
      <c r="P129" s="307">
        <f t="shared" si="22"/>
        <v>0</v>
      </c>
      <c r="Q129" s="307">
        <f t="shared" si="22"/>
        <v>0</v>
      </c>
      <c r="R129" s="307">
        <f t="shared" si="15"/>
        <v>0</v>
      </c>
      <c r="S129" s="307"/>
      <c r="T129" s="307">
        <f t="shared" si="22"/>
        <v>0</v>
      </c>
      <c r="U129" s="307">
        <f t="shared" si="22"/>
        <v>0</v>
      </c>
      <c r="V129" s="481">
        <f t="shared" si="22"/>
        <v>0</v>
      </c>
      <c r="W129" s="307">
        <f t="shared" si="22"/>
        <v>0</v>
      </c>
      <c r="X129" s="307">
        <f t="shared" si="16"/>
        <v>0</v>
      </c>
      <c r="Y129" s="307">
        <f t="shared" si="17"/>
        <v>0</v>
      </c>
    </row>
    <row r="130" spans="1:25" ht="30.75" hidden="1" customHeight="1" x14ac:dyDescent="0.2">
      <c r="A130" s="79"/>
      <c r="B130" s="32"/>
      <c r="C130" s="40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8"/>
      <c r="W130" s="152"/>
      <c r="X130" s="158"/>
      <c r="Y130" s="259"/>
    </row>
    <row r="131" spans="1:25" ht="33.75" hidden="1" customHeight="1" x14ac:dyDescent="0.2">
      <c r="A131" s="79" t="s">
        <v>89</v>
      </c>
      <c r="B131" s="224"/>
      <c r="C131" s="40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>
        <f t="shared" si="15"/>
        <v>0</v>
      </c>
      <c r="S131" s="152"/>
      <c r="T131" s="152"/>
      <c r="U131" s="152"/>
      <c r="V131" s="158"/>
      <c r="W131" s="152"/>
      <c r="X131" s="158">
        <f t="shared" si="16"/>
        <v>0</v>
      </c>
      <c r="Y131" s="259">
        <f t="shared" si="17"/>
        <v>0</v>
      </c>
    </row>
    <row r="132" spans="1:25" ht="33.75" hidden="1" customHeight="1" x14ac:dyDescent="0.2">
      <c r="A132" s="79" t="s">
        <v>89</v>
      </c>
      <c r="B132" s="224"/>
      <c r="C132" s="40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>
        <f t="shared" si="15"/>
        <v>0</v>
      </c>
      <c r="S132" s="152"/>
      <c r="T132" s="152"/>
      <c r="U132" s="152"/>
      <c r="V132" s="158"/>
      <c r="W132" s="152"/>
      <c r="X132" s="158">
        <f t="shared" si="16"/>
        <v>0</v>
      </c>
      <c r="Y132" s="259">
        <f t="shared" si="17"/>
        <v>0</v>
      </c>
    </row>
    <row r="133" spans="1:25" ht="33.75" hidden="1" customHeight="1" x14ac:dyDescent="0.2">
      <c r="A133" s="79" t="s">
        <v>89</v>
      </c>
      <c r="B133" s="224"/>
      <c r="C133" s="40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>
        <f t="shared" si="15"/>
        <v>0</v>
      </c>
      <c r="S133" s="152"/>
      <c r="T133" s="152"/>
      <c r="U133" s="152"/>
      <c r="V133" s="158"/>
      <c r="W133" s="152"/>
      <c r="X133" s="158">
        <f t="shared" ref="X133:X139" si="23">SUM(T133:W133)</f>
        <v>0</v>
      </c>
      <c r="Y133" s="259">
        <f t="shared" ref="Y133:Y139" si="24">R133+X133</f>
        <v>0</v>
      </c>
    </row>
    <row r="134" spans="1:25" ht="33.75" hidden="1" customHeight="1" x14ac:dyDescent="0.2">
      <c r="A134" s="79" t="s">
        <v>89</v>
      </c>
      <c r="B134" s="224"/>
      <c r="C134" s="40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>
        <f t="shared" si="15"/>
        <v>0</v>
      </c>
      <c r="S134" s="152"/>
      <c r="T134" s="152"/>
      <c r="U134" s="152"/>
      <c r="V134" s="158"/>
      <c r="W134" s="152"/>
      <c r="X134" s="158">
        <f t="shared" si="23"/>
        <v>0</v>
      </c>
      <c r="Y134" s="259">
        <f t="shared" si="24"/>
        <v>0</v>
      </c>
    </row>
    <row r="135" spans="1:25" ht="33.75" hidden="1" customHeight="1" x14ac:dyDescent="0.2">
      <c r="A135" s="79" t="s">
        <v>89</v>
      </c>
      <c r="B135" s="224"/>
      <c r="C135" s="40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>
        <f t="shared" si="15"/>
        <v>0</v>
      </c>
      <c r="S135" s="152"/>
      <c r="T135" s="152"/>
      <c r="U135" s="152"/>
      <c r="V135" s="158"/>
      <c r="W135" s="152"/>
      <c r="X135" s="158">
        <f t="shared" si="23"/>
        <v>0</v>
      </c>
      <c r="Y135" s="259">
        <f t="shared" si="24"/>
        <v>0</v>
      </c>
    </row>
    <row r="136" spans="1:25" ht="33.75" hidden="1" customHeight="1" x14ac:dyDescent="0.2">
      <c r="A136" s="79" t="s">
        <v>89</v>
      </c>
      <c r="B136" s="224"/>
      <c r="C136" s="40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>
        <f t="shared" si="15"/>
        <v>0</v>
      </c>
      <c r="S136" s="152"/>
      <c r="T136" s="152"/>
      <c r="U136" s="152"/>
      <c r="V136" s="158"/>
      <c r="W136" s="152"/>
      <c r="X136" s="158">
        <f t="shared" si="23"/>
        <v>0</v>
      </c>
      <c r="Y136" s="259">
        <f t="shared" si="24"/>
        <v>0</v>
      </c>
    </row>
    <row r="137" spans="1:25" ht="33.75" hidden="1" customHeight="1" x14ac:dyDescent="0.2">
      <c r="A137" s="79" t="s">
        <v>89</v>
      </c>
      <c r="B137" s="224"/>
      <c r="C137" s="40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>
        <f t="shared" si="15"/>
        <v>0</v>
      </c>
      <c r="S137" s="152"/>
      <c r="T137" s="152"/>
      <c r="U137" s="152"/>
      <c r="V137" s="158"/>
      <c r="W137" s="152"/>
      <c r="X137" s="158">
        <f t="shared" si="23"/>
        <v>0</v>
      </c>
      <c r="Y137" s="259">
        <f t="shared" si="24"/>
        <v>0</v>
      </c>
    </row>
    <row r="138" spans="1:25" ht="33.75" hidden="1" customHeight="1" x14ac:dyDescent="0.2">
      <c r="A138" s="79" t="s">
        <v>89</v>
      </c>
      <c r="B138" s="224"/>
      <c r="C138" s="40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>
        <f t="shared" si="15"/>
        <v>0</v>
      </c>
      <c r="S138" s="152"/>
      <c r="T138" s="152"/>
      <c r="U138" s="152"/>
      <c r="V138" s="158"/>
      <c r="W138" s="152"/>
      <c r="X138" s="158">
        <f t="shared" si="23"/>
        <v>0</v>
      </c>
      <c r="Y138" s="259">
        <f t="shared" si="24"/>
        <v>0</v>
      </c>
    </row>
    <row r="139" spans="1:25" ht="33.75" hidden="1" customHeight="1" x14ac:dyDescent="0.2">
      <c r="A139" s="79" t="s">
        <v>89</v>
      </c>
      <c r="B139" s="224"/>
      <c r="C139" s="40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>
        <f t="shared" si="15"/>
        <v>0</v>
      </c>
      <c r="S139" s="152"/>
      <c r="T139" s="152"/>
      <c r="U139" s="152"/>
      <c r="V139" s="158"/>
      <c r="W139" s="152"/>
      <c r="X139" s="158">
        <f t="shared" si="23"/>
        <v>0</v>
      </c>
      <c r="Y139" s="259">
        <f t="shared" si="24"/>
        <v>0</v>
      </c>
    </row>
    <row r="140" spans="1:25" ht="33.75" hidden="1" customHeight="1" x14ac:dyDescent="0.2">
      <c r="A140" s="79"/>
      <c r="B140" s="224"/>
      <c r="C140" s="40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8"/>
      <c r="W140" s="152"/>
      <c r="X140" s="158"/>
      <c r="Y140" s="259"/>
    </row>
    <row r="141" spans="1:25" ht="24" hidden="1" customHeight="1" x14ac:dyDescent="0.2">
      <c r="A141" s="79"/>
      <c r="B141" s="31"/>
      <c r="C141" s="40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8"/>
      <c r="W141" s="152"/>
      <c r="X141" s="158"/>
      <c r="Y141" s="304"/>
    </row>
    <row r="142" spans="1:25" ht="24" hidden="1" customHeight="1" x14ac:dyDescent="0.2">
      <c r="A142" s="205" t="s">
        <v>65</v>
      </c>
      <c r="B142" s="201"/>
      <c r="C142" s="206" t="s">
        <v>63</v>
      </c>
      <c r="D142" s="152">
        <f t="shared" ref="D142:Q142" si="25">SUM(D130:D141)</f>
        <v>0</v>
      </c>
      <c r="E142" s="152">
        <f t="shared" si="25"/>
        <v>0</v>
      </c>
      <c r="F142" s="152">
        <f t="shared" si="25"/>
        <v>0</v>
      </c>
      <c r="G142" s="152">
        <f t="shared" si="25"/>
        <v>0</v>
      </c>
      <c r="H142" s="152">
        <f t="shared" si="25"/>
        <v>0</v>
      </c>
      <c r="I142" s="152">
        <f t="shared" si="25"/>
        <v>0</v>
      </c>
      <c r="J142" s="152">
        <f t="shared" si="25"/>
        <v>0</v>
      </c>
      <c r="K142" s="152">
        <f t="shared" si="25"/>
        <v>0</v>
      </c>
      <c r="L142" s="152">
        <f t="shared" si="25"/>
        <v>0</v>
      </c>
      <c r="M142" s="152">
        <f t="shared" si="25"/>
        <v>0</v>
      </c>
      <c r="N142" s="152">
        <f t="shared" si="25"/>
        <v>0</v>
      </c>
      <c r="O142" s="152">
        <f t="shared" si="25"/>
        <v>0</v>
      </c>
      <c r="P142" s="152">
        <f t="shared" si="25"/>
        <v>0</v>
      </c>
      <c r="Q142" s="152">
        <f t="shared" si="25"/>
        <v>0</v>
      </c>
      <c r="R142" s="152">
        <f t="shared" si="15"/>
        <v>0</v>
      </c>
      <c r="S142" s="152"/>
      <c r="T142" s="152">
        <f>SUM(T130:T141)</f>
        <v>0</v>
      </c>
      <c r="U142" s="152">
        <f>SUM(U130:U141)</f>
        <v>0</v>
      </c>
      <c r="V142" s="158">
        <f>SUM(V130:V141)</f>
        <v>0</v>
      </c>
      <c r="W142" s="152">
        <f>SUM(W130:W141)</f>
        <v>0</v>
      </c>
      <c r="X142" s="158">
        <f t="shared" si="16"/>
        <v>0</v>
      </c>
      <c r="Y142" s="305">
        <f t="shared" si="17"/>
        <v>0</v>
      </c>
    </row>
    <row r="143" spans="1:25" ht="24" hidden="1" customHeight="1" thickBot="1" x14ac:dyDescent="0.25">
      <c r="A143" s="79"/>
      <c r="B143" s="31"/>
      <c r="C143" s="40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8"/>
      <c r="W143" s="152"/>
      <c r="X143" s="158"/>
      <c r="Y143" s="304"/>
    </row>
    <row r="144" spans="1:25" ht="30" hidden="1" customHeight="1" thickTop="1" thickBot="1" x14ac:dyDescent="0.25">
      <c r="A144" s="41"/>
      <c r="B144" s="302" t="s">
        <v>151</v>
      </c>
      <c r="C144" s="43" t="s">
        <v>66</v>
      </c>
      <c r="D144" s="484">
        <f t="shared" ref="D144:Q144" si="26">D129+D142</f>
        <v>0</v>
      </c>
      <c r="E144" s="484">
        <f t="shared" si="26"/>
        <v>0</v>
      </c>
      <c r="F144" s="484">
        <f t="shared" si="26"/>
        <v>0</v>
      </c>
      <c r="G144" s="484">
        <f t="shared" si="26"/>
        <v>0</v>
      </c>
      <c r="H144" s="484">
        <f t="shared" si="26"/>
        <v>0</v>
      </c>
      <c r="I144" s="484">
        <f t="shared" si="26"/>
        <v>0</v>
      </c>
      <c r="J144" s="484">
        <f t="shared" si="26"/>
        <v>0</v>
      </c>
      <c r="K144" s="484">
        <f t="shared" si="26"/>
        <v>0</v>
      </c>
      <c r="L144" s="484">
        <f t="shared" si="26"/>
        <v>0</v>
      </c>
      <c r="M144" s="484">
        <f t="shared" si="26"/>
        <v>0</v>
      </c>
      <c r="N144" s="484">
        <f t="shared" si="26"/>
        <v>0</v>
      </c>
      <c r="O144" s="484">
        <f t="shared" si="26"/>
        <v>0</v>
      </c>
      <c r="P144" s="484">
        <f t="shared" si="26"/>
        <v>0</v>
      </c>
      <c r="Q144" s="484">
        <f t="shared" si="26"/>
        <v>0</v>
      </c>
      <c r="R144" s="484">
        <f t="shared" si="15"/>
        <v>0</v>
      </c>
      <c r="S144" s="484"/>
      <c r="T144" s="484">
        <f>T129+T142</f>
        <v>0</v>
      </c>
      <c r="U144" s="484">
        <f>U129+U142</f>
        <v>0</v>
      </c>
      <c r="V144" s="485">
        <f>V129+V142</f>
        <v>0</v>
      </c>
      <c r="W144" s="484">
        <f>W129+W142</f>
        <v>0</v>
      </c>
      <c r="X144" s="485">
        <f t="shared" si="16"/>
        <v>0</v>
      </c>
      <c r="Y144" s="486">
        <f t="shared" si="17"/>
        <v>0</v>
      </c>
    </row>
    <row r="145" spans="1:25" ht="30" hidden="1" customHeight="1" thickTop="1" thickBot="1" x14ac:dyDescent="0.25">
      <c r="A145" s="41"/>
      <c r="B145" s="476" t="s">
        <v>152</v>
      </c>
      <c r="C145" s="43" t="s">
        <v>124</v>
      </c>
      <c r="D145" s="487">
        <f t="shared" ref="D145:Q145" si="27">D118+D144</f>
        <v>2298596.8879999998</v>
      </c>
      <c r="E145" s="493">
        <f t="shared" si="27"/>
        <v>531177.27600000007</v>
      </c>
      <c r="F145" s="487">
        <f t="shared" si="27"/>
        <v>749769.53899999999</v>
      </c>
      <c r="G145" s="487">
        <f t="shared" si="27"/>
        <v>185</v>
      </c>
      <c r="H145" s="487">
        <f t="shared" si="27"/>
        <v>0</v>
      </c>
      <c r="I145" s="487">
        <f t="shared" si="27"/>
        <v>129.88300000000001</v>
      </c>
      <c r="J145" s="487">
        <f t="shared" si="27"/>
        <v>277.09300000000002</v>
      </c>
      <c r="K145" s="487">
        <f t="shared" si="27"/>
        <v>0</v>
      </c>
      <c r="L145" s="487">
        <f t="shared" si="27"/>
        <v>287323</v>
      </c>
      <c r="M145" s="487">
        <f t="shared" si="27"/>
        <v>7400</v>
      </c>
      <c r="N145" s="487">
        <f t="shared" si="27"/>
        <v>0</v>
      </c>
      <c r="O145" s="487">
        <f t="shared" si="27"/>
        <v>6000</v>
      </c>
      <c r="P145" s="487">
        <f t="shared" si="27"/>
        <v>0</v>
      </c>
      <c r="Q145" s="487">
        <f t="shared" si="27"/>
        <v>0</v>
      </c>
      <c r="R145" s="493">
        <f t="shared" si="15"/>
        <v>3880858.6789999995</v>
      </c>
      <c r="S145" s="487"/>
      <c r="T145" s="487">
        <f>T118+T144</f>
        <v>0</v>
      </c>
      <c r="U145" s="487">
        <f>U118+U144</f>
        <v>0</v>
      </c>
      <c r="V145" s="487">
        <f>V118+V144</f>
        <v>0</v>
      </c>
      <c r="W145" s="488">
        <f>W118+W144</f>
        <v>0</v>
      </c>
      <c r="X145" s="487">
        <f t="shared" si="16"/>
        <v>0</v>
      </c>
      <c r="Y145" s="502">
        <f t="shared" si="17"/>
        <v>3880858.6789999995</v>
      </c>
    </row>
    <row r="146" spans="1:25" ht="24" hidden="1" customHeight="1" thickTop="1" x14ac:dyDescent="0.25">
      <c r="A146" s="128"/>
      <c r="B146" s="517" t="s">
        <v>155</v>
      </c>
      <c r="C146" s="129" t="s">
        <v>18</v>
      </c>
      <c r="D146" s="216">
        <f t="shared" ref="D146:W146" si="28">D145</f>
        <v>2298596.8879999998</v>
      </c>
      <c r="E146" s="494">
        <f t="shared" si="28"/>
        <v>531177.27600000007</v>
      </c>
      <c r="F146" s="216">
        <f t="shared" si="28"/>
        <v>749769.53899999999</v>
      </c>
      <c r="G146" s="216">
        <f t="shared" si="28"/>
        <v>185</v>
      </c>
      <c r="H146" s="216">
        <f t="shared" si="28"/>
        <v>0</v>
      </c>
      <c r="I146" s="216">
        <f t="shared" si="28"/>
        <v>129.88300000000001</v>
      </c>
      <c r="J146" s="216">
        <f t="shared" si="28"/>
        <v>277.09300000000002</v>
      </c>
      <c r="K146" s="216">
        <f t="shared" si="28"/>
        <v>0</v>
      </c>
      <c r="L146" s="216">
        <f t="shared" si="28"/>
        <v>287323</v>
      </c>
      <c r="M146" s="216">
        <f t="shared" si="28"/>
        <v>7400</v>
      </c>
      <c r="N146" s="216">
        <f t="shared" si="28"/>
        <v>0</v>
      </c>
      <c r="O146" s="216">
        <f t="shared" si="28"/>
        <v>6000</v>
      </c>
      <c r="P146" s="216">
        <f t="shared" si="28"/>
        <v>0</v>
      </c>
      <c r="Q146" s="216">
        <f t="shared" si="28"/>
        <v>0</v>
      </c>
      <c r="R146" s="494">
        <f t="shared" si="15"/>
        <v>3880858.6789999995</v>
      </c>
      <c r="S146" s="216"/>
      <c r="T146" s="216">
        <f>T145</f>
        <v>0</v>
      </c>
      <c r="U146" s="216">
        <f>U145</f>
        <v>0</v>
      </c>
      <c r="V146" s="254">
        <f t="shared" si="28"/>
        <v>0</v>
      </c>
      <c r="W146" s="216">
        <f t="shared" si="28"/>
        <v>0</v>
      </c>
      <c r="X146" s="254">
        <f t="shared" si="16"/>
        <v>0</v>
      </c>
      <c r="Y146" s="503">
        <f t="shared" si="17"/>
        <v>3880858.6789999995</v>
      </c>
    </row>
    <row r="147" spans="1:25" ht="33.75" hidden="1" customHeight="1" x14ac:dyDescent="0.2">
      <c r="A147" s="220"/>
      <c r="B147" s="308"/>
      <c r="C147" s="28"/>
      <c r="D147" s="157"/>
      <c r="E147" s="157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7"/>
      <c r="S147" s="152"/>
      <c r="T147" s="152"/>
      <c r="U147" s="152"/>
      <c r="V147" s="158"/>
      <c r="W147" s="152"/>
      <c r="X147" s="158"/>
      <c r="Y147" s="504">
        <f t="shared" si="17"/>
        <v>0</v>
      </c>
    </row>
    <row r="148" spans="1:25" ht="33.75" hidden="1" customHeight="1" x14ac:dyDescent="0.2">
      <c r="A148" s="220">
        <v>1</v>
      </c>
      <c r="B148" s="308"/>
      <c r="C148" s="28"/>
      <c r="D148" s="157"/>
      <c r="E148" s="157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7">
        <f t="shared" si="15"/>
        <v>0</v>
      </c>
      <c r="S148" s="152"/>
      <c r="T148" s="152"/>
      <c r="U148" s="152"/>
      <c r="V148" s="158"/>
      <c r="W148" s="152"/>
      <c r="X148" s="158">
        <f t="shared" si="16"/>
        <v>0</v>
      </c>
      <c r="Y148" s="504">
        <f t="shared" si="17"/>
        <v>0</v>
      </c>
    </row>
    <row r="149" spans="1:25" ht="33.75" hidden="1" customHeight="1" x14ac:dyDescent="0.2">
      <c r="A149" s="79">
        <v>2</v>
      </c>
      <c r="B149" s="114"/>
      <c r="C149" s="28"/>
      <c r="D149" s="157"/>
      <c r="E149" s="157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7">
        <f t="shared" si="15"/>
        <v>0</v>
      </c>
      <c r="S149" s="152"/>
      <c r="T149" s="152"/>
      <c r="U149" s="152"/>
      <c r="V149" s="158"/>
      <c r="W149" s="152"/>
      <c r="X149" s="158">
        <f t="shared" si="16"/>
        <v>0</v>
      </c>
      <c r="Y149" s="504">
        <f t="shared" si="17"/>
        <v>0</v>
      </c>
    </row>
    <row r="150" spans="1:25" ht="24" hidden="1" customHeight="1" x14ac:dyDescent="0.2">
      <c r="A150" s="79">
        <v>3</v>
      </c>
      <c r="B150" s="225"/>
      <c r="C150" s="33"/>
      <c r="D150" s="152"/>
      <c r="E150" s="157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7">
        <f t="shared" si="15"/>
        <v>0</v>
      </c>
      <c r="S150" s="152"/>
      <c r="T150" s="152"/>
      <c r="U150" s="152"/>
      <c r="V150" s="158"/>
      <c r="W150" s="152"/>
      <c r="X150" s="158">
        <f t="shared" si="16"/>
        <v>0</v>
      </c>
      <c r="Y150" s="504">
        <f t="shared" si="17"/>
        <v>0</v>
      </c>
    </row>
    <row r="151" spans="1:25" ht="33.75" hidden="1" customHeight="1" x14ac:dyDescent="0.2">
      <c r="A151" s="79"/>
      <c r="B151" s="225"/>
      <c r="C151" s="33"/>
      <c r="D151" s="152"/>
      <c r="E151" s="157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7"/>
      <c r="S151" s="152"/>
      <c r="T151" s="152"/>
      <c r="U151" s="152"/>
      <c r="V151" s="158"/>
      <c r="W151" s="152"/>
      <c r="X151" s="158"/>
      <c r="Y151" s="504"/>
    </row>
    <row r="152" spans="1:25" ht="33.75" hidden="1" customHeight="1" x14ac:dyDescent="0.2">
      <c r="A152" s="79"/>
      <c r="B152" s="30"/>
      <c r="C152" s="28"/>
      <c r="D152" s="152"/>
      <c r="E152" s="157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7"/>
      <c r="S152" s="152"/>
      <c r="T152" s="152"/>
      <c r="U152" s="152"/>
      <c r="V152" s="158"/>
      <c r="W152" s="152"/>
      <c r="X152" s="158"/>
      <c r="Y152" s="504">
        <f t="shared" si="17"/>
        <v>0</v>
      </c>
    </row>
    <row r="153" spans="1:25" ht="9.9499999999999993" hidden="1" customHeight="1" x14ac:dyDescent="0.2">
      <c r="A153" s="79"/>
      <c r="B153" s="30"/>
      <c r="C153" s="28"/>
      <c r="D153" s="152"/>
      <c r="E153" s="157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7"/>
      <c r="S153" s="152"/>
      <c r="T153" s="152"/>
      <c r="U153" s="152"/>
      <c r="V153" s="158"/>
      <c r="W153" s="152"/>
      <c r="X153" s="158"/>
      <c r="Y153" s="504"/>
    </row>
    <row r="154" spans="1:25" ht="20.100000000000001" hidden="1" customHeight="1" x14ac:dyDescent="0.2">
      <c r="A154" s="205" t="s">
        <v>64</v>
      </c>
      <c r="B154" s="201"/>
      <c r="C154" s="206" t="s">
        <v>62</v>
      </c>
      <c r="D154" s="152">
        <f t="shared" ref="D154:W154" si="29">SUM(D147:D153)</f>
        <v>0</v>
      </c>
      <c r="E154" s="157">
        <f t="shared" si="29"/>
        <v>0</v>
      </c>
      <c r="F154" s="152">
        <f t="shared" si="29"/>
        <v>0</v>
      </c>
      <c r="G154" s="152">
        <f t="shared" si="29"/>
        <v>0</v>
      </c>
      <c r="H154" s="152">
        <f t="shared" si="29"/>
        <v>0</v>
      </c>
      <c r="I154" s="152">
        <f t="shared" si="29"/>
        <v>0</v>
      </c>
      <c r="J154" s="152">
        <f t="shared" si="29"/>
        <v>0</v>
      </c>
      <c r="K154" s="152">
        <f t="shared" si="29"/>
        <v>0</v>
      </c>
      <c r="L154" s="152">
        <f t="shared" si="29"/>
        <v>0</v>
      </c>
      <c r="M154" s="152">
        <f t="shared" si="29"/>
        <v>0</v>
      </c>
      <c r="N154" s="152">
        <f t="shared" si="29"/>
        <v>0</v>
      </c>
      <c r="O154" s="152">
        <f t="shared" si="29"/>
        <v>0</v>
      </c>
      <c r="P154" s="152">
        <f t="shared" si="29"/>
        <v>0</v>
      </c>
      <c r="Q154" s="152">
        <f t="shared" si="29"/>
        <v>0</v>
      </c>
      <c r="R154" s="157">
        <f t="shared" si="15"/>
        <v>0</v>
      </c>
      <c r="S154" s="152"/>
      <c r="T154" s="152">
        <f t="shared" si="29"/>
        <v>0</v>
      </c>
      <c r="U154" s="152">
        <f t="shared" si="29"/>
        <v>0</v>
      </c>
      <c r="V154" s="158">
        <f t="shared" si="29"/>
        <v>0</v>
      </c>
      <c r="W154" s="152">
        <f t="shared" si="29"/>
        <v>0</v>
      </c>
      <c r="X154" s="158">
        <f t="shared" si="16"/>
        <v>0</v>
      </c>
      <c r="Y154" s="504">
        <f t="shared" si="17"/>
        <v>0</v>
      </c>
    </row>
    <row r="155" spans="1:25" ht="33.75" hidden="1" customHeight="1" x14ac:dyDescent="0.2">
      <c r="A155" s="220"/>
      <c r="B155" s="222"/>
      <c r="C155" s="40"/>
      <c r="D155" s="152"/>
      <c r="E155" s="157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7"/>
      <c r="S155" s="152"/>
      <c r="T155" s="152"/>
      <c r="U155" s="152"/>
      <c r="V155" s="158"/>
      <c r="W155" s="152"/>
      <c r="X155" s="158"/>
      <c r="Y155" s="504">
        <f t="shared" si="17"/>
        <v>0</v>
      </c>
    </row>
    <row r="156" spans="1:25" ht="33.75" hidden="1" customHeight="1" x14ac:dyDescent="0.2">
      <c r="A156" s="220" t="s">
        <v>89</v>
      </c>
      <c r="B156" s="222"/>
      <c r="C156" s="40"/>
      <c r="D156" s="152"/>
      <c r="E156" s="157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7">
        <f t="shared" si="15"/>
        <v>0</v>
      </c>
      <c r="S156" s="152"/>
      <c r="T156" s="152"/>
      <c r="U156" s="152"/>
      <c r="V156" s="158"/>
      <c r="W156" s="152"/>
      <c r="X156" s="158">
        <f t="shared" si="16"/>
        <v>0</v>
      </c>
      <c r="Y156" s="504">
        <f t="shared" si="17"/>
        <v>0</v>
      </c>
    </row>
    <row r="157" spans="1:25" ht="33.75" hidden="1" customHeight="1" x14ac:dyDescent="0.2">
      <c r="A157" s="220" t="s">
        <v>89</v>
      </c>
      <c r="B157" s="222"/>
      <c r="C157" s="40"/>
      <c r="D157" s="152"/>
      <c r="E157" s="157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7">
        <f t="shared" si="15"/>
        <v>0</v>
      </c>
      <c r="S157" s="152"/>
      <c r="T157" s="152"/>
      <c r="U157" s="152"/>
      <c r="V157" s="158"/>
      <c r="W157" s="152"/>
      <c r="X157" s="158">
        <f t="shared" si="16"/>
        <v>0</v>
      </c>
      <c r="Y157" s="504">
        <f t="shared" si="17"/>
        <v>0</v>
      </c>
    </row>
    <row r="158" spans="1:25" ht="33.75" hidden="1" customHeight="1" x14ac:dyDescent="0.2">
      <c r="A158" s="220" t="s">
        <v>89</v>
      </c>
      <c r="B158" s="222"/>
      <c r="C158" s="40"/>
      <c r="D158" s="152"/>
      <c r="E158" s="157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7">
        <f t="shared" si="15"/>
        <v>0</v>
      </c>
      <c r="S158" s="152"/>
      <c r="T158" s="152"/>
      <c r="U158" s="152"/>
      <c r="V158" s="158"/>
      <c r="W158" s="152"/>
      <c r="X158" s="158">
        <f t="shared" si="16"/>
        <v>0</v>
      </c>
      <c r="Y158" s="504">
        <f t="shared" si="17"/>
        <v>0</v>
      </c>
    </row>
    <row r="159" spans="1:25" ht="33.75" hidden="1" customHeight="1" x14ac:dyDescent="0.2">
      <c r="A159" s="220" t="s">
        <v>89</v>
      </c>
      <c r="B159" s="222"/>
      <c r="C159" s="40"/>
      <c r="D159" s="152"/>
      <c r="E159" s="157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7">
        <f t="shared" si="15"/>
        <v>0</v>
      </c>
      <c r="S159" s="152"/>
      <c r="T159" s="152"/>
      <c r="U159" s="152"/>
      <c r="V159" s="158"/>
      <c r="W159" s="152"/>
      <c r="X159" s="158">
        <f t="shared" si="16"/>
        <v>0</v>
      </c>
      <c r="Y159" s="504">
        <f t="shared" si="17"/>
        <v>0</v>
      </c>
    </row>
    <row r="160" spans="1:25" ht="33.75" hidden="1" customHeight="1" x14ac:dyDescent="0.2">
      <c r="A160" s="220"/>
      <c r="B160" s="222"/>
      <c r="C160" s="40"/>
      <c r="D160" s="152"/>
      <c r="E160" s="157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7"/>
      <c r="S160" s="152"/>
      <c r="T160" s="152"/>
      <c r="U160" s="152"/>
      <c r="V160" s="158"/>
      <c r="W160" s="152"/>
      <c r="X160" s="158"/>
      <c r="Y160" s="504">
        <f t="shared" si="17"/>
        <v>0</v>
      </c>
    </row>
    <row r="161" spans="1:26" ht="33.75" hidden="1" customHeight="1" x14ac:dyDescent="0.2">
      <c r="A161" s="79"/>
      <c r="B161" s="32"/>
      <c r="C161" s="34"/>
      <c r="D161" s="152"/>
      <c r="E161" s="157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7"/>
      <c r="S161" s="152"/>
      <c r="T161" s="152"/>
      <c r="U161" s="152"/>
      <c r="V161" s="158"/>
      <c r="W161" s="152"/>
      <c r="X161" s="158"/>
      <c r="Y161" s="504">
        <f t="shared" si="17"/>
        <v>0</v>
      </c>
    </row>
    <row r="162" spans="1:26" ht="9.9499999999999993" hidden="1" customHeight="1" x14ac:dyDescent="0.2">
      <c r="A162" s="79"/>
      <c r="B162" s="120"/>
      <c r="C162" s="40"/>
      <c r="D162" s="152"/>
      <c r="E162" s="157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7"/>
      <c r="S162" s="152"/>
      <c r="T162" s="152"/>
      <c r="U162" s="152"/>
      <c r="V162" s="158"/>
      <c r="W162" s="152"/>
      <c r="X162" s="158"/>
      <c r="Y162" s="504"/>
    </row>
    <row r="163" spans="1:26" ht="20.100000000000001" hidden="1" customHeight="1" x14ac:dyDescent="0.2">
      <c r="A163" s="205" t="s">
        <v>65</v>
      </c>
      <c r="B163" s="201"/>
      <c r="C163" s="206" t="s">
        <v>63</v>
      </c>
      <c r="D163" s="152">
        <f t="shared" ref="D163:W163" si="30">SUM(D155:D162)</f>
        <v>0</v>
      </c>
      <c r="E163" s="157">
        <f t="shared" si="30"/>
        <v>0</v>
      </c>
      <c r="F163" s="152">
        <f t="shared" si="30"/>
        <v>0</v>
      </c>
      <c r="G163" s="152">
        <f t="shared" si="30"/>
        <v>0</v>
      </c>
      <c r="H163" s="152">
        <f t="shared" si="30"/>
        <v>0</v>
      </c>
      <c r="I163" s="152">
        <f t="shared" si="30"/>
        <v>0</v>
      </c>
      <c r="J163" s="152">
        <f t="shared" si="30"/>
        <v>0</v>
      </c>
      <c r="K163" s="152">
        <f t="shared" si="30"/>
        <v>0</v>
      </c>
      <c r="L163" s="152">
        <f t="shared" si="30"/>
        <v>0</v>
      </c>
      <c r="M163" s="152">
        <f t="shared" si="30"/>
        <v>0</v>
      </c>
      <c r="N163" s="152">
        <f t="shared" si="30"/>
        <v>0</v>
      </c>
      <c r="O163" s="152">
        <f t="shared" si="30"/>
        <v>0</v>
      </c>
      <c r="P163" s="152">
        <f t="shared" si="30"/>
        <v>0</v>
      </c>
      <c r="Q163" s="152">
        <f t="shared" si="30"/>
        <v>0</v>
      </c>
      <c r="R163" s="157">
        <f t="shared" ref="R163:R234" si="31">SUM(D163:Q163)</f>
        <v>0</v>
      </c>
      <c r="S163" s="152"/>
      <c r="T163" s="152">
        <f t="shared" si="30"/>
        <v>0</v>
      </c>
      <c r="U163" s="152">
        <f t="shared" si="30"/>
        <v>0</v>
      </c>
      <c r="V163" s="158">
        <f t="shared" si="30"/>
        <v>0</v>
      </c>
      <c r="W163" s="152">
        <f t="shared" si="30"/>
        <v>0</v>
      </c>
      <c r="X163" s="158">
        <f t="shared" ref="X163:X234" si="32">SUM(T163:W163)</f>
        <v>0</v>
      </c>
      <c r="Y163" s="504">
        <f t="shared" ref="Y163:Y234" si="33">R163+X163</f>
        <v>0</v>
      </c>
    </row>
    <row r="164" spans="1:26" ht="9.9499999999999993" hidden="1" customHeight="1" x14ac:dyDescent="0.2">
      <c r="A164" s="79"/>
      <c r="B164" s="120"/>
      <c r="C164" s="40"/>
      <c r="D164" s="152"/>
      <c r="E164" s="157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7"/>
      <c r="S164" s="152"/>
      <c r="T164" s="152"/>
      <c r="U164" s="152"/>
      <c r="V164" s="158"/>
      <c r="W164" s="152"/>
      <c r="X164" s="158"/>
      <c r="Y164" s="504"/>
    </row>
    <row r="165" spans="1:26" ht="24" hidden="1" customHeight="1" thickBot="1" x14ac:dyDescent="0.25">
      <c r="A165" s="79"/>
      <c r="B165" s="86"/>
      <c r="C165" s="40"/>
      <c r="D165" s="152"/>
      <c r="E165" s="157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7"/>
      <c r="S165" s="152"/>
      <c r="T165" s="152"/>
      <c r="U165" s="152"/>
      <c r="V165" s="158"/>
      <c r="W165" s="152"/>
      <c r="X165" s="158"/>
      <c r="Y165" s="504"/>
    </row>
    <row r="166" spans="1:26" ht="30" hidden="1" customHeight="1" thickTop="1" thickBot="1" x14ac:dyDescent="0.25">
      <c r="A166" s="41"/>
      <c r="B166" s="253" t="s">
        <v>156</v>
      </c>
      <c r="C166" s="43" t="s">
        <v>66</v>
      </c>
      <c r="D166" s="159">
        <f t="shared" ref="D166:Q166" si="34">D154+D163</f>
        <v>0</v>
      </c>
      <c r="E166" s="482">
        <f t="shared" si="34"/>
        <v>0</v>
      </c>
      <c r="F166" s="159">
        <f t="shared" si="34"/>
        <v>0</v>
      </c>
      <c r="G166" s="159">
        <f t="shared" si="34"/>
        <v>0</v>
      </c>
      <c r="H166" s="159">
        <f t="shared" si="34"/>
        <v>0</v>
      </c>
      <c r="I166" s="159">
        <f t="shared" si="34"/>
        <v>0</v>
      </c>
      <c r="J166" s="159">
        <f t="shared" si="34"/>
        <v>0</v>
      </c>
      <c r="K166" s="159">
        <f t="shared" si="34"/>
        <v>0</v>
      </c>
      <c r="L166" s="159">
        <f t="shared" si="34"/>
        <v>0</v>
      </c>
      <c r="M166" s="159">
        <f t="shared" si="34"/>
        <v>0</v>
      </c>
      <c r="N166" s="159">
        <f t="shared" si="34"/>
        <v>0</v>
      </c>
      <c r="O166" s="159">
        <f t="shared" si="34"/>
        <v>0</v>
      </c>
      <c r="P166" s="159">
        <f t="shared" si="34"/>
        <v>0</v>
      </c>
      <c r="Q166" s="159">
        <f t="shared" si="34"/>
        <v>0</v>
      </c>
      <c r="R166" s="482">
        <f t="shared" si="31"/>
        <v>0</v>
      </c>
      <c r="S166" s="159"/>
      <c r="T166" s="159">
        <f>T154+T163</f>
        <v>0</v>
      </c>
      <c r="U166" s="159">
        <f>U154+U163</f>
        <v>0</v>
      </c>
      <c r="V166" s="162">
        <f>V154+V163</f>
        <v>0</v>
      </c>
      <c r="W166" s="159">
        <f>W154+W163</f>
        <v>0</v>
      </c>
      <c r="X166" s="162">
        <f t="shared" si="32"/>
        <v>0</v>
      </c>
      <c r="Y166" s="505">
        <f t="shared" si="33"/>
        <v>0</v>
      </c>
    </row>
    <row r="167" spans="1:26" ht="30" hidden="1" customHeight="1" thickTop="1" thickBot="1" x14ac:dyDescent="0.25">
      <c r="A167" s="41"/>
      <c r="B167" s="544" t="s">
        <v>155</v>
      </c>
      <c r="C167" s="43" t="s">
        <v>124</v>
      </c>
      <c r="D167" s="513">
        <f t="shared" ref="D167:Q167" si="35">D146+D166</f>
        <v>2298596.8879999998</v>
      </c>
      <c r="E167" s="541">
        <f t="shared" si="35"/>
        <v>531177.27600000007</v>
      </c>
      <c r="F167" s="513">
        <f t="shared" si="35"/>
        <v>749769.53899999999</v>
      </c>
      <c r="G167" s="513">
        <f t="shared" si="35"/>
        <v>185</v>
      </c>
      <c r="H167" s="513">
        <f t="shared" si="35"/>
        <v>0</v>
      </c>
      <c r="I167" s="513">
        <f t="shared" si="35"/>
        <v>129.88300000000001</v>
      </c>
      <c r="J167" s="513">
        <f t="shared" si="35"/>
        <v>277.09300000000002</v>
      </c>
      <c r="K167" s="513">
        <f t="shared" si="35"/>
        <v>0</v>
      </c>
      <c r="L167" s="513">
        <f t="shared" si="35"/>
        <v>287323</v>
      </c>
      <c r="M167" s="513">
        <f t="shared" si="35"/>
        <v>7400</v>
      </c>
      <c r="N167" s="513">
        <f t="shared" si="35"/>
        <v>0</v>
      </c>
      <c r="O167" s="513">
        <f t="shared" si="35"/>
        <v>6000</v>
      </c>
      <c r="P167" s="513">
        <f t="shared" si="35"/>
        <v>0</v>
      </c>
      <c r="Q167" s="513">
        <f t="shared" si="35"/>
        <v>0</v>
      </c>
      <c r="R167" s="541">
        <f t="shared" si="31"/>
        <v>3880858.6789999995</v>
      </c>
      <c r="S167" s="513"/>
      <c r="T167" s="513">
        <f>T146+T166</f>
        <v>0</v>
      </c>
      <c r="U167" s="513">
        <f>U146+U166</f>
        <v>0</v>
      </c>
      <c r="V167" s="513">
        <f>V146+V166</f>
        <v>0</v>
      </c>
      <c r="W167" s="542">
        <f>W146+W166</f>
        <v>0</v>
      </c>
      <c r="X167" s="513">
        <f t="shared" si="32"/>
        <v>0</v>
      </c>
      <c r="Y167" s="540">
        <f t="shared" si="33"/>
        <v>3880858.6789999995</v>
      </c>
      <c r="Z167" s="127">
        <f>Y167-W167</f>
        <v>3880858.6789999995</v>
      </c>
    </row>
    <row r="168" spans="1:26" ht="24.95" hidden="1" customHeight="1" x14ac:dyDescent="0.25">
      <c r="A168" s="543"/>
      <c r="B168" s="478"/>
      <c r="C168" s="129" t="s">
        <v>18</v>
      </c>
      <c r="D168" s="216">
        <f t="shared" ref="D168:W168" si="36">D167</f>
        <v>2298596.8879999998</v>
      </c>
      <c r="E168" s="494">
        <f t="shared" si="36"/>
        <v>531177.27600000007</v>
      </c>
      <c r="F168" s="216">
        <f t="shared" si="36"/>
        <v>749769.53899999999</v>
      </c>
      <c r="G168" s="216">
        <f t="shared" si="36"/>
        <v>185</v>
      </c>
      <c r="H168" s="216">
        <f t="shared" si="36"/>
        <v>0</v>
      </c>
      <c r="I168" s="216">
        <f t="shared" si="36"/>
        <v>129.88300000000001</v>
      </c>
      <c r="J168" s="216">
        <f t="shared" si="36"/>
        <v>277.09300000000002</v>
      </c>
      <c r="K168" s="216">
        <f t="shared" si="36"/>
        <v>0</v>
      </c>
      <c r="L168" s="216">
        <f t="shared" si="36"/>
        <v>287323</v>
      </c>
      <c r="M168" s="216">
        <f t="shared" si="36"/>
        <v>7400</v>
      </c>
      <c r="N168" s="216">
        <f t="shared" si="36"/>
        <v>0</v>
      </c>
      <c r="O168" s="216">
        <f t="shared" si="36"/>
        <v>6000</v>
      </c>
      <c r="P168" s="216">
        <f t="shared" si="36"/>
        <v>0</v>
      </c>
      <c r="Q168" s="216">
        <f t="shared" si="36"/>
        <v>0</v>
      </c>
      <c r="R168" s="494">
        <f t="shared" si="31"/>
        <v>3880858.6789999995</v>
      </c>
      <c r="S168" s="216"/>
      <c r="T168" s="216">
        <f>T167</f>
        <v>0</v>
      </c>
      <c r="U168" s="216">
        <f>U167</f>
        <v>0</v>
      </c>
      <c r="V168" s="254">
        <f t="shared" si="36"/>
        <v>0</v>
      </c>
      <c r="W168" s="216">
        <f t="shared" si="36"/>
        <v>0</v>
      </c>
      <c r="X168" s="254">
        <f t="shared" si="32"/>
        <v>0</v>
      </c>
      <c r="Y168" s="503">
        <f t="shared" si="33"/>
        <v>3880858.6789999995</v>
      </c>
      <c r="Z168" s="127"/>
    </row>
    <row r="169" spans="1:26" ht="33.75" hidden="1" customHeight="1" x14ac:dyDescent="0.25">
      <c r="A169" s="549"/>
      <c r="B169" s="178"/>
      <c r="C169" s="550"/>
      <c r="D169" s="551"/>
      <c r="E169" s="552"/>
      <c r="F169" s="551"/>
      <c r="G169" s="551"/>
      <c r="H169" s="551"/>
      <c r="I169" s="551"/>
      <c r="J169" s="551"/>
      <c r="K169" s="551"/>
      <c r="L169" s="551"/>
      <c r="M169" s="551"/>
      <c r="N169" s="551"/>
      <c r="O169" s="551"/>
      <c r="P169" s="551"/>
      <c r="Q169" s="551"/>
      <c r="R169" s="552"/>
      <c r="S169" s="551"/>
      <c r="T169" s="551"/>
      <c r="U169" s="551"/>
      <c r="V169" s="553"/>
      <c r="W169" s="551"/>
      <c r="X169" s="553"/>
      <c r="Y169" s="554"/>
      <c r="Z169" s="127"/>
    </row>
    <row r="170" spans="1:26" ht="33.75" hidden="1" customHeight="1" x14ac:dyDescent="0.2">
      <c r="A170" s="220">
        <v>1</v>
      </c>
      <c r="B170" s="547" t="s">
        <v>478</v>
      </c>
      <c r="C170" s="28" t="s">
        <v>477</v>
      </c>
      <c r="D170" s="157"/>
      <c r="E170" s="157"/>
      <c r="F170" s="152"/>
      <c r="G170" s="152"/>
      <c r="H170" s="152"/>
      <c r="I170" s="152"/>
      <c r="J170" s="152"/>
      <c r="K170" s="152"/>
      <c r="L170" s="152">
        <f>500+135</f>
        <v>635</v>
      </c>
      <c r="M170" s="152"/>
      <c r="N170" s="152"/>
      <c r="O170" s="152"/>
      <c r="P170" s="152"/>
      <c r="Q170" s="152"/>
      <c r="R170" s="157">
        <f t="shared" si="31"/>
        <v>635</v>
      </c>
      <c r="S170" s="152"/>
      <c r="T170" s="152"/>
      <c r="U170" s="152"/>
      <c r="V170" s="158"/>
      <c r="W170" s="152"/>
      <c r="X170" s="158">
        <f t="shared" si="32"/>
        <v>0</v>
      </c>
      <c r="Y170" s="504">
        <f t="shared" si="33"/>
        <v>635</v>
      </c>
      <c r="Z170" s="127"/>
    </row>
    <row r="171" spans="1:26" ht="33.75" hidden="1" customHeight="1" x14ac:dyDescent="0.2">
      <c r="A171" s="220">
        <v>2</v>
      </c>
      <c r="B171" s="546" t="s">
        <v>491</v>
      </c>
      <c r="C171" s="28" t="s">
        <v>490</v>
      </c>
      <c r="D171" s="157"/>
      <c r="E171" s="157"/>
      <c r="F171" s="152"/>
      <c r="G171" s="152"/>
      <c r="H171" s="152"/>
      <c r="I171" s="152"/>
      <c r="J171" s="152"/>
      <c r="K171" s="152"/>
      <c r="L171" s="152">
        <f>14700+3969</f>
        <v>18669</v>
      </c>
      <c r="M171" s="152"/>
      <c r="N171" s="152"/>
      <c r="O171" s="152"/>
      <c r="P171" s="152"/>
      <c r="Q171" s="152"/>
      <c r="R171" s="157">
        <f t="shared" si="31"/>
        <v>18669</v>
      </c>
      <c r="S171" s="152"/>
      <c r="T171" s="152"/>
      <c r="U171" s="152"/>
      <c r="V171" s="158"/>
      <c r="W171" s="152"/>
      <c r="X171" s="158">
        <f t="shared" si="32"/>
        <v>0</v>
      </c>
      <c r="Y171" s="504">
        <f t="shared" si="33"/>
        <v>18669</v>
      </c>
      <c r="Z171" s="127"/>
    </row>
    <row r="172" spans="1:26" ht="33.75" hidden="1" customHeight="1" x14ac:dyDescent="0.2">
      <c r="A172" s="220">
        <v>3</v>
      </c>
      <c r="B172" s="663" t="s">
        <v>537</v>
      </c>
      <c r="C172" s="28" t="s">
        <v>538</v>
      </c>
      <c r="D172" s="157">
        <v>154.80000000000001</v>
      </c>
      <c r="E172" s="157">
        <v>30.186</v>
      </c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7">
        <f t="shared" si="31"/>
        <v>184.98600000000002</v>
      </c>
      <c r="S172" s="152"/>
      <c r="T172" s="152"/>
      <c r="U172" s="152"/>
      <c r="V172" s="158"/>
      <c r="W172" s="152"/>
      <c r="X172" s="158">
        <f t="shared" si="32"/>
        <v>0</v>
      </c>
      <c r="Y172" s="504">
        <f t="shared" si="33"/>
        <v>184.98600000000002</v>
      </c>
      <c r="Z172" s="127"/>
    </row>
    <row r="173" spans="1:26" ht="33.75" hidden="1" customHeight="1" x14ac:dyDescent="0.2">
      <c r="A173" s="220"/>
      <c r="B173" s="225"/>
      <c r="C173" s="33"/>
      <c r="D173" s="152"/>
      <c r="E173" s="157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7">
        <f t="shared" si="31"/>
        <v>0</v>
      </c>
      <c r="S173" s="152"/>
      <c r="T173" s="152"/>
      <c r="U173" s="152"/>
      <c r="V173" s="158"/>
      <c r="W173" s="152"/>
      <c r="X173" s="158">
        <f t="shared" si="32"/>
        <v>0</v>
      </c>
      <c r="Y173" s="504">
        <f t="shared" si="33"/>
        <v>0</v>
      </c>
      <c r="Z173" s="127"/>
    </row>
    <row r="174" spans="1:26" ht="33.75" hidden="1" customHeight="1" x14ac:dyDescent="0.2">
      <c r="A174" s="79"/>
      <c r="B174" s="30"/>
      <c r="C174" s="28"/>
      <c r="D174" s="152"/>
      <c r="E174" s="157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7">
        <f t="shared" si="31"/>
        <v>0</v>
      </c>
      <c r="S174" s="152"/>
      <c r="T174" s="152"/>
      <c r="U174" s="152"/>
      <c r="V174" s="158"/>
      <c r="W174" s="152"/>
      <c r="X174" s="158">
        <f t="shared" si="32"/>
        <v>0</v>
      </c>
      <c r="Y174" s="504">
        <f t="shared" si="33"/>
        <v>0</v>
      </c>
      <c r="Z174" s="127"/>
    </row>
    <row r="175" spans="1:26" ht="33.75" hidden="1" customHeight="1" x14ac:dyDescent="0.2">
      <c r="A175" s="79"/>
      <c r="B175" s="30"/>
      <c r="C175" s="28"/>
      <c r="D175" s="152"/>
      <c r="E175" s="157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7"/>
      <c r="S175" s="152"/>
      <c r="T175" s="152"/>
      <c r="U175" s="152"/>
      <c r="V175" s="158"/>
      <c r="W175" s="152"/>
      <c r="X175" s="158"/>
      <c r="Y175" s="504"/>
      <c r="Z175" s="127"/>
    </row>
    <row r="176" spans="1:26" ht="24" hidden="1" customHeight="1" x14ac:dyDescent="0.2">
      <c r="A176" s="205" t="s">
        <v>64</v>
      </c>
      <c r="B176" s="201"/>
      <c r="C176" s="206" t="s">
        <v>62</v>
      </c>
      <c r="D176" s="152">
        <f t="shared" ref="D176:W176" si="37">SUM(D170:D175)</f>
        <v>154.80000000000001</v>
      </c>
      <c r="E176" s="157">
        <f t="shared" si="37"/>
        <v>30.186</v>
      </c>
      <c r="F176" s="152">
        <f t="shared" si="37"/>
        <v>0</v>
      </c>
      <c r="G176" s="152">
        <f t="shared" si="37"/>
        <v>0</v>
      </c>
      <c r="H176" s="152">
        <f t="shared" si="37"/>
        <v>0</v>
      </c>
      <c r="I176" s="152">
        <f t="shared" si="37"/>
        <v>0</v>
      </c>
      <c r="J176" s="152">
        <f t="shared" si="37"/>
        <v>0</v>
      </c>
      <c r="K176" s="152">
        <f t="shared" si="37"/>
        <v>0</v>
      </c>
      <c r="L176" s="152">
        <f t="shared" si="37"/>
        <v>19304</v>
      </c>
      <c r="M176" s="152">
        <f t="shared" si="37"/>
        <v>0</v>
      </c>
      <c r="N176" s="152">
        <f t="shared" si="37"/>
        <v>0</v>
      </c>
      <c r="O176" s="152">
        <f t="shared" si="37"/>
        <v>0</v>
      </c>
      <c r="P176" s="152">
        <f t="shared" si="37"/>
        <v>0</v>
      </c>
      <c r="Q176" s="152">
        <f t="shared" si="37"/>
        <v>0</v>
      </c>
      <c r="R176" s="157">
        <f t="shared" si="31"/>
        <v>19488.986000000001</v>
      </c>
      <c r="S176" s="152"/>
      <c r="T176" s="152">
        <f t="shared" si="37"/>
        <v>0</v>
      </c>
      <c r="U176" s="152">
        <f t="shared" si="37"/>
        <v>0</v>
      </c>
      <c r="V176" s="158">
        <f t="shared" si="37"/>
        <v>0</v>
      </c>
      <c r="W176" s="152">
        <f t="shared" si="37"/>
        <v>0</v>
      </c>
      <c r="X176" s="158">
        <f t="shared" si="32"/>
        <v>0</v>
      </c>
      <c r="Y176" s="504">
        <f t="shared" si="33"/>
        <v>19488.986000000001</v>
      </c>
      <c r="Z176" s="127"/>
    </row>
    <row r="177" spans="1:26" ht="33.75" hidden="1" customHeight="1" x14ac:dyDescent="0.2">
      <c r="A177" s="79"/>
      <c r="B177" s="44"/>
      <c r="C177" s="28"/>
      <c r="D177" s="152"/>
      <c r="E177" s="157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7"/>
      <c r="S177" s="152"/>
      <c r="T177" s="152"/>
      <c r="U177" s="152"/>
      <c r="V177" s="158"/>
      <c r="W177" s="152"/>
      <c r="X177" s="158"/>
      <c r="Y177" s="504"/>
      <c r="Z177" s="127"/>
    </row>
    <row r="178" spans="1:26" ht="33.75" hidden="1" customHeight="1" x14ac:dyDescent="0.2">
      <c r="A178" s="220" t="s">
        <v>89</v>
      </c>
      <c r="B178" s="222"/>
      <c r="C178" s="40"/>
      <c r="D178" s="152"/>
      <c r="E178" s="157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7">
        <f t="shared" si="31"/>
        <v>0</v>
      </c>
      <c r="S178" s="152"/>
      <c r="T178" s="152"/>
      <c r="U178" s="152"/>
      <c r="V178" s="158"/>
      <c r="W178" s="152"/>
      <c r="X178" s="158">
        <f t="shared" si="32"/>
        <v>0</v>
      </c>
      <c r="Y178" s="504">
        <f t="shared" si="33"/>
        <v>0</v>
      </c>
      <c r="Z178" s="127"/>
    </row>
    <row r="179" spans="1:26" ht="33.75" hidden="1" customHeight="1" x14ac:dyDescent="0.2">
      <c r="A179" s="220" t="s">
        <v>89</v>
      </c>
      <c r="B179" s="222"/>
      <c r="C179" s="40"/>
      <c r="D179" s="152"/>
      <c r="E179" s="157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7">
        <f t="shared" si="31"/>
        <v>0</v>
      </c>
      <c r="S179" s="152"/>
      <c r="T179" s="152"/>
      <c r="U179" s="152"/>
      <c r="V179" s="158"/>
      <c r="W179" s="152"/>
      <c r="X179" s="158">
        <f t="shared" si="32"/>
        <v>0</v>
      </c>
      <c r="Y179" s="504">
        <f t="shared" si="33"/>
        <v>0</v>
      </c>
      <c r="Z179" s="127"/>
    </row>
    <row r="180" spans="1:26" ht="33.75" hidden="1" customHeight="1" x14ac:dyDescent="0.2">
      <c r="A180" s="79" t="s">
        <v>89</v>
      </c>
      <c r="B180" s="32"/>
      <c r="C180" s="34"/>
      <c r="D180" s="152"/>
      <c r="E180" s="157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7">
        <f t="shared" si="31"/>
        <v>0</v>
      </c>
      <c r="S180" s="152"/>
      <c r="T180" s="152"/>
      <c r="U180" s="152"/>
      <c r="V180" s="158"/>
      <c r="W180" s="152"/>
      <c r="X180" s="158">
        <f t="shared" si="32"/>
        <v>0</v>
      </c>
      <c r="Y180" s="504">
        <f t="shared" si="33"/>
        <v>0</v>
      </c>
      <c r="Z180" s="127"/>
    </row>
    <row r="181" spans="1:26" ht="33.75" hidden="1" customHeight="1" x14ac:dyDescent="0.2">
      <c r="A181" s="79" t="s">
        <v>89</v>
      </c>
      <c r="B181" s="281"/>
      <c r="C181" s="34"/>
      <c r="D181" s="152"/>
      <c r="E181" s="157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7">
        <f t="shared" si="31"/>
        <v>0</v>
      </c>
      <c r="S181" s="152"/>
      <c r="T181" s="152"/>
      <c r="U181" s="152"/>
      <c r="V181" s="158"/>
      <c r="W181" s="152"/>
      <c r="X181" s="158">
        <f t="shared" si="32"/>
        <v>0</v>
      </c>
      <c r="Y181" s="504">
        <f t="shared" si="33"/>
        <v>0</v>
      </c>
      <c r="Z181" s="127"/>
    </row>
    <row r="182" spans="1:26" ht="33.75" hidden="1" customHeight="1" x14ac:dyDescent="0.2">
      <c r="A182" s="79" t="s">
        <v>162</v>
      </c>
      <c r="B182" s="272"/>
      <c r="C182" s="34"/>
      <c r="D182" s="152"/>
      <c r="E182" s="157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7">
        <f t="shared" si="31"/>
        <v>0</v>
      </c>
      <c r="S182" s="152"/>
      <c r="T182" s="152"/>
      <c r="U182" s="152"/>
      <c r="V182" s="158"/>
      <c r="W182" s="152"/>
      <c r="X182" s="158">
        <f t="shared" si="32"/>
        <v>0</v>
      </c>
      <c r="Y182" s="504">
        <f t="shared" si="33"/>
        <v>0</v>
      </c>
      <c r="Z182" s="127"/>
    </row>
    <row r="183" spans="1:26" ht="33.75" hidden="1" customHeight="1" x14ac:dyDescent="0.2">
      <c r="A183" s="79" t="s">
        <v>162</v>
      </c>
      <c r="B183" s="281"/>
      <c r="C183" s="34"/>
      <c r="D183" s="152"/>
      <c r="E183" s="157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7">
        <f t="shared" si="31"/>
        <v>0</v>
      </c>
      <c r="S183" s="152"/>
      <c r="T183" s="152"/>
      <c r="U183" s="152"/>
      <c r="V183" s="158"/>
      <c r="W183" s="152"/>
      <c r="X183" s="158">
        <f t="shared" si="32"/>
        <v>0</v>
      </c>
      <c r="Y183" s="504">
        <f t="shared" si="33"/>
        <v>0</v>
      </c>
      <c r="Z183" s="127"/>
    </row>
    <row r="184" spans="1:26" ht="33.75" hidden="1" customHeight="1" x14ac:dyDescent="0.2">
      <c r="A184" s="79" t="s">
        <v>162</v>
      </c>
      <c r="B184" s="281"/>
      <c r="C184" s="34"/>
      <c r="D184" s="152"/>
      <c r="E184" s="157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7">
        <f t="shared" si="31"/>
        <v>0</v>
      </c>
      <c r="S184" s="152"/>
      <c r="T184" s="152"/>
      <c r="U184" s="152"/>
      <c r="V184" s="158"/>
      <c r="W184" s="152"/>
      <c r="X184" s="158">
        <f t="shared" si="32"/>
        <v>0</v>
      </c>
      <c r="Y184" s="504">
        <f t="shared" si="33"/>
        <v>0</v>
      </c>
      <c r="Z184" s="127"/>
    </row>
    <row r="185" spans="1:26" ht="33.75" hidden="1" customHeight="1" x14ac:dyDescent="0.2">
      <c r="A185" s="79"/>
      <c r="B185" s="120"/>
      <c r="C185" s="40"/>
      <c r="D185" s="152"/>
      <c r="E185" s="157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7"/>
      <c r="S185" s="152"/>
      <c r="T185" s="152"/>
      <c r="U185" s="152"/>
      <c r="V185" s="158"/>
      <c r="W185" s="152"/>
      <c r="X185" s="158"/>
      <c r="Y185" s="504"/>
      <c r="Z185" s="127"/>
    </row>
    <row r="186" spans="1:26" ht="24" hidden="1" customHeight="1" x14ac:dyDescent="0.2">
      <c r="A186" s="205" t="s">
        <v>65</v>
      </c>
      <c r="B186" s="201"/>
      <c r="C186" s="206" t="s">
        <v>63</v>
      </c>
      <c r="D186" s="152">
        <f t="shared" ref="D186:W186" si="38">SUM(D178:D185)</f>
        <v>0</v>
      </c>
      <c r="E186" s="157">
        <f t="shared" si="38"/>
        <v>0</v>
      </c>
      <c r="F186" s="152">
        <f t="shared" si="38"/>
        <v>0</v>
      </c>
      <c r="G186" s="152">
        <f t="shared" si="38"/>
        <v>0</v>
      </c>
      <c r="H186" s="152">
        <f t="shared" si="38"/>
        <v>0</v>
      </c>
      <c r="I186" s="152">
        <f t="shared" si="38"/>
        <v>0</v>
      </c>
      <c r="J186" s="152">
        <f t="shared" si="38"/>
        <v>0</v>
      </c>
      <c r="K186" s="152">
        <f t="shared" si="38"/>
        <v>0</v>
      </c>
      <c r="L186" s="152">
        <f t="shared" si="38"/>
        <v>0</v>
      </c>
      <c r="M186" s="152">
        <f t="shared" si="38"/>
        <v>0</v>
      </c>
      <c r="N186" s="152">
        <f t="shared" si="38"/>
        <v>0</v>
      </c>
      <c r="O186" s="152">
        <f t="shared" si="38"/>
        <v>0</v>
      </c>
      <c r="P186" s="152">
        <f t="shared" si="38"/>
        <v>0</v>
      </c>
      <c r="Q186" s="152">
        <f t="shared" si="38"/>
        <v>0</v>
      </c>
      <c r="R186" s="157">
        <f t="shared" si="31"/>
        <v>0</v>
      </c>
      <c r="S186" s="152"/>
      <c r="T186" s="152">
        <f t="shared" si="38"/>
        <v>0</v>
      </c>
      <c r="U186" s="152">
        <f t="shared" si="38"/>
        <v>0</v>
      </c>
      <c r="V186" s="158">
        <f t="shared" si="38"/>
        <v>0</v>
      </c>
      <c r="W186" s="152">
        <f t="shared" si="38"/>
        <v>0</v>
      </c>
      <c r="X186" s="158">
        <f t="shared" si="32"/>
        <v>0</v>
      </c>
      <c r="Y186" s="504">
        <f t="shared" si="33"/>
        <v>0</v>
      </c>
      <c r="Z186" s="127"/>
    </row>
    <row r="187" spans="1:26" ht="24" hidden="1" customHeight="1" x14ac:dyDescent="0.2">
      <c r="A187" s="79"/>
      <c r="B187" s="120"/>
      <c r="C187" s="40"/>
      <c r="D187" s="152"/>
      <c r="E187" s="157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7"/>
      <c r="S187" s="152"/>
      <c r="T187" s="152"/>
      <c r="U187" s="152"/>
      <c r="V187" s="158"/>
      <c r="W187" s="152"/>
      <c r="X187" s="158"/>
      <c r="Y187" s="504"/>
      <c r="Z187" s="127"/>
    </row>
    <row r="188" spans="1:26" ht="24" hidden="1" customHeight="1" thickBot="1" x14ac:dyDescent="0.25">
      <c r="A188" s="79"/>
      <c r="B188" s="86"/>
      <c r="C188" s="40"/>
      <c r="D188" s="152"/>
      <c r="E188" s="157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7"/>
      <c r="S188" s="152"/>
      <c r="T188" s="152"/>
      <c r="U188" s="152"/>
      <c r="V188" s="158"/>
      <c r="W188" s="152"/>
      <c r="X188" s="158"/>
      <c r="Y188" s="504"/>
      <c r="Z188" s="127"/>
    </row>
    <row r="189" spans="1:26" ht="33.75" hidden="1" customHeight="1" thickTop="1" thickBot="1" x14ac:dyDescent="0.25">
      <c r="A189" s="41"/>
      <c r="B189" s="253"/>
      <c r="C189" s="43" t="s">
        <v>66</v>
      </c>
      <c r="D189" s="159">
        <f t="shared" ref="D189:W189" si="39">D176+D186</f>
        <v>154.80000000000001</v>
      </c>
      <c r="E189" s="482">
        <f t="shared" si="39"/>
        <v>30.186</v>
      </c>
      <c r="F189" s="159">
        <f t="shared" si="39"/>
        <v>0</v>
      </c>
      <c r="G189" s="159">
        <f t="shared" si="39"/>
        <v>0</v>
      </c>
      <c r="H189" s="159">
        <f t="shared" si="39"/>
        <v>0</v>
      </c>
      <c r="I189" s="159">
        <f t="shared" si="39"/>
        <v>0</v>
      </c>
      <c r="J189" s="159">
        <f t="shared" si="39"/>
        <v>0</v>
      </c>
      <c r="K189" s="159">
        <f t="shared" si="39"/>
        <v>0</v>
      </c>
      <c r="L189" s="159">
        <f t="shared" si="39"/>
        <v>19304</v>
      </c>
      <c r="M189" s="159">
        <f t="shared" si="39"/>
        <v>0</v>
      </c>
      <c r="N189" s="159">
        <f t="shared" si="39"/>
        <v>0</v>
      </c>
      <c r="O189" s="159">
        <f t="shared" si="39"/>
        <v>0</v>
      </c>
      <c r="P189" s="159">
        <f t="shared" si="39"/>
        <v>0</v>
      </c>
      <c r="Q189" s="159">
        <f t="shared" si="39"/>
        <v>0</v>
      </c>
      <c r="R189" s="482">
        <f t="shared" si="31"/>
        <v>19488.986000000001</v>
      </c>
      <c r="S189" s="159"/>
      <c r="T189" s="159">
        <f>T176+T186</f>
        <v>0</v>
      </c>
      <c r="U189" s="159">
        <f>U176+U186</f>
        <v>0</v>
      </c>
      <c r="V189" s="162">
        <f t="shared" si="39"/>
        <v>0</v>
      </c>
      <c r="W189" s="159">
        <f t="shared" si="39"/>
        <v>0</v>
      </c>
      <c r="X189" s="162">
        <f t="shared" si="32"/>
        <v>0</v>
      </c>
      <c r="Y189" s="505">
        <f t="shared" si="33"/>
        <v>19488.986000000001</v>
      </c>
      <c r="Z189" s="127"/>
    </row>
    <row r="190" spans="1:26" ht="33.75" hidden="1" customHeight="1" thickTop="1" thickBot="1" x14ac:dyDescent="0.25">
      <c r="A190" s="41"/>
      <c r="B190" s="42" t="s">
        <v>151</v>
      </c>
      <c r="C190" s="43" t="s">
        <v>124</v>
      </c>
      <c r="D190" s="199">
        <f t="shared" ref="D190:W190" si="40">D168+D189</f>
        <v>2298751.6879999996</v>
      </c>
      <c r="E190" s="199">
        <f t="shared" si="40"/>
        <v>531207.46200000006</v>
      </c>
      <c r="F190" s="199">
        <f t="shared" si="40"/>
        <v>749769.53899999999</v>
      </c>
      <c r="G190" s="199">
        <f t="shared" si="40"/>
        <v>185</v>
      </c>
      <c r="H190" s="199">
        <f t="shared" si="40"/>
        <v>0</v>
      </c>
      <c r="I190" s="199">
        <f t="shared" si="40"/>
        <v>129.88300000000001</v>
      </c>
      <c r="J190" s="199">
        <f t="shared" si="40"/>
        <v>277.09300000000002</v>
      </c>
      <c r="K190" s="199">
        <f t="shared" si="40"/>
        <v>0</v>
      </c>
      <c r="L190" s="199">
        <f t="shared" si="40"/>
        <v>306627</v>
      </c>
      <c r="M190" s="199">
        <f t="shared" si="40"/>
        <v>7400</v>
      </c>
      <c r="N190" s="199">
        <f t="shared" si="40"/>
        <v>0</v>
      </c>
      <c r="O190" s="199">
        <f t="shared" si="40"/>
        <v>6000</v>
      </c>
      <c r="P190" s="199">
        <f t="shared" si="40"/>
        <v>0</v>
      </c>
      <c r="Q190" s="199">
        <f t="shared" si="40"/>
        <v>0</v>
      </c>
      <c r="R190" s="199">
        <f t="shared" si="31"/>
        <v>3900347.6649999991</v>
      </c>
      <c r="S190" s="159"/>
      <c r="T190" s="159">
        <f>T168+T189</f>
        <v>0</v>
      </c>
      <c r="U190" s="159">
        <f>U168+U189</f>
        <v>0</v>
      </c>
      <c r="V190" s="162">
        <f t="shared" si="40"/>
        <v>0</v>
      </c>
      <c r="W190" s="159">
        <f t="shared" si="40"/>
        <v>0</v>
      </c>
      <c r="X190" s="162">
        <f t="shared" si="32"/>
        <v>0</v>
      </c>
      <c r="Y190" s="540">
        <f t="shared" si="33"/>
        <v>3900347.6649999991</v>
      </c>
      <c r="Z190" s="127"/>
    </row>
    <row r="191" spans="1:26" ht="24" hidden="1" customHeight="1" thickTop="1" x14ac:dyDescent="0.2">
      <c r="A191" s="202"/>
      <c r="B191" s="217"/>
      <c r="C191" s="218"/>
      <c r="D191" s="311"/>
      <c r="E191" s="495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495">
        <f t="shared" si="31"/>
        <v>0</v>
      </c>
      <c r="S191" s="311"/>
      <c r="T191" s="311"/>
      <c r="U191" s="311"/>
      <c r="V191" s="312"/>
      <c r="W191" s="311"/>
      <c r="X191" s="312">
        <f t="shared" si="32"/>
        <v>0</v>
      </c>
      <c r="Y191" s="506">
        <f t="shared" si="33"/>
        <v>0</v>
      </c>
      <c r="Z191" s="127"/>
    </row>
    <row r="192" spans="1:26" ht="24" hidden="1" customHeight="1" x14ac:dyDescent="0.2">
      <c r="A192" s="202"/>
      <c r="B192" s="217"/>
      <c r="C192" s="218"/>
      <c r="D192" s="311"/>
      <c r="E192" s="495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495">
        <f t="shared" si="31"/>
        <v>0</v>
      </c>
      <c r="S192" s="311"/>
      <c r="T192" s="311"/>
      <c r="U192" s="311"/>
      <c r="V192" s="312"/>
      <c r="W192" s="311"/>
      <c r="X192" s="312">
        <f t="shared" si="32"/>
        <v>0</v>
      </c>
      <c r="Y192" s="506">
        <f t="shared" si="33"/>
        <v>0</v>
      </c>
      <c r="Z192" s="127"/>
    </row>
    <row r="193" spans="1:26" ht="24" hidden="1" customHeight="1" x14ac:dyDescent="0.2">
      <c r="A193" s="26"/>
      <c r="B193" s="73" t="s">
        <v>308</v>
      </c>
      <c r="C193" s="38" t="s">
        <v>21</v>
      </c>
      <c r="D193" s="163"/>
      <c r="E193" s="496"/>
      <c r="F193" s="163">
        <v>19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496">
        <f t="shared" si="31"/>
        <v>19</v>
      </c>
      <c r="S193" s="163"/>
      <c r="T193" s="163"/>
      <c r="U193" s="163"/>
      <c r="V193" s="164"/>
      <c r="W193" s="163"/>
      <c r="X193" s="164">
        <f t="shared" si="32"/>
        <v>0</v>
      </c>
      <c r="Y193" s="504">
        <f t="shared" si="33"/>
        <v>19</v>
      </c>
    </row>
    <row r="194" spans="1:26" ht="24" hidden="1" customHeight="1" x14ac:dyDescent="0.25">
      <c r="A194" s="26"/>
      <c r="B194" s="88" t="s">
        <v>309</v>
      </c>
      <c r="C194" s="38" t="s">
        <v>21</v>
      </c>
      <c r="D194" s="163">
        <v>-4000</v>
      </c>
      <c r="E194" s="496"/>
      <c r="F194" s="163">
        <f>-16970-4582</f>
        <v>-21552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496">
        <f t="shared" si="31"/>
        <v>-25552</v>
      </c>
      <c r="S194" s="163"/>
      <c r="T194" s="163"/>
      <c r="U194" s="163"/>
      <c r="V194" s="164"/>
      <c r="W194" s="163"/>
      <c r="X194" s="164">
        <f t="shared" si="32"/>
        <v>0</v>
      </c>
      <c r="Y194" s="504">
        <f t="shared" si="33"/>
        <v>-25552</v>
      </c>
    </row>
    <row r="195" spans="1:26" ht="24" hidden="1" customHeight="1" x14ac:dyDescent="0.25">
      <c r="A195" s="26"/>
      <c r="B195" s="88" t="s">
        <v>540</v>
      </c>
      <c r="C195" s="38" t="s">
        <v>21</v>
      </c>
      <c r="D195" s="163"/>
      <c r="E195" s="496"/>
      <c r="F195" s="163">
        <f>-11863-71</f>
        <v>-11934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496">
        <f t="shared" si="31"/>
        <v>-11934</v>
      </c>
      <c r="S195" s="163"/>
      <c r="T195" s="163"/>
      <c r="U195" s="163"/>
      <c r="V195" s="164"/>
      <c r="W195" s="163"/>
      <c r="X195" s="164">
        <f t="shared" si="32"/>
        <v>0</v>
      </c>
      <c r="Y195" s="504">
        <f t="shared" si="33"/>
        <v>-11934</v>
      </c>
    </row>
    <row r="196" spans="1:26" ht="24" hidden="1" customHeight="1" x14ac:dyDescent="0.25">
      <c r="A196" s="26"/>
      <c r="B196" s="88" t="s">
        <v>541</v>
      </c>
      <c r="C196" s="38" t="s">
        <v>21</v>
      </c>
      <c r="D196" s="163"/>
      <c r="E196" s="496"/>
      <c r="F196" s="163">
        <v>-850</v>
      </c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496">
        <f t="shared" si="31"/>
        <v>-850</v>
      </c>
      <c r="S196" s="163"/>
      <c r="T196" s="163"/>
      <c r="U196" s="163"/>
      <c r="V196" s="164"/>
      <c r="W196" s="163"/>
      <c r="X196" s="164">
        <f t="shared" si="32"/>
        <v>0</v>
      </c>
      <c r="Y196" s="504">
        <f t="shared" si="33"/>
        <v>-850</v>
      </c>
    </row>
    <row r="197" spans="1:26" ht="24" hidden="1" customHeight="1" x14ac:dyDescent="0.25">
      <c r="A197" s="26"/>
      <c r="B197" s="88" t="s">
        <v>312</v>
      </c>
      <c r="C197" s="38" t="s">
        <v>21</v>
      </c>
      <c r="D197" s="163"/>
      <c r="E197" s="496"/>
      <c r="F197" s="163">
        <v>-1270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496">
        <f t="shared" si="31"/>
        <v>-1270</v>
      </c>
      <c r="S197" s="163"/>
      <c r="T197" s="163"/>
      <c r="U197" s="163"/>
      <c r="V197" s="164"/>
      <c r="W197" s="163"/>
      <c r="X197" s="164">
        <f t="shared" ref="X197" si="41">SUM(T197:W197)</f>
        <v>0</v>
      </c>
      <c r="Y197" s="504">
        <f t="shared" ref="Y197" si="42">R197+X197</f>
        <v>-1270</v>
      </c>
    </row>
    <row r="198" spans="1:26" ht="24" hidden="1" customHeight="1" x14ac:dyDescent="0.25">
      <c r="A198" s="26"/>
      <c r="B198" s="88" t="s">
        <v>313</v>
      </c>
      <c r="C198" s="38" t="s">
        <v>21</v>
      </c>
      <c r="D198" s="163">
        <v>1000</v>
      </c>
      <c r="E198" s="496"/>
      <c r="F198" s="163">
        <v>509</v>
      </c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496">
        <f t="shared" si="31"/>
        <v>1509</v>
      </c>
      <c r="S198" s="163"/>
      <c r="T198" s="163"/>
      <c r="U198" s="163"/>
      <c r="V198" s="164"/>
      <c r="W198" s="163"/>
      <c r="X198" s="164">
        <f t="shared" si="32"/>
        <v>0</v>
      </c>
      <c r="Y198" s="504">
        <f t="shared" si="33"/>
        <v>1509</v>
      </c>
    </row>
    <row r="199" spans="1:26" ht="24" hidden="1" customHeight="1" thickBot="1" x14ac:dyDescent="0.25">
      <c r="A199" s="79"/>
      <c r="B199" s="81"/>
      <c r="C199" s="40"/>
      <c r="D199" s="152"/>
      <c r="E199" s="157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7">
        <f t="shared" si="31"/>
        <v>0</v>
      </c>
      <c r="S199" s="152"/>
      <c r="T199" s="152"/>
      <c r="U199" s="152"/>
      <c r="V199" s="158"/>
      <c r="W199" s="152"/>
      <c r="X199" s="158">
        <f t="shared" si="32"/>
        <v>0</v>
      </c>
      <c r="Y199" s="504">
        <f t="shared" si="33"/>
        <v>0</v>
      </c>
    </row>
    <row r="200" spans="1:26" ht="24" hidden="1" customHeight="1" thickTop="1" thickBot="1" x14ac:dyDescent="0.25">
      <c r="A200" s="46"/>
      <c r="B200" s="87"/>
      <c r="C200" s="43" t="s">
        <v>24</v>
      </c>
      <c r="D200" s="83">
        <f t="shared" ref="D200:P200" si="43">SUM(D193:D199)</f>
        <v>-3000</v>
      </c>
      <c r="E200" s="124">
        <f t="shared" si="43"/>
        <v>0</v>
      </c>
      <c r="F200" s="83">
        <f t="shared" si="43"/>
        <v>-35078</v>
      </c>
      <c r="G200" s="83">
        <f t="shared" si="43"/>
        <v>0</v>
      </c>
      <c r="H200" s="83">
        <f t="shared" si="43"/>
        <v>0</v>
      </c>
      <c r="I200" s="83">
        <f t="shared" si="43"/>
        <v>0</v>
      </c>
      <c r="J200" s="83">
        <f t="shared" si="43"/>
        <v>0</v>
      </c>
      <c r="K200" s="83">
        <f t="shared" si="43"/>
        <v>0</v>
      </c>
      <c r="L200" s="83">
        <f t="shared" si="43"/>
        <v>0</v>
      </c>
      <c r="M200" s="83">
        <f t="shared" si="43"/>
        <v>0</v>
      </c>
      <c r="N200" s="83">
        <f t="shared" si="43"/>
        <v>0</v>
      </c>
      <c r="O200" s="83">
        <f t="shared" si="43"/>
        <v>0</v>
      </c>
      <c r="P200" s="83">
        <f t="shared" si="43"/>
        <v>0</v>
      </c>
      <c r="Q200" s="83">
        <f t="shared" ref="Q200:W200" si="44">SUM(Q193:Q199)</f>
        <v>0</v>
      </c>
      <c r="R200" s="124">
        <f t="shared" si="31"/>
        <v>-38078</v>
      </c>
      <c r="S200" s="159"/>
      <c r="T200" s="83">
        <f t="shared" si="44"/>
        <v>0</v>
      </c>
      <c r="U200" s="83">
        <f t="shared" si="44"/>
        <v>0</v>
      </c>
      <c r="V200" s="84">
        <f t="shared" si="44"/>
        <v>0</v>
      </c>
      <c r="W200" s="83">
        <f t="shared" si="44"/>
        <v>0</v>
      </c>
      <c r="X200" s="84">
        <f t="shared" si="32"/>
        <v>0</v>
      </c>
      <c r="Y200" s="666">
        <f t="shared" si="33"/>
        <v>-38078</v>
      </c>
    </row>
    <row r="201" spans="1:26" ht="9.9499999999999993" hidden="1" customHeight="1" thickTop="1" x14ac:dyDescent="0.2">
      <c r="A201" s="181"/>
      <c r="B201" s="182"/>
      <c r="C201" s="183"/>
      <c r="D201" s="184"/>
      <c r="E201" s="497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497"/>
      <c r="S201" s="184"/>
      <c r="T201" s="184"/>
      <c r="U201" s="184"/>
      <c r="V201" s="184"/>
      <c r="W201" s="404"/>
      <c r="X201" s="184"/>
      <c r="Y201" s="507"/>
    </row>
    <row r="202" spans="1:26" ht="24" hidden="1" customHeight="1" x14ac:dyDescent="0.2">
      <c r="A202" s="186"/>
      <c r="B202" s="187"/>
      <c r="C202" s="195" t="s">
        <v>52</v>
      </c>
      <c r="D202" s="188"/>
      <c r="E202" s="49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498">
        <f t="shared" si="31"/>
        <v>0</v>
      </c>
      <c r="S202" s="188"/>
      <c r="T202" s="188"/>
      <c r="U202" s="188"/>
      <c r="V202" s="188"/>
      <c r="W202" s="405"/>
      <c r="X202" s="188">
        <f t="shared" si="32"/>
        <v>0</v>
      </c>
      <c r="Y202" s="508">
        <f t="shared" si="33"/>
        <v>0</v>
      </c>
    </row>
    <row r="203" spans="1:26" ht="9.9499999999999993" hidden="1" customHeight="1" thickBot="1" x14ac:dyDescent="0.25">
      <c r="A203" s="190"/>
      <c r="B203" s="191"/>
      <c r="C203" s="192"/>
      <c r="D203" s="193"/>
      <c r="E203" s="499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499"/>
      <c r="S203" s="193"/>
      <c r="T203" s="193"/>
      <c r="U203" s="193"/>
      <c r="V203" s="193"/>
      <c r="W203" s="407"/>
      <c r="X203" s="193"/>
      <c r="Y203" s="509"/>
    </row>
    <row r="204" spans="1:26" ht="24" hidden="1" customHeight="1" thickTop="1" x14ac:dyDescent="0.2">
      <c r="A204" s="670"/>
      <c r="B204" s="544" t="s">
        <v>458</v>
      </c>
      <c r="C204" s="515" t="s">
        <v>124</v>
      </c>
      <c r="D204" s="680">
        <f>D190+D200</f>
        <v>2295751.6879999996</v>
      </c>
      <c r="E204" s="695">
        <f t="shared" ref="E204:W204" si="45">E190+E200</f>
        <v>531207.46200000006</v>
      </c>
      <c r="F204" s="680">
        <f t="shared" si="45"/>
        <v>714691.53899999999</v>
      </c>
      <c r="G204" s="696">
        <f t="shared" si="45"/>
        <v>185</v>
      </c>
      <c r="H204" s="696">
        <f t="shared" si="45"/>
        <v>0</v>
      </c>
      <c r="I204" s="696">
        <f t="shared" si="45"/>
        <v>129.88300000000001</v>
      </c>
      <c r="J204" s="696">
        <f t="shared" si="45"/>
        <v>277.09300000000002</v>
      </c>
      <c r="K204" s="696">
        <f t="shared" si="45"/>
        <v>0</v>
      </c>
      <c r="L204" s="680">
        <f t="shared" si="45"/>
        <v>306627</v>
      </c>
      <c r="M204" s="696">
        <f t="shared" si="45"/>
        <v>7400</v>
      </c>
      <c r="N204" s="696">
        <f t="shared" si="45"/>
        <v>0</v>
      </c>
      <c r="O204" s="696">
        <f t="shared" si="45"/>
        <v>6000</v>
      </c>
      <c r="P204" s="696">
        <f t="shared" si="45"/>
        <v>0</v>
      </c>
      <c r="Q204" s="696">
        <f t="shared" si="45"/>
        <v>0</v>
      </c>
      <c r="R204" s="697">
        <f t="shared" si="31"/>
        <v>3862269.6649999991</v>
      </c>
      <c r="S204" s="679"/>
      <c r="T204" s="696">
        <f>T190+T200</f>
        <v>0</v>
      </c>
      <c r="U204" s="696">
        <f>U190+U200</f>
        <v>0</v>
      </c>
      <c r="V204" s="698">
        <f t="shared" si="45"/>
        <v>0</v>
      </c>
      <c r="W204" s="679">
        <f t="shared" si="45"/>
        <v>0</v>
      </c>
      <c r="X204" s="696">
        <f t="shared" si="32"/>
        <v>0</v>
      </c>
      <c r="Y204" s="699">
        <f t="shared" si="33"/>
        <v>3862269.6649999991</v>
      </c>
      <c r="Z204" s="127"/>
    </row>
    <row r="205" spans="1:26" ht="24" customHeight="1" x14ac:dyDescent="0.2">
      <c r="A205" s="674"/>
      <c r="B205" s="478" t="s">
        <v>151</v>
      </c>
      <c r="C205" s="63" t="s">
        <v>18</v>
      </c>
      <c r="D205" s="682">
        <f t="shared" ref="D205:P205" si="46">D204</f>
        <v>2295751.6879999996</v>
      </c>
      <c r="E205" s="700">
        <f t="shared" si="46"/>
        <v>531207.46200000006</v>
      </c>
      <c r="F205" s="682">
        <f t="shared" si="46"/>
        <v>714691.53899999999</v>
      </c>
      <c r="G205" s="701">
        <f t="shared" si="46"/>
        <v>185</v>
      </c>
      <c r="H205" s="701">
        <f t="shared" si="46"/>
        <v>0</v>
      </c>
      <c r="I205" s="701">
        <f t="shared" si="46"/>
        <v>129.88300000000001</v>
      </c>
      <c r="J205" s="701">
        <f t="shared" si="46"/>
        <v>277.09300000000002</v>
      </c>
      <c r="K205" s="701">
        <f t="shared" si="46"/>
        <v>0</v>
      </c>
      <c r="L205" s="682">
        <f t="shared" si="46"/>
        <v>306627</v>
      </c>
      <c r="M205" s="701">
        <f t="shared" si="46"/>
        <v>7400</v>
      </c>
      <c r="N205" s="701">
        <f t="shared" si="46"/>
        <v>0</v>
      </c>
      <c r="O205" s="701">
        <f t="shared" si="46"/>
        <v>6000</v>
      </c>
      <c r="P205" s="701">
        <f t="shared" si="46"/>
        <v>0</v>
      </c>
      <c r="Q205" s="701">
        <f>Q204</f>
        <v>0</v>
      </c>
      <c r="R205" s="700">
        <f t="shared" si="31"/>
        <v>3862269.6649999991</v>
      </c>
      <c r="S205" s="701"/>
      <c r="T205" s="701">
        <f>T204</f>
        <v>0</v>
      </c>
      <c r="U205" s="701">
        <f>U204</f>
        <v>0</v>
      </c>
      <c r="V205" s="702">
        <f>V204</f>
        <v>0</v>
      </c>
      <c r="W205" s="701">
        <f>W204</f>
        <v>0</v>
      </c>
      <c r="X205" s="703">
        <f t="shared" si="32"/>
        <v>0</v>
      </c>
      <c r="Y205" s="704">
        <f t="shared" si="33"/>
        <v>3862269.6649999991</v>
      </c>
    </row>
    <row r="206" spans="1:26" ht="20.100000000000001" customHeight="1" x14ac:dyDescent="0.2">
      <c r="A206" s="79"/>
      <c r="B206" s="133"/>
      <c r="C206" s="28"/>
      <c r="D206" s="157"/>
      <c r="E206" s="157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7"/>
      <c r="S206" s="152"/>
      <c r="T206" s="152"/>
      <c r="U206" s="152"/>
      <c r="V206" s="158"/>
      <c r="W206" s="152"/>
      <c r="X206" s="158"/>
      <c r="Y206" s="504"/>
    </row>
    <row r="207" spans="1:26" ht="33.950000000000003" customHeight="1" x14ac:dyDescent="0.2">
      <c r="A207" s="220">
        <v>1</v>
      </c>
      <c r="B207" s="559" t="s">
        <v>616</v>
      </c>
      <c r="C207" s="28" t="s">
        <v>613</v>
      </c>
      <c r="D207" s="157">
        <f>144.799</f>
        <v>144.79900000000001</v>
      </c>
      <c r="E207" s="157">
        <f>28.236</f>
        <v>28.236000000000001</v>
      </c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7">
        <f t="shared" si="31"/>
        <v>173.035</v>
      </c>
      <c r="S207" s="152"/>
      <c r="T207" s="152"/>
      <c r="U207" s="152"/>
      <c r="V207" s="158"/>
      <c r="W207" s="152"/>
      <c r="X207" s="158">
        <f t="shared" si="32"/>
        <v>0</v>
      </c>
      <c r="Y207" s="504">
        <f t="shared" si="33"/>
        <v>173.035</v>
      </c>
    </row>
    <row r="208" spans="1:26" ht="33.950000000000003" customHeight="1" x14ac:dyDescent="0.2">
      <c r="A208" s="220">
        <v>2</v>
      </c>
      <c r="B208" s="559" t="s">
        <v>633</v>
      </c>
      <c r="C208" s="28" t="s">
        <v>629</v>
      </c>
      <c r="D208" s="157"/>
      <c r="E208" s="157"/>
      <c r="F208" s="152">
        <f>-5783-1561</f>
        <v>-7344</v>
      </c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7">
        <f t="shared" si="31"/>
        <v>-7344</v>
      </c>
      <c r="S208" s="152"/>
      <c r="T208" s="152"/>
      <c r="U208" s="152"/>
      <c r="V208" s="158"/>
      <c r="W208" s="152"/>
      <c r="X208" s="158">
        <f t="shared" ref="X208:X210" si="47">SUM(T208:W208)</f>
        <v>0</v>
      </c>
      <c r="Y208" s="504">
        <f t="shared" ref="Y208:Y210" si="48">R208+X208</f>
        <v>-7344</v>
      </c>
    </row>
    <row r="209" spans="1:25" ht="33.950000000000003" customHeight="1" x14ac:dyDescent="0.2">
      <c r="A209" s="220">
        <v>3</v>
      </c>
      <c r="B209" s="559" t="s">
        <v>665</v>
      </c>
      <c r="C209" s="28" t="s">
        <v>664</v>
      </c>
      <c r="D209" s="157"/>
      <c r="E209" s="157"/>
      <c r="F209" s="152">
        <f>-591-159</f>
        <v>-750</v>
      </c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7">
        <f t="shared" si="31"/>
        <v>-750</v>
      </c>
      <c r="S209" s="152"/>
      <c r="T209" s="152"/>
      <c r="U209" s="152"/>
      <c r="V209" s="158"/>
      <c r="W209" s="152"/>
      <c r="X209" s="158">
        <f t="shared" si="47"/>
        <v>0</v>
      </c>
      <c r="Y209" s="504">
        <f t="shared" si="48"/>
        <v>-750</v>
      </c>
    </row>
    <row r="210" spans="1:25" ht="33.950000000000003" customHeight="1" x14ac:dyDescent="0.2">
      <c r="A210" s="220">
        <v>4</v>
      </c>
      <c r="B210" s="709" t="s">
        <v>672</v>
      </c>
      <c r="C210" s="38" t="s">
        <v>671</v>
      </c>
      <c r="D210" s="157"/>
      <c r="E210" s="157"/>
      <c r="F210" s="152"/>
      <c r="G210" s="152"/>
      <c r="H210" s="152"/>
      <c r="I210" s="152"/>
      <c r="J210" s="152"/>
      <c r="K210" s="152"/>
      <c r="L210" s="152">
        <f>13900+3753</f>
        <v>17653</v>
      </c>
      <c r="M210" s="152"/>
      <c r="N210" s="152"/>
      <c r="O210" s="152"/>
      <c r="P210" s="152"/>
      <c r="Q210" s="152"/>
      <c r="R210" s="157">
        <f t="shared" si="31"/>
        <v>17653</v>
      </c>
      <c r="S210" s="152"/>
      <c r="T210" s="152"/>
      <c r="U210" s="152"/>
      <c r="V210" s="158"/>
      <c r="W210" s="152"/>
      <c r="X210" s="158">
        <f t="shared" si="47"/>
        <v>0</v>
      </c>
      <c r="Y210" s="504">
        <f t="shared" si="48"/>
        <v>17653</v>
      </c>
    </row>
    <row r="211" spans="1:25" ht="33.950000000000003" customHeight="1" x14ac:dyDescent="0.2">
      <c r="A211" s="220">
        <v>5</v>
      </c>
      <c r="B211" s="559" t="s">
        <v>660</v>
      </c>
      <c r="C211" s="28" t="s">
        <v>613</v>
      </c>
      <c r="D211" s="157">
        <f>15.741</f>
        <v>15.741</v>
      </c>
      <c r="E211" s="157">
        <f>28.236</f>
        <v>28.236000000000001</v>
      </c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7">
        <f t="shared" si="31"/>
        <v>43.977000000000004</v>
      </c>
      <c r="S211" s="152"/>
      <c r="T211" s="152"/>
      <c r="U211" s="152"/>
      <c r="V211" s="158"/>
      <c r="W211" s="152"/>
      <c r="X211" s="158">
        <f t="shared" si="32"/>
        <v>0</v>
      </c>
      <c r="Y211" s="504">
        <f t="shared" si="33"/>
        <v>43.977000000000004</v>
      </c>
    </row>
    <row r="212" spans="1:25" ht="33.950000000000003" customHeight="1" x14ac:dyDescent="0.2">
      <c r="A212" s="220">
        <v>6</v>
      </c>
      <c r="B212" s="709" t="s">
        <v>679</v>
      </c>
      <c r="C212" s="28" t="s">
        <v>678</v>
      </c>
      <c r="D212" s="157"/>
      <c r="E212" s="157"/>
      <c r="F212" s="152"/>
      <c r="G212" s="152"/>
      <c r="H212" s="152"/>
      <c r="I212" s="152"/>
      <c r="J212" s="152"/>
      <c r="K212" s="152"/>
      <c r="L212" s="152">
        <f>2283+617</f>
        <v>2900</v>
      </c>
      <c r="M212" s="152"/>
      <c r="N212" s="152"/>
      <c r="O212" s="152"/>
      <c r="P212" s="152"/>
      <c r="Q212" s="152"/>
      <c r="R212" s="157">
        <f t="shared" si="31"/>
        <v>2900</v>
      </c>
      <c r="S212" s="152"/>
      <c r="T212" s="152"/>
      <c r="U212" s="152"/>
      <c r="V212" s="158"/>
      <c r="W212" s="152"/>
      <c r="X212" s="158">
        <f t="shared" si="32"/>
        <v>0</v>
      </c>
      <c r="Y212" s="504">
        <f t="shared" si="33"/>
        <v>2900</v>
      </c>
    </row>
    <row r="213" spans="1:25" ht="33.950000000000003" customHeight="1" x14ac:dyDescent="0.2">
      <c r="A213" s="220">
        <v>7</v>
      </c>
      <c r="B213" s="709" t="s">
        <v>682</v>
      </c>
      <c r="C213" s="28" t="s">
        <v>681</v>
      </c>
      <c r="D213" s="152"/>
      <c r="E213" s="157"/>
      <c r="F213" s="152"/>
      <c r="G213" s="152"/>
      <c r="H213" s="152"/>
      <c r="I213" s="152"/>
      <c r="J213" s="152"/>
      <c r="K213" s="152"/>
      <c r="L213" s="152">
        <f>5315+1435</f>
        <v>6750</v>
      </c>
      <c r="M213" s="152"/>
      <c r="N213" s="152"/>
      <c r="O213" s="152"/>
      <c r="P213" s="152"/>
      <c r="Q213" s="152"/>
      <c r="R213" s="157">
        <f t="shared" si="31"/>
        <v>6750</v>
      </c>
      <c r="S213" s="152"/>
      <c r="T213" s="152"/>
      <c r="U213" s="152"/>
      <c r="V213" s="158"/>
      <c r="W213" s="152"/>
      <c r="X213" s="158">
        <f t="shared" si="32"/>
        <v>0</v>
      </c>
      <c r="Y213" s="504">
        <f t="shared" si="33"/>
        <v>6750</v>
      </c>
    </row>
    <row r="214" spans="1:25" ht="33.950000000000003" customHeight="1" x14ac:dyDescent="0.2">
      <c r="A214" s="220">
        <v>8</v>
      </c>
      <c r="B214" s="709" t="s">
        <v>683</v>
      </c>
      <c r="C214" s="85" t="s">
        <v>684</v>
      </c>
      <c r="D214" s="152"/>
      <c r="E214" s="157"/>
      <c r="F214" s="152"/>
      <c r="G214" s="152"/>
      <c r="H214" s="152"/>
      <c r="I214" s="152"/>
      <c r="J214" s="152"/>
      <c r="K214" s="152"/>
      <c r="L214" s="152">
        <f>14856+4011</f>
        <v>18867</v>
      </c>
      <c r="M214" s="152"/>
      <c r="N214" s="152"/>
      <c r="O214" s="152"/>
      <c r="P214" s="152"/>
      <c r="Q214" s="152"/>
      <c r="R214" s="157">
        <f t="shared" si="31"/>
        <v>18867</v>
      </c>
      <c r="S214" s="152"/>
      <c r="T214" s="152"/>
      <c r="U214" s="152"/>
      <c r="V214" s="158"/>
      <c r="W214" s="152"/>
      <c r="X214" s="158">
        <f t="shared" si="32"/>
        <v>0</v>
      </c>
      <c r="Y214" s="504">
        <f t="shared" si="33"/>
        <v>18867</v>
      </c>
    </row>
    <row r="215" spans="1:25" ht="33.950000000000003" customHeight="1" x14ac:dyDescent="0.2">
      <c r="A215" s="220">
        <v>9</v>
      </c>
      <c r="B215" s="709" t="s">
        <v>690</v>
      </c>
      <c r="C215" s="85" t="s">
        <v>689</v>
      </c>
      <c r="D215" s="152"/>
      <c r="E215" s="157"/>
      <c r="F215" s="152"/>
      <c r="G215" s="152"/>
      <c r="H215" s="152"/>
      <c r="I215" s="152"/>
      <c r="J215" s="152"/>
      <c r="K215" s="152"/>
      <c r="L215" s="152">
        <f>7370+1990</f>
        <v>9360</v>
      </c>
      <c r="M215" s="152"/>
      <c r="N215" s="152"/>
      <c r="O215" s="152"/>
      <c r="P215" s="152"/>
      <c r="Q215" s="152"/>
      <c r="R215" s="157">
        <f t="shared" si="31"/>
        <v>9360</v>
      </c>
      <c r="S215" s="152"/>
      <c r="T215" s="152"/>
      <c r="U215" s="152"/>
      <c r="V215" s="158"/>
      <c r="W215" s="152"/>
      <c r="X215" s="158">
        <f t="shared" si="32"/>
        <v>0</v>
      </c>
      <c r="Y215" s="504">
        <f t="shared" si="33"/>
        <v>9360</v>
      </c>
    </row>
    <row r="216" spans="1:25" ht="33.950000000000003" customHeight="1" x14ac:dyDescent="0.2">
      <c r="A216" s="220">
        <v>10</v>
      </c>
      <c r="B216" s="709" t="s">
        <v>693</v>
      </c>
      <c r="C216" s="28" t="s">
        <v>692</v>
      </c>
      <c r="D216" s="152"/>
      <c r="E216" s="157"/>
      <c r="F216" s="152"/>
      <c r="G216" s="152"/>
      <c r="H216" s="152"/>
      <c r="I216" s="152"/>
      <c r="J216" s="152"/>
      <c r="K216" s="152"/>
      <c r="L216" s="152">
        <f>8845</f>
        <v>8845</v>
      </c>
      <c r="M216" s="152"/>
      <c r="N216" s="152"/>
      <c r="O216" s="152"/>
      <c r="P216" s="152"/>
      <c r="Q216" s="152"/>
      <c r="R216" s="157">
        <f t="shared" si="31"/>
        <v>8845</v>
      </c>
      <c r="S216" s="152"/>
      <c r="T216" s="152"/>
      <c r="U216" s="152"/>
      <c r="V216" s="158"/>
      <c r="W216" s="152"/>
      <c r="X216" s="158">
        <f t="shared" si="32"/>
        <v>0</v>
      </c>
      <c r="Y216" s="504">
        <f t="shared" si="33"/>
        <v>8845</v>
      </c>
    </row>
    <row r="217" spans="1:25" ht="33.950000000000003" customHeight="1" x14ac:dyDescent="0.2">
      <c r="A217" s="220">
        <v>11</v>
      </c>
      <c r="B217" s="709" t="s">
        <v>695</v>
      </c>
      <c r="C217" s="28" t="s">
        <v>477</v>
      </c>
      <c r="D217" s="152"/>
      <c r="E217" s="157"/>
      <c r="F217" s="152"/>
      <c r="G217" s="152"/>
      <c r="H217" s="152"/>
      <c r="I217" s="152"/>
      <c r="J217" s="152"/>
      <c r="K217" s="152"/>
      <c r="L217" s="152">
        <f>500+135</f>
        <v>635</v>
      </c>
      <c r="M217" s="152"/>
      <c r="N217" s="152"/>
      <c r="O217" s="152"/>
      <c r="P217" s="152"/>
      <c r="Q217" s="152"/>
      <c r="R217" s="157">
        <f t="shared" si="31"/>
        <v>635</v>
      </c>
      <c r="S217" s="152"/>
      <c r="T217" s="152"/>
      <c r="U217" s="152"/>
      <c r="V217" s="158"/>
      <c r="W217" s="152"/>
      <c r="X217" s="158">
        <f t="shared" si="32"/>
        <v>0</v>
      </c>
      <c r="Y217" s="504">
        <f t="shared" si="33"/>
        <v>635</v>
      </c>
    </row>
    <row r="218" spans="1:25" ht="33.950000000000003" customHeight="1" x14ac:dyDescent="0.2">
      <c r="A218" s="220">
        <v>12</v>
      </c>
      <c r="B218" s="618" t="s">
        <v>709</v>
      </c>
      <c r="C218" s="33" t="s">
        <v>708</v>
      </c>
      <c r="D218" s="152"/>
      <c r="E218" s="157"/>
      <c r="F218" s="152">
        <f>21340+5761</f>
        <v>27101</v>
      </c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7">
        <f t="shared" si="31"/>
        <v>27101</v>
      </c>
      <c r="S218" s="152"/>
      <c r="T218" s="152"/>
      <c r="U218" s="152"/>
      <c r="V218" s="158"/>
      <c r="W218" s="152"/>
      <c r="X218" s="158">
        <f t="shared" si="32"/>
        <v>0</v>
      </c>
      <c r="Y218" s="504">
        <f t="shared" si="33"/>
        <v>27101</v>
      </c>
    </row>
    <row r="219" spans="1:25" ht="33.950000000000003" hidden="1" customHeight="1" x14ac:dyDescent="0.2">
      <c r="A219" s="79"/>
      <c r="B219" s="133"/>
      <c r="C219" s="33"/>
      <c r="D219" s="152"/>
      <c r="E219" s="157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7">
        <f t="shared" si="31"/>
        <v>0</v>
      </c>
      <c r="S219" s="152"/>
      <c r="T219" s="152"/>
      <c r="U219" s="152"/>
      <c r="V219" s="158"/>
      <c r="W219" s="152"/>
      <c r="X219" s="158">
        <f t="shared" si="32"/>
        <v>0</v>
      </c>
      <c r="Y219" s="504">
        <f t="shared" si="33"/>
        <v>0</v>
      </c>
    </row>
    <row r="220" spans="1:25" ht="33.950000000000003" hidden="1" customHeight="1" x14ac:dyDescent="0.2">
      <c r="A220" s="220"/>
      <c r="B220" s="133"/>
      <c r="C220" s="33"/>
      <c r="D220" s="152"/>
      <c r="E220" s="157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7">
        <f t="shared" si="31"/>
        <v>0</v>
      </c>
      <c r="S220" s="152"/>
      <c r="T220" s="152"/>
      <c r="U220" s="152"/>
      <c r="V220" s="158"/>
      <c r="W220" s="152"/>
      <c r="X220" s="158">
        <f t="shared" si="32"/>
        <v>0</v>
      </c>
      <c r="Y220" s="504">
        <f t="shared" si="33"/>
        <v>0</v>
      </c>
    </row>
    <row r="221" spans="1:25" ht="33.950000000000003" hidden="1" customHeight="1" x14ac:dyDescent="0.2">
      <c r="A221" s="79"/>
      <c r="B221" s="690"/>
      <c r="C221" s="33"/>
      <c r="D221" s="152"/>
      <c r="E221" s="157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7">
        <f t="shared" si="31"/>
        <v>0</v>
      </c>
      <c r="S221" s="152"/>
      <c r="T221" s="152"/>
      <c r="U221" s="152"/>
      <c r="V221" s="158"/>
      <c r="W221" s="152"/>
      <c r="X221" s="158">
        <f t="shared" si="32"/>
        <v>0</v>
      </c>
      <c r="Y221" s="504">
        <f t="shared" si="33"/>
        <v>0</v>
      </c>
    </row>
    <row r="222" spans="1:25" ht="33.950000000000003" hidden="1" customHeight="1" x14ac:dyDescent="0.2">
      <c r="A222" s="220"/>
      <c r="B222" s="133"/>
      <c r="C222" s="28"/>
      <c r="D222" s="152"/>
      <c r="E222" s="157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7">
        <f t="shared" si="31"/>
        <v>0</v>
      </c>
      <c r="S222" s="152"/>
      <c r="T222" s="152"/>
      <c r="U222" s="152"/>
      <c r="V222" s="158"/>
      <c r="W222" s="152"/>
      <c r="X222" s="158">
        <f t="shared" si="32"/>
        <v>0</v>
      </c>
      <c r="Y222" s="504">
        <f t="shared" si="33"/>
        <v>0</v>
      </c>
    </row>
    <row r="223" spans="1:25" ht="33.950000000000003" hidden="1" customHeight="1" x14ac:dyDescent="0.2">
      <c r="A223" s="79"/>
      <c r="B223" s="690"/>
      <c r="C223" s="33"/>
      <c r="D223" s="152"/>
      <c r="E223" s="157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7">
        <f t="shared" si="31"/>
        <v>0</v>
      </c>
      <c r="S223" s="152"/>
      <c r="T223" s="152"/>
      <c r="U223" s="152"/>
      <c r="V223" s="158"/>
      <c r="W223" s="152"/>
      <c r="X223" s="158">
        <f t="shared" si="32"/>
        <v>0</v>
      </c>
      <c r="Y223" s="504">
        <f t="shared" si="33"/>
        <v>0</v>
      </c>
    </row>
    <row r="224" spans="1:25" ht="27" customHeight="1" x14ac:dyDescent="0.2">
      <c r="A224" s="220"/>
      <c r="B224" s="690"/>
      <c r="C224" s="28"/>
      <c r="D224" s="152"/>
      <c r="E224" s="157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7"/>
      <c r="S224" s="152"/>
      <c r="T224" s="152"/>
      <c r="U224" s="152"/>
      <c r="V224" s="158"/>
      <c r="W224" s="152"/>
      <c r="X224" s="158"/>
      <c r="Y224" s="504"/>
    </row>
    <row r="225" spans="1:25" ht="20.100000000000001" customHeight="1" x14ac:dyDescent="0.2">
      <c r="A225" s="79"/>
      <c r="B225" s="134"/>
      <c r="C225" s="28"/>
      <c r="D225" s="152"/>
      <c r="E225" s="157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7"/>
      <c r="S225" s="152"/>
      <c r="T225" s="152"/>
      <c r="U225" s="152"/>
      <c r="V225" s="158"/>
      <c r="W225" s="152"/>
      <c r="X225" s="158"/>
      <c r="Y225" s="504"/>
    </row>
    <row r="226" spans="1:25" ht="20.100000000000001" customHeight="1" x14ac:dyDescent="0.2">
      <c r="A226" s="205" t="s">
        <v>64</v>
      </c>
      <c r="B226" s="201"/>
      <c r="C226" s="206" t="s">
        <v>62</v>
      </c>
      <c r="D226" s="152">
        <f t="shared" ref="D226:W226" si="49">SUM(D206:D225)</f>
        <v>160.54000000000002</v>
      </c>
      <c r="E226" s="157">
        <f t="shared" si="49"/>
        <v>56.472000000000001</v>
      </c>
      <c r="F226" s="152">
        <f t="shared" si="49"/>
        <v>19007</v>
      </c>
      <c r="G226" s="152">
        <f t="shared" si="49"/>
        <v>0</v>
      </c>
      <c r="H226" s="152">
        <f t="shared" si="49"/>
        <v>0</v>
      </c>
      <c r="I226" s="152">
        <f t="shared" si="49"/>
        <v>0</v>
      </c>
      <c r="J226" s="152">
        <f t="shared" si="49"/>
        <v>0</v>
      </c>
      <c r="K226" s="152">
        <f t="shared" si="49"/>
        <v>0</v>
      </c>
      <c r="L226" s="152">
        <f t="shared" si="49"/>
        <v>65010</v>
      </c>
      <c r="M226" s="152">
        <f t="shared" si="49"/>
        <v>0</v>
      </c>
      <c r="N226" s="152">
        <f t="shared" si="49"/>
        <v>0</v>
      </c>
      <c r="O226" s="152">
        <f t="shared" si="49"/>
        <v>0</v>
      </c>
      <c r="P226" s="152">
        <f t="shared" si="49"/>
        <v>0</v>
      </c>
      <c r="Q226" s="152">
        <f t="shared" si="49"/>
        <v>0</v>
      </c>
      <c r="R226" s="157">
        <f t="shared" si="31"/>
        <v>84234.012000000002</v>
      </c>
      <c r="S226" s="152"/>
      <c r="T226" s="152">
        <f t="shared" si="49"/>
        <v>0</v>
      </c>
      <c r="U226" s="152">
        <f t="shared" si="49"/>
        <v>0</v>
      </c>
      <c r="V226" s="158">
        <f t="shared" si="49"/>
        <v>0</v>
      </c>
      <c r="W226" s="152">
        <f t="shared" si="49"/>
        <v>0</v>
      </c>
      <c r="X226" s="158">
        <f t="shared" si="32"/>
        <v>0</v>
      </c>
      <c r="Y226" s="769">
        <f t="shared" si="33"/>
        <v>84234.012000000002</v>
      </c>
    </row>
    <row r="227" spans="1:25" ht="20.100000000000001" customHeight="1" x14ac:dyDescent="0.25">
      <c r="A227" s="79"/>
      <c r="B227" s="705"/>
      <c r="C227" s="408"/>
      <c r="D227" s="152"/>
      <c r="E227" s="157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7"/>
      <c r="S227" s="152"/>
      <c r="T227" s="152"/>
      <c r="U227" s="152"/>
      <c r="V227" s="158"/>
      <c r="W227" s="152"/>
      <c r="X227" s="158"/>
      <c r="Y227" s="504"/>
    </row>
    <row r="228" spans="1:25" ht="33.950000000000003" customHeight="1" x14ac:dyDescent="0.2">
      <c r="A228" s="220">
        <v>13</v>
      </c>
      <c r="B228" s="713" t="s">
        <v>634</v>
      </c>
      <c r="C228" s="28" t="s">
        <v>635</v>
      </c>
      <c r="D228" s="152"/>
      <c r="E228" s="157"/>
      <c r="F228" s="152">
        <f>-231-62</f>
        <v>-293</v>
      </c>
      <c r="G228" s="152"/>
      <c r="H228" s="152"/>
      <c r="I228" s="152"/>
      <c r="J228" s="152"/>
      <c r="K228" s="152"/>
      <c r="L228" s="152">
        <f>231+62</f>
        <v>293</v>
      </c>
      <c r="M228" s="152"/>
      <c r="N228" s="152"/>
      <c r="O228" s="152"/>
      <c r="P228" s="152"/>
      <c r="Q228" s="152"/>
      <c r="R228" s="157">
        <f t="shared" si="31"/>
        <v>0</v>
      </c>
      <c r="S228" s="152"/>
      <c r="T228" s="152"/>
      <c r="U228" s="152"/>
      <c r="V228" s="158"/>
      <c r="W228" s="152"/>
      <c r="X228" s="158">
        <f t="shared" si="32"/>
        <v>0</v>
      </c>
      <c r="Y228" s="504">
        <f t="shared" si="33"/>
        <v>0</v>
      </c>
    </row>
    <row r="229" spans="1:25" ht="33.950000000000003" customHeight="1" x14ac:dyDescent="0.2">
      <c r="A229" s="220">
        <v>14</v>
      </c>
      <c r="B229" s="713" t="s">
        <v>698</v>
      </c>
      <c r="C229" s="40" t="s">
        <v>699</v>
      </c>
      <c r="D229" s="152"/>
      <c r="E229" s="157"/>
      <c r="F229" s="152">
        <f>-4520</f>
        <v>-4520</v>
      </c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7">
        <f t="shared" si="31"/>
        <v>-4520</v>
      </c>
      <c r="S229" s="152"/>
      <c r="T229" s="152"/>
      <c r="U229" s="152"/>
      <c r="V229" s="158"/>
      <c r="W229" s="152"/>
      <c r="X229" s="158">
        <f t="shared" si="32"/>
        <v>0</v>
      </c>
      <c r="Y229" s="504">
        <f t="shared" si="33"/>
        <v>-4520</v>
      </c>
    </row>
    <row r="230" spans="1:25" ht="33.950000000000003" customHeight="1" x14ac:dyDescent="0.2">
      <c r="A230" s="220">
        <v>15</v>
      </c>
      <c r="B230" s="689" t="s">
        <v>425</v>
      </c>
      <c r="C230" s="40" t="s">
        <v>710</v>
      </c>
      <c r="D230" s="152"/>
      <c r="E230" s="157"/>
      <c r="F230" s="152">
        <f>7046+1902</f>
        <v>8948</v>
      </c>
      <c r="G230" s="152"/>
      <c r="H230" s="152"/>
      <c r="I230" s="152"/>
      <c r="J230" s="152"/>
      <c r="K230" s="152"/>
      <c r="L230" s="152">
        <f>-4046-1092-3000-810</f>
        <v>-8948</v>
      </c>
      <c r="M230" s="152"/>
      <c r="N230" s="152"/>
      <c r="O230" s="152"/>
      <c r="P230" s="152"/>
      <c r="Q230" s="152"/>
      <c r="R230" s="157">
        <f t="shared" si="31"/>
        <v>0</v>
      </c>
      <c r="S230" s="152"/>
      <c r="T230" s="152"/>
      <c r="U230" s="152"/>
      <c r="V230" s="158"/>
      <c r="W230" s="152"/>
      <c r="X230" s="158">
        <f t="shared" si="32"/>
        <v>0</v>
      </c>
      <c r="Y230" s="504">
        <f t="shared" si="33"/>
        <v>0</v>
      </c>
    </row>
    <row r="231" spans="1:25" ht="33.950000000000003" customHeight="1" x14ac:dyDescent="0.2">
      <c r="A231" s="220">
        <v>16</v>
      </c>
      <c r="B231" s="689" t="s">
        <v>427</v>
      </c>
      <c r="C231" s="40" t="s">
        <v>716</v>
      </c>
      <c r="D231" s="152"/>
      <c r="E231" s="157"/>
      <c r="F231" s="152">
        <f>198+54</f>
        <v>252</v>
      </c>
      <c r="G231" s="152"/>
      <c r="H231" s="152"/>
      <c r="I231" s="152"/>
      <c r="J231" s="152"/>
      <c r="K231" s="152"/>
      <c r="L231" s="152">
        <f>-198-54</f>
        <v>-252</v>
      </c>
      <c r="M231" s="152"/>
      <c r="N231" s="152"/>
      <c r="O231" s="152"/>
      <c r="P231" s="152"/>
      <c r="Q231" s="152"/>
      <c r="R231" s="157">
        <f t="shared" si="31"/>
        <v>0</v>
      </c>
      <c r="S231" s="152"/>
      <c r="T231" s="152"/>
      <c r="U231" s="152"/>
      <c r="V231" s="158"/>
      <c r="W231" s="152"/>
      <c r="X231" s="158">
        <f t="shared" si="32"/>
        <v>0</v>
      </c>
      <c r="Y231" s="504">
        <f t="shared" si="33"/>
        <v>0</v>
      </c>
    </row>
    <row r="232" spans="1:25" ht="33.950000000000003" customHeight="1" x14ac:dyDescent="0.2">
      <c r="A232" s="220">
        <v>17</v>
      </c>
      <c r="B232" s="712" t="s">
        <v>428</v>
      </c>
      <c r="C232" s="34" t="s">
        <v>717</v>
      </c>
      <c r="D232" s="152"/>
      <c r="E232" s="157"/>
      <c r="F232" s="152">
        <f>97+26</f>
        <v>123</v>
      </c>
      <c r="G232" s="152"/>
      <c r="H232" s="152"/>
      <c r="I232" s="152"/>
      <c r="J232" s="152"/>
      <c r="K232" s="152"/>
      <c r="L232" s="152">
        <f>-97-26</f>
        <v>-123</v>
      </c>
      <c r="M232" s="152"/>
      <c r="N232" s="152"/>
      <c r="O232" s="152"/>
      <c r="P232" s="152"/>
      <c r="Q232" s="152"/>
      <c r="R232" s="157">
        <f t="shared" si="31"/>
        <v>0</v>
      </c>
      <c r="S232" s="152"/>
      <c r="T232" s="152"/>
      <c r="U232" s="152"/>
      <c r="V232" s="158"/>
      <c r="W232" s="152"/>
      <c r="X232" s="158">
        <f t="shared" si="32"/>
        <v>0</v>
      </c>
      <c r="Y232" s="504">
        <f t="shared" si="33"/>
        <v>0</v>
      </c>
    </row>
    <row r="233" spans="1:25" ht="33.950000000000003" hidden="1" customHeight="1" x14ac:dyDescent="0.2">
      <c r="A233" s="220" t="s">
        <v>89</v>
      </c>
      <c r="B233" s="691"/>
      <c r="C233" s="34"/>
      <c r="D233" s="152"/>
      <c r="E233" s="157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7">
        <f t="shared" si="31"/>
        <v>0</v>
      </c>
      <c r="S233" s="152"/>
      <c r="T233" s="152"/>
      <c r="U233" s="152"/>
      <c r="V233" s="158"/>
      <c r="W233" s="152"/>
      <c r="X233" s="158">
        <f t="shared" si="32"/>
        <v>0</v>
      </c>
      <c r="Y233" s="504">
        <f t="shared" si="33"/>
        <v>0</v>
      </c>
    </row>
    <row r="234" spans="1:25" ht="33.950000000000003" hidden="1" customHeight="1" x14ac:dyDescent="0.2">
      <c r="A234" s="220" t="s">
        <v>89</v>
      </c>
      <c r="B234" s="692"/>
      <c r="C234" s="34"/>
      <c r="D234" s="152"/>
      <c r="E234" s="157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7">
        <f t="shared" si="31"/>
        <v>0</v>
      </c>
      <c r="S234" s="152"/>
      <c r="T234" s="152"/>
      <c r="U234" s="152"/>
      <c r="V234" s="158"/>
      <c r="W234" s="152"/>
      <c r="X234" s="158">
        <f t="shared" si="32"/>
        <v>0</v>
      </c>
      <c r="Y234" s="504">
        <f t="shared" si="33"/>
        <v>0</v>
      </c>
    </row>
    <row r="235" spans="1:25" ht="33.950000000000003" hidden="1" customHeight="1" x14ac:dyDescent="0.2">
      <c r="A235" s="220" t="s">
        <v>89</v>
      </c>
      <c r="B235" s="692"/>
      <c r="C235" s="34"/>
      <c r="D235" s="152"/>
      <c r="E235" s="157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7">
        <f t="shared" ref="R235:R246" si="50">SUM(D235:Q235)</f>
        <v>0</v>
      </c>
      <c r="S235" s="152"/>
      <c r="T235" s="152"/>
      <c r="U235" s="152"/>
      <c r="V235" s="158"/>
      <c r="W235" s="152"/>
      <c r="X235" s="158">
        <f t="shared" ref="X235:X246" si="51">SUM(T235:W235)</f>
        <v>0</v>
      </c>
      <c r="Y235" s="504">
        <f t="shared" ref="Y235:Y246" si="52">R235+X235</f>
        <v>0</v>
      </c>
    </row>
    <row r="236" spans="1:25" ht="33.950000000000003" hidden="1" customHeight="1" x14ac:dyDescent="0.2">
      <c r="A236" s="220" t="s">
        <v>89</v>
      </c>
      <c r="B236" s="691"/>
      <c r="C236" s="34"/>
      <c r="D236" s="152"/>
      <c r="E236" s="157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7">
        <f t="shared" si="50"/>
        <v>0</v>
      </c>
      <c r="S236" s="152"/>
      <c r="T236" s="152"/>
      <c r="U236" s="152"/>
      <c r="V236" s="158"/>
      <c r="W236" s="152"/>
      <c r="X236" s="158">
        <f t="shared" si="51"/>
        <v>0</v>
      </c>
      <c r="Y236" s="504">
        <f t="shared" si="52"/>
        <v>0</v>
      </c>
    </row>
    <row r="237" spans="1:25" ht="33.950000000000003" hidden="1" customHeight="1" x14ac:dyDescent="0.2">
      <c r="A237" s="220" t="s">
        <v>89</v>
      </c>
      <c r="B237" s="691"/>
      <c r="C237" s="34"/>
      <c r="D237" s="152"/>
      <c r="E237" s="157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7">
        <f t="shared" si="50"/>
        <v>0</v>
      </c>
      <c r="S237" s="152"/>
      <c r="T237" s="152"/>
      <c r="U237" s="152"/>
      <c r="V237" s="158"/>
      <c r="W237" s="152"/>
      <c r="X237" s="158">
        <f t="shared" si="51"/>
        <v>0</v>
      </c>
      <c r="Y237" s="504">
        <f t="shared" si="52"/>
        <v>0</v>
      </c>
    </row>
    <row r="238" spans="1:25" ht="33.950000000000003" hidden="1" customHeight="1" x14ac:dyDescent="0.2">
      <c r="A238" s="79"/>
      <c r="B238" s="692"/>
      <c r="C238" s="34"/>
      <c r="D238" s="152"/>
      <c r="E238" s="157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7">
        <f t="shared" si="50"/>
        <v>0</v>
      </c>
      <c r="S238" s="152"/>
      <c r="T238" s="152"/>
      <c r="U238" s="152"/>
      <c r="V238" s="158"/>
      <c r="W238" s="152"/>
      <c r="X238" s="158">
        <f t="shared" si="51"/>
        <v>0</v>
      </c>
      <c r="Y238" s="504">
        <f t="shared" si="52"/>
        <v>0</v>
      </c>
    </row>
    <row r="239" spans="1:25" ht="33.950000000000003" hidden="1" customHeight="1" x14ac:dyDescent="0.2">
      <c r="A239" s="79"/>
      <c r="B239" s="693"/>
      <c r="C239" s="34"/>
      <c r="D239" s="152"/>
      <c r="E239" s="157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7">
        <f t="shared" si="50"/>
        <v>0</v>
      </c>
      <c r="S239" s="152"/>
      <c r="T239" s="152"/>
      <c r="U239" s="152"/>
      <c r="V239" s="158"/>
      <c r="W239" s="152"/>
      <c r="X239" s="158">
        <f t="shared" si="51"/>
        <v>0</v>
      </c>
      <c r="Y239" s="504">
        <f t="shared" si="52"/>
        <v>0</v>
      </c>
    </row>
    <row r="240" spans="1:25" ht="33.950000000000003" customHeight="1" x14ac:dyDescent="0.2">
      <c r="A240" s="79"/>
      <c r="B240" s="693"/>
      <c r="C240" s="34"/>
      <c r="D240" s="152"/>
      <c r="E240" s="157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7"/>
      <c r="S240" s="152"/>
      <c r="T240" s="152"/>
      <c r="U240" s="152"/>
      <c r="V240" s="158"/>
      <c r="W240" s="152"/>
      <c r="X240" s="158"/>
      <c r="Y240" s="504"/>
    </row>
    <row r="241" spans="1:25" ht="20.100000000000001" customHeight="1" x14ac:dyDescent="0.2">
      <c r="A241" s="79"/>
      <c r="B241" s="122"/>
      <c r="C241" s="40"/>
      <c r="D241" s="152"/>
      <c r="E241" s="157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7"/>
      <c r="S241" s="152"/>
      <c r="T241" s="152"/>
      <c r="U241" s="152"/>
      <c r="V241" s="158"/>
      <c r="W241" s="152"/>
      <c r="X241" s="158"/>
      <c r="Y241" s="504"/>
    </row>
    <row r="242" spans="1:25" ht="20.100000000000001" customHeight="1" x14ac:dyDescent="0.2">
      <c r="A242" s="205" t="s">
        <v>65</v>
      </c>
      <c r="B242" s="201"/>
      <c r="C242" s="206" t="s">
        <v>63</v>
      </c>
      <c r="D242" s="152">
        <f t="shared" ref="D242:W242" si="53">SUM(D228:D241)</f>
        <v>0</v>
      </c>
      <c r="E242" s="157">
        <f t="shared" si="53"/>
        <v>0</v>
      </c>
      <c r="F242" s="152">
        <f>SUM(F228:F241)</f>
        <v>4510</v>
      </c>
      <c r="G242" s="152">
        <f t="shared" si="53"/>
        <v>0</v>
      </c>
      <c r="H242" s="152">
        <f t="shared" si="53"/>
        <v>0</v>
      </c>
      <c r="I242" s="152">
        <f t="shared" si="53"/>
        <v>0</v>
      </c>
      <c r="J242" s="152">
        <f t="shared" si="53"/>
        <v>0</v>
      </c>
      <c r="K242" s="152">
        <f t="shared" si="53"/>
        <v>0</v>
      </c>
      <c r="L242" s="152">
        <f t="shared" si="53"/>
        <v>-9030</v>
      </c>
      <c r="M242" s="152">
        <f t="shared" si="53"/>
        <v>0</v>
      </c>
      <c r="N242" s="152">
        <f t="shared" si="53"/>
        <v>0</v>
      </c>
      <c r="O242" s="152">
        <f t="shared" si="53"/>
        <v>0</v>
      </c>
      <c r="P242" s="152">
        <f t="shared" si="53"/>
        <v>0</v>
      </c>
      <c r="Q242" s="152">
        <f t="shared" si="53"/>
        <v>0</v>
      </c>
      <c r="R242" s="157">
        <f t="shared" si="50"/>
        <v>-4520</v>
      </c>
      <c r="S242" s="152"/>
      <c r="T242" s="152">
        <f t="shared" si="53"/>
        <v>0</v>
      </c>
      <c r="U242" s="152">
        <f t="shared" si="53"/>
        <v>0</v>
      </c>
      <c r="V242" s="158">
        <f t="shared" si="53"/>
        <v>0</v>
      </c>
      <c r="W242" s="152">
        <f t="shared" si="53"/>
        <v>0</v>
      </c>
      <c r="X242" s="158">
        <f t="shared" si="51"/>
        <v>0</v>
      </c>
      <c r="Y242" s="769">
        <f t="shared" si="52"/>
        <v>-4520</v>
      </c>
    </row>
    <row r="243" spans="1:25" ht="20.100000000000001" customHeight="1" x14ac:dyDescent="0.2">
      <c r="A243" s="79"/>
      <c r="B243" s="122"/>
      <c r="C243" s="40"/>
      <c r="D243" s="152"/>
      <c r="E243" s="157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7"/>
      <c r="S243" s="152"/>
      <c r="T243" s="152"/>
      <c r="U243" s="152"/>
      <c r="V243" s="158"/>
      <c r="W243" s="152"/>
      <c r="X243" s="158"/>
      <c r="Y243" s="504"/>
    </row>
    <row r="244" spans="1:25" ht="20.100000000000001" customHeight="1" thickBot="1" x14ac:dyDescent="0.25">
      <c r="A244" s="79"/>
      <c r="B244" s="694"/>
      <c r="C244" s="40"/>
      <c r="D244" s="152"/>
      <c r="E244" s="157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7"/>
      <c r="S244" s="152"/>
      <c r="T244" s="152"/>
      <c r="U244" s="152"/>
      <c r="V244" s="158"/>
      <c r="W244" s="152"/>
      <c r="X244" s="158"/>
      <c r="Y244" s="504"/>
    </row>
    <row r="245" spans="1:25" ht="24.75" customHeight="1" thickTop="1" thickBot="1" x14ac:dyDescent="0.25">
      <c r="A245" s="41"/>
      <c r="B245" s="253">
        <v>41274</v>
      </c>
      <c r="C245" s="43" t="s">
        <v>66</v>
      </c>
      <c r="D245" s="159">
        <f t="shared" ref="D245:W245" si="54">D226+D242</f>
        <v>160.54000000000002</v>
      </c>
      <c r="E245" s="482">
        <f t="shared" si="54"/>
        <v>56.472000000000001</v>
      </c>
      <c r="F245" s="159">
        <f t="shared" si="54"/>
        <v>23517</v>
      </c>
      <c r="G245" s="159">
        <f t="shared" si="54"/>
        <v>0</v>
      </c>
      <c r="H245" s="159">
        <f t="shared" si="54"/>
        <v>0</v>
      </c>
      <c r="I245" s="159">
        <f t="shared" si="54"/>
        <v>0</v>
      </c>
      <c r="J245" s="159">
        <f>J226+J242</f>
        <v>0</v>
      </c>
      <c r="K245" s="159">
        <f t="shared" si="54"/>
        <v>0</v>
      </c>
      <c r="L245" s="159">
        <f t="shared" si="54"/>
        <v>55980</v>
      </c>
      <c r="M245" s="159">
        <f t="shared" si="54"/>
        <v>0</v>
      </c>
      <c r="N245" s="159">
        <f t="shared" si="54"/>
        <v>0</v>
      </c>
      <c r="O245" s="159">
        <f t="shared" si="54"/>
        <v>0</v>
      </c>
      <c r="P245" s="159">
        <f t="shared" si="54"/>
        <v>0</v>
      </c>
      <c r="Q245" s="159">
        <f t="shared" si="54"/>
        <v>0</v>
      </c>
      <c r="R245" s="482">
        <f t="shared" si="50"/>
        <v>79714.012000000002</v>
      </c>
      <c r="S245" s="159"/>
      <c r="T245" s="159">
        <f>T226+T242</f>
        <v>0</v>
      </c>
      <c r="U245" s="159">
        <f>U226+U242</f>
        <v>0</v>
      </c>
      <c r="V245" s="162">
        <f t="shared" si="54"/>
        <v>0</v>
      </c>
      <c r="W245" s="159">
        <f t="shared" si="54"/>
        <v>0</v>
      </c>
      <c r="X245" s="162">
        <f t="shared" si="51"/>
        <v>0</v>
      </c>
      <c r="Y245" s="505">
        <f t="shared" si="52"/>
        <v>79714.012000000002</v>
      </c>
    </row>
    <row r="246" spans="1:25" ht="24.75" customHeight="1" thickTop="1" thickBot="1" x14ac:dyDescent="0.25">
      <c r="A246" s="41"/>
      <c r="B246" s="42" t="s">
        <v>155</v>
      </c>
      <c r="C246" s="43" t="s">
        <v>20</v>
      </c>
      <c r="D246" s="199">
        <f t="shared" ref="D246:W246" si="55">D205+D245</f>
        <v>2295912.2279999997</v>
      </c>
      <c r="E246" s="199">
        <f t="shared" si="55"/>
        <v>531263.93400000001</v>
      </c>
      <c r="F246" s="199">
        <f t="shared" si="55"/>
        <v>738208.53899999999</v>
      </c>
      <c r="G246" s="199">
        <f t="shared" si="55"/>
        <v>185</v>
      </c>
      <c r="H246" s="199">
        <f t="shared" si="55"/>
        <v>0</v>
      </c>
      <c r="I246" s="199">
        <f t="shared" si="55"/>
        <v>129.88300000000001</v>
      </c>
      <c r="J246" s="199">
        <f>J205+J245</f>
        <v>277.09300000000002</v>
      </c>
      <c r="K246" s="199">
        <f t="shared" si="55"/>
        <v>0</v>
      </c>
      <c r="L246" s="199">
        <f t="shared" si="55"/>
        <v>362607</v>
      </c>
      <c r="M246" s="199">
        <f t="shared" si="55"/>
        <v>7400</v>
      </c>
      <c r="N246" s="199">
        <f t="shared" si="55"/>
        <v>0</v>
      </c>
      <c r="O246" s="199">
        <f t="shared" si="55"/>
        <v>6000</v>
      </c>
      <c r="P246" s="199">
        <f t="shared" si="55"/>
        <v>0</v>
      </c>
      <c r="Q246" s="199">
        <f t="shared" si="55"/>
        <v>0</v>
      </c>
      <c r="R246" s="199">
        <f t="shared" si="50"/>
        <v>3941983.6769999992</v>
      </c>
      <c r="S246" s="159"/>
      <c r="T246" s="199">
        <f>T205+T245</f>
        <v>0</v>
      </c>
      <c r="U246" s="199">
        <f>U205+U245</f>
        <v>0</v>
      </c>
      <c r="V246" s="199">
        <f t="shared" si="55"/>
        <v>0</v>
      </c>
      <c r="W246" s="199">
        <f t="shared" si="55"/>
        <v>0</v>
      </c>
      <c r="X246" s="199">
        <f t="shared" si="51"/>
        <v>0</v>
      </c>
      <c r="Y246" s="540">
        <f t="shared" si="52"/>
        <v>3941983.6769999992</v>
      </c>
    </row>
    <row r="247" spans="1:25" ht="17.25" thickTop="1" x14ac:dyDescent="0.25">
      <c r="E247" s="500"/>
      <c r="R247" s="500"/>
      <c r="V247" s="483"/>
      <c r="W247" s="483"/>
      <c r="X247" s="483"/>
      <c r="Y247" s="510"/>
    </row>
    <row r="248" spans="1:25" x14ac:dyDescent="0.25">
      <c r="E248" s="500"/>
      <c r="R248" s="500"/>
      <c r="Y248" s="510"/>
    </row>
    <row r="249" spans="1:25" ht="17.25" hidden="1" thickBot="1" x14ac:dyDescent="0.3">
      <c r="E249" s="500"/>
      <c r="R249" s="500"/>
      <c r="Y249" s="510"/>
    </row>
    <row r="250" spans="1:25" ht="18" hidden="1" thickTop="1" thickBot="1" x14ac:dyDescent="0.3">
      <c r="C250" s="275" t="s">
        <v>75</v>
      </c>
      <c r="D250" s="280">
        <v>2295912</v>
      </c>
      <c r="E250" s="501">
        <v>531264</v>
      </c>
      <c r="F250" s="279">
        <v>738209</v>
      </c>
      <c r="G250" s="279">
        <v>185</v>
      </c>
      <c r="H250" s="279">
        <v>0</v>
      </c>
      <c r="I250" s="279">
        <v>129.88300000000001</v>
      </c>
      <c r="J250" s="279">
        <v>277.09300000000002</v>
      </c>
      <c r="K250" s="279">
        <v>0</v>
      </c>
      <c r="L250" s="279">
        <v>362607</v>
      </c>
      <c r="M250" s="279">
        <v>7400</v>
      </c>
      <c r="N250" s="279">
        <v>0</v>
      </c>
      <c r="O250" s="279">
        <v>6000</v>
      </c>
      <c r="P250" s="279">
        <v>0</v>
      </c>
      <c r="Q250" s="279">
        <v>0</v>
      </c>
      <c r="R250" s="501">
        <v>3941984</v>
      </c>
      <c r="S250" s="279"/>
      <c r="T250" s="279">
        <v>0</v>
      </c>
      <c r="U250" s="279">
        <v>0</v>
      </c>
      <c r="V250" s="279"/>
      <c r="W250" s="279"/>
      <c r="X250" s="279">
        <v>0</v>
      </c>
      <c r="Y250" s="511">
        <v>3941984</v>
      </c>
    </row>
    <row r="251" spans="1:25" ht="17.25" hidden="1" thickTop="1" x14ac:dyDescent="0.25"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7"/>
    </row>
    <row r="252" spans="1:25" hidden="1" x14ac:dyDescent="0.25">
      <c r="C252" s="2" t="s">
        <v>73</v>
      </c>
      <c r="D252" s="278">
        <f>D250-D246</f>
        <v>-0.227999999653548</v>
      </c>
      <c r="E252" s="278">
        <f>E250-E246</f>
        <v>6.5999999991618097E-2</v>
      </c>
      <c r="F252" s="278">
        <f t="shared" ref="F252:Y252" si="56">F250-F246</f>
        <v>0.46100000001024455</v>
      </c>
      <c r="G252" s="278">
        <f t="shared" si="56"/>
        <v>0</v>
      </c>
      <c r="H252" s="278">
        <f t="shared" si="56"/>
        <v>0</v>
      </c>
      <c r="I252" s="278">
        <f>I250-I246</f>
        <v>0</v>
      </c>
      <c r="J252" s="278">
        <f t="shared" si="56"/>
        <v>0</v>
      </c>
      <c r="K252" s="278">
        <f t="shared" si="56"/>
        <v>0</v>
      </c>
      <c r="L252" s="278">
        <f t="shared" si="56"/>
        <v>0</v>
      </c>
      <c r="M252" s="278">
        <f t="shared" si="56"/>
        <v>0</v>
      </c>
      <c r="N252" s="278">
        <f t="shared" si="56"/>
        <v>0</v>
      </c>
      <c r="O252" s="278">
        <f t="shared" si="56"/>
        <v>0</v>
      </c>
      <c r="P252" s="278">
        <f t="shared" si="56"/>
        <v>0</v>
      </c>
      <c r="Q252" s="278">
        <f t="shared" si="56"/>
        <v>0</v>
      </c>
      <c r="R252" s="278">
        <f t="shared" si="56"/>
        <v>0.32300000078976154</v>
      </c>
      <c r="S252" s="278"/>
      <c r="T252" s="278">
        <f t="shared" si="56"/>
        <v>0</v>
      </c>
      <c r="U252" s="278">
        <f t="shared" si="56"/>
        <v>0</v>
      </c>
      <c r="V252" s="278">
        <f t="shared" si="56"/>
        <v>0</v>
      </c>
      <c r="W252" s="278">
        <f t="shared" si="56"/>
        <v>0</v>
      </c>
      <c r="X252" s="278">
        <f t="shared" si="56"/>
        <v>0</v>
      </c>
      <c r="Y252" s="278">
        <f t="shared" si="56"/>
        <v>0.32300000078976154</v>
      </c>
    </row>
  </sheetData>
  <mergeCells count="8">
    <mergeCell ref="T8:W8"/>
    <mergeCell ref="AH14:AI14"/>
    <mergeCell ref="A2:Y2"/>
    <mergeCell ref="A4:Y4"/>
    <mergeCell ref="AH9:AI9"/>
    <mergeCell ref="D8:K8"/>
    <mergeCell ref="L8:Q8"/>
    <mergeCell ref="D7:X7"/>
  </mergeCells>
  <phoneticPr fontId="3" type="noConversion"/>
  <printOptions horizontalCentered="1" verticalCentered="1"/>
  <pageMargins left="0" right="0" top="0.62" bottom="0.48" header="0.27" footer="0.15"/>
  <pageSetup paperSize="9" scale="4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10</vt:i4>
      </vt:variant>
    </vt:vector>
  </HeadingPairs>
  <TitlesOfParts>
    <vt:vector size="14" baseType="lpstr">
      <vt:lpstr>1.sz.melléklet</vt:lpstr>
      <vt:lpstr>2.sz.melléklet</vt:lpstr>
      <vt:lpstr>3.sz.melléklet</vt:lpstr>
      <vt:lpstr>4.sz.melléklet</vt:lpstr>
      <vt:lpstr>Excel_BuiltIn__FilterDatabase_2</vt:lpstr>
      <vt:lpstr>Excel_BuiltIn__FilterDatabase_3_3</vt:lpstr>
      <vt:lpstr>'1.sz.melléklet'!Nyomtatási_cím</vt:lpstr>
      <vt:lpstr>'2.sz.melléklet'!Nyomtatási_cím</vt:lpstr>
      <vt:lpstr>'3.sz.melléklet'!Nyomtatási_cím</vt:lpstr>
      <vt:lpstr>'4.sz.melléklet'!Nyomtatási_cím</vt:lpstr>
      <vt:lpstr>'1.sz.melléklet'!Nyomtatási_terület</vt:lpstr>
      <vt:lpstr>'2.sz.melléklet'!Nyomtatási_terület</vt:lpstr>
      <vt:lpstr>'3.sz.melléklet'!Nyomtatási_terület</vt:lpstr>
      <vt:lpstr>'4.sz.melléklet'!Nyomtatási_terület</vt:lpstr>
    </vt:vector>
  </TitlesOfParts>
  <Company>II. Kerületi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</dc:creator>
  <cp:lastModifiedBy>Balog Lászlóné Zsuzsa</cp:lastModifiedBy>
  <cp:lastPrinted>2019-02-11T14:19:51Z</cp:lastPrinted>
  <dcterms:created xsi:type="dcterms:W3CDTF">2009-03-23T07:49:10Z</dcterms:created>
  <dcterms:modified xsi:type="dcterms:W3CDTF">2019-02-11T14:20:26Z</dcterms:modified>
</cp:coreProperties>
</file>