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Penzugyi es Koltsegvetesi Osztaly\HUPENZU\2018\Rendelet módosítások\Harmadik mód_felülv\Leadott\"/>
    </mc:Choice>
  </mc:AlternateContent>
  <bookViews>
    <workbookView xWindow="0" yWindow="0" windowWidth="28800" windowHeight="11835"/>
  </bookViews>
  <sheets>
    <sheet name="5. sz. melléklet" sheetId="2" r:id="rId1"/>
    <sheet name="6.sz. melléklet" sheetId="20" r:id="rId2"/>
  </sheets>
  <definedNames>
    <definedName name="a">#REF!</definedName>
    <definedName name="Excel_BuiltIn_Print_Area_100_1" localSheetId="0">#REF!</definedName>
    <definedName name="Excel_BuiltIn_Print_Area_100_1" localSheetId="1">#REF!</definedName>
    <definedName name="Excel_BuiltIn_Print_Area_109_1" localSheetId="0">#REF!</definedName>
    <definedName name="Excel_BuiltIn_Print_Area_109_1" localSheetId="1">#REF!</definedName>
    <definedName name="Excel_BuiltIn_Print_Area_109_1">#REF!</definedName>
    <definedName name="Excel_BuiltIn_Print_Area_111" localSheetId="0">#REF!</definedName>
    <definedName name="Excel_BuiltIn_Print_Area_111" localSheetId="1">#REF!</definedName>
    <definedName name="Excel_BuiltIn_Print_Area_14_1" localSheetId="1">#REF!</definedName>
    <definedName name="Excel_BuiltIn_Print_Area_14_1">#REF!</definedName>
    <definedName name="Excel_BuiltIn_Print_Area_14_1_1" localSheetId="1">#REF!</definedName>
    <definedName name="Excel_BuiltIn_Print_Area_14_1_1">#REF!</definedName>
    <definedName name="Excel_BuiltIn_Print_Area_29_1" localSheetId="1">#REF!</definedName>
    <definedName name="Excel_BuiltIn_Print_Area_29_1">#REF!</definedName>
    <definedName name="Excel_BuiltIn_Print_Area_29_1_1" localSheetId="1">#REF!</definedName>
    <definedName name="Excel_BuiltIn_Print_Area_29_1_1">#REF!</definedName>
    <definedName name="Excel_BuiltIn_Print_Area_31_1" localSheetId="1">#REF!</definedName>
    <definedName name="Excel_BuiltIn_Print_Area_31_1">#REF!</definedName>
    <definedName name="Excel_BuiltIn_Print_Area_32_1" localSheetId="1">#REF!</definedName>
    <definedName name="Excel_BuiltIn_Print_Area_32_1">#REF!</definedName>
    <definedName name="Excel_BuiltIn_Print_Area_34_1" localSheetId="1">#REF!</definedName>
    <definedName name="Excel_BuiltIn_Print_Area_34_1">#REF!</definedName>
    <definedName name="Excel_BuiltIn_Print_Area_37_1" localSheetId="1">#REF!</definedName>
    <definedName name="Excel_BuiltIn_Print_Area_37_1">#REF!</definedName>
    <definedName name="Excel_BuiltIn_Print_Area_55_1" localSheetId="1">#REF!</definedName>
    <definedName name="Excel_BuiltIn_Print_Area_55_1">#REF!</definedName>
    <definedName name="mama">#REF!</definedName>
    <definedName name="_xlnm.Print_Area" localSheetId="0">'5. sz. melléklet'!$A$1:$O$107</definedName>
    <definedName name="_xlnm.Print_Area" localSheetId="1">'6.sz. melléklet'!$A$1:$M$108</definedName>
    <definedName name="pm" localSheetId="1">#REF!</definedName>
    <definedName name="pm">#REF!</definedName>
    <definedName name="teszt">#REF!</definedName>
  </definedNames>
  <calcPr calcId="152511"/>
</workbook>
</file>

<file path=xl/calcChain.xml><?xml version="1.0" encoding="utf-8"?>
<calcChain xmlns="http://schemas.openxmlformats.org/spreadsheetml/2006/main">
  <c r="F103" i="20" l="1"/>
  <c r="E103" i="20"/>
  <c r="D103" i="20"/>
  <c r="C103" i="20" s="1"/>
  <c r="F99" i="20"/>
  <c r="C99" i="20" s="1"/>
  <c r="M97" i="20"/>
  <c r="L97" i="20"/>
  <c r="K97" i="20"/>
  <c r="J97" i="20"/>
  <c r="I97" i="20"/>
  <c r="H97" i="20"/>
  <c r="G97" i="20"/>
  <c r="E95" i="20"/>
  <c r="D95" i="20"/>
  <c r="C95" i="20"/>
  <c r="E94" i="20"/>
  <c r="D94" i="20"/>
  <c r="C94" i="20" s="1"/>
  <c r="E93" i="20"/>
  <c r="D93" i="20"/>
  <c r="F92" i="20"/>
  <c r="F97" i="20" s="1"/>
  <c r="E92" i="20"/>
  <c r="D92" i="20"/>
  <c r="E91" i="20"/>
  <c r="E97" i="20" s="1"/>
  <c r="D91" i="20"/>
  <c r="M89" i="20"/>
  <c r="L89" i="20"/>
  <c r="K89" i="20"/>
  <c r="J89" i="20"/>
  <c r="I89" i="20"/>
  <c r="H89" i="20"/>
  <c r="G89" i="20"/>
  <c r="E87" i="20"/>
  <c r="D87" i="20"/>
  <c r="C87" i="20" s="1"/>
  <c r="F86" i="20"/>
  <c r="E86" i="20"/>
  <c r="D86" i="20"/>
  <c r="E85" i="20"/>
  <c r="D85" i="20"/>
  <c r="F84" i="20"/>
  <c r="C84" i="20" s="1"/>
  <c r="F83" i="20"/>
  <c r="E83" i="20"/>
  <c r="D83" i="20"/>
  <c r="C83" i="20" s="1"/>
  <c r="C82" i="20"/>
  <c r="F81" i="20"/>
  <c r="E81" i="20"/>
  <c r="D81" i="20"/>
  <c r="F80" i="20"/>
  <c r="E80" i="20"/>
  <c r="D80" i="20"/>
  <c r="C80" i="20" s="1"/>
  <c r="C79" i="20"/>
  <c r="F78" i="20"/>
  <c r="E78" i="20"/>
  <c r="D78" i="20"/>
  <c r="D89" i="20" s="1"/>
  <c r="C77" i="20"/>
  <c r="F76" i="20"/>
  <c r="M74" i="20"/>
  <c r="M101" i="20" s="1"/>
  <c r="M105" i="20" s="1"/>
  <c r="L74" i="20"/>
  <c r="L101" i="20" s="1"/>
  <c r="L105" i="20" s="1"/>
  <c r="K74" i="20"/>
  <c r="J74" i="20"/>
  <c r="J101" i="20" s="1"/>
  <c r="J105" i="20" s="1"/>
  <c r="I74" i="20"/>
  <c r="I101" i="20" s="1"/>
  <c r="I105" i="20" s="1"/>
  <c r="H74" i="20"/>
  <c r="H101" i="20" s="1"/>
  <c r="H105" i="20" s="1"/>
  <c r="G74" i="20"/>
  <c r="F74" i="20"/>
  <c r="E72" i="20"/>
  <c r="E74" i="20" s="1"/>
  <c r="D72" i="20"/>
  <c r="D74" i="20" s="1"/>
  <c r="O104" i="2"/>
  <c r="N104" i="2"/>
  <c r="K102" i="2"/>
  <c r="C102" i="2"/>
  <c r="K98" i="2"/>
  <c r="C98" i="2"/>
  <c r="O96" i="2"/>
  <c r="N96" i="2"/>
  <c r="M96" i="2"/>
  <c r="L96" i="2"/>
  <c r="J96" i="2"/>
  <c r="I96" i="2"/>
  <c r="H96" i="2"/>
  <c r="G96" i="2"/>
  <c r="F96" i="2"/>
  <c r="E96" i="2"/>
  <c r="D96" i="2"/>
  <c r="K94" i="2"/>
  <c r="C94" i="2" s="1"/>
  <c r="K93" i="2"/>
  <c r="C93" i="2" s="1"/>
  <c r="K92" i="2"/>
  <c r="C92" i="2"/>
  <c r="K91" i="2"/>
  <c r="C91" i="2" s="1"/>
  <c r="K90" i="2"/>
  <c r="K96" i="2" s="1"/>
  <c r="O88" i="2"/>
  <c r="N88" i="2"/>
  <c r="M88" i="2"/>
  <c r="L88" i="2"/>
  <c r="J88" i="2"/>
  <c r="I88" i="2"/>
  <c r="H88" i="2"/>
  <c r="G88" i="2"/>
  <c r="F88" i="2"/>
  <c r="E88" i="2"/>
  <c r="D88" i="2"/>
  <c r="C87" i="2"/>
  <c r="C86" i="2"/>
  <c r="C85" i="2"/>
  <c r="C84" i="2"/>
  <c r="C83" i="2"/>
  <c r="K82" i="2"/>
  <c r="C82" i="2" s="1"/>
  <c r="K81" i="2"/>
  <c r="C81" i="2" s="1"/>
  <c r="C80" i="2"/>
  <c r="K79" i="2"/>
  <c r="C79" i="2"/>
  <c r="C78" i="2"/>
  <c r="K77" i="2"/>
  <c r="C77" i="2" s="1"/>
  <c r="C76" i="2"/>
  <c r="C75" i="2"/>
  <c r="O73" i="2"/>
  <c r="N73" i="2"/>
  <c r="M73" i="2"/>
  <c r="L73" i="2"/>
  <c r="L100" i="2" s="1"/>
  <c r="L104" i="2" s="1"/>
  <c r="J73" i="2"/>
  <c r="J100" i="2" s="1"/>
  <c r="J104" i="2" s="1"/>
  <c r="I73" i="2"/>
  <c r="I100" i="2" s="1"/>
  <c r="I104" i="2" s="1"/>
  <c r="H73" i="2"/>
  <c r="G73" i="2"/>
  <c r="G100" i="2" s="1"/>
  <c r="G104" i="2" s="1"/>
  <c r="F73" i="2"/>
  <c r="F100" i="2" s="1"/>
  <c r="F104" i="2" s="1"/>
  <c r="E73" i="2"/>
  <c r="E100" i="2" s="1"/>
  <c r="E104" i="2" s="1"/>
  <c r="D73" i="2"/>
  <c r="K71" i="2"/>
  <c r="K73" i="2" s="1"/>
  <c r="E89" i="20" l="1"/>
  <c r="F89" i="20"/>
  <c r="F101" i="20" s="1"/>
  <c r="F105" i="20" s="1"/>
  <c r="C85" i="20"/>
  <c r="C92" i="20"/>
  <c r="C93" i="20"/>
  <c r="G101" i="20"/>
  <c r="G105" i="20" s="1"/>
  <c r="K101" i="20"/>
  <c r="K105" i="20" s="1"/>
  <c r="C81" i="20"/>
  <c r="C86" i="20"/>
  <c r="D97" i="20"/>
  <c r="D101" i="20" s="1"/>
  <c r="D105" i="20" s="1"/>
  <c r="E101" i="20"/>
  <c r="E105" i="20" s="1"/>
  <c r="C78" i="20"/>
  <c r="C76" i="20"/>
  <c r="C91" i="20"/>
  <c r="C97" i="20" s="1"/>
  <c r="C72" i="20"/>
  <c r="C74" i="20" s="1"/>
  <c r="C71" i="2"/>
  <c r="C73" i="2" s="1"/>
  <c r="D100" i="2"/>
  <c r="D104" i="2" s="1"/>
  <c r="H100" i="2"/>
  <c r="H104" i="2" s="1"/>
  <c r="M100" i="2"/>
  <c r="M104" i="2" s="1"/>
  <c r="C90" i="2"/>
  <c r="K100" i="2"/>
  <c r="K104" i="2" s="1"/>
  <c r="C88" i="2"/>
  <c r="C96" i="2"/>
  <c r="K88" i="2"/>
  <c r="I32" i="20"/>
  <c r="F32" i="20"/>
  <c r="F31" i="20"/>
  <c r="I31" i="20"/>
  <c r="K32" i="2"/>
  <c r="K31" i="2"/>
  <c r="C89" i="20" l="1"/>
  <c r="C101" i="20" s="1"/>
  <c r="C105" i="20" s="1"/>
  <c r="C100" i="2"/>
  <c r="C104" i="2" s="1"/>
  <c r="K50" i="2"/>
  <c r="F50" i="20"/>
  <c r="E50" i="20"/>
  <c r="D50" i="20"/>
  <c r="K40" i="2" l="1"/>
  <c r="K39" i="2"/>
  <c r="F39" i="20"/>
  <c r="K41" i="2" l="1"/>
  <c r="K46" i="2"/>
  <c r="M46" i="2"/>
  <c r="I46" i="20"/>
  <c r="F46" i="20"/>
  <c r="F23" i="20"/>
  <c r="E27" i="20"/>
  <c r="K29" i="2"/>
  <c r="K27" i="2"/>
  <c r="K25" i="2"/>
  <c r="F27" i="20"/>
  <c r="F25" i="20"/>
  <c r="E34" i="20"/>
  <c r="D34" i="20"/>
  <c r="D27" i="20"/>
  <c r="K30" i="2"/>
  <c r="F30" i="20"/>
  <c r="K42" i="2" l="1"/>
  <c r="K38" i="2"/>
  <c r="K19" i="2"/>
  <c r="E41" i="20"/>
  <c r="E40" i="20"/>
  <c r="E38" i="20"/>
  <c r="E42" i="20"/>
  <c r="E39" i="20"/>
  <c r="D42" i="20"/>
  <c r="D41" i="20"/>
  <c r="D40" i="20"/>
  <c r="D39" i="20"/>
  <c r="D38" i="20"/>
  <c r="E19" i="20"/>
  <c r="D19" i="20"/>
  <c r="E32" i="20"/>
  <c r="D32" i="20"/>
  <c r="E30" i="20"/>
  <c r="D30" i="20"/>
  <c r="E25" i="20"/>
  <c r="D25" i="20"/>
  <c r="F33" i="20" l="1"/>
  <c r="E33" i="20"/>
  <c r="D33" i="20"/>
  <c r="F28" i="20" l="1"/>
  <c r="E28" i="20"/>
  <c r="D28" i="20"/>
  <c r="C30" i="20" l="1"/>
  <c r="C19" i="2" l="1"/>
  <c r="J44" i="2" l="1"/>
  <c r="J36" i="2"/>
  <c r="K36" i="2" l="1"/>
  <c r="C27" i="20" l="1"/>
  <c r="C35" i="2" l="1"/>
  <c r="C50" i="2" l="1"/>
  <c r="C41" i="2"/>
  <c r="C30" i="2"/>
  <c r="C39" i="20"/>
  <c r="C28" i="20"/>
  <c r="C26" i="20"/>
  <c r="C40" i="20" l="1"/>
  <c r="C42" i="20" l="1"/>
  <c r="C24" i="20" l="1"/>
  <c r="C46" i="20" l="1"/>
  <c r="C46" i="2" l="1"/>
  <c r="C40" i="2" l="1"/>
  <c r="C34" i="2" l="1"/>
  <c r="C34" i="20"/>
  <c r="N52" i="2" l="1"/>
  <c r="O52" i="2"/>
  <c r="C50" i="20"/>
  <c r="K21" i="2" l="1"/>
  <c r="J21" i="2"/>
  <c r="J48" i="2" s="1"/>
  <c r="J52" i="2" l="1"/>
  <c r="K44" i="2"/>
  <c r="K48" i="2" l="1"/>
  <c r="K52" i="2" s="1"/>
  <c r="M44" i="20"/>
  <c r="L44" i="20"/>
  <c r="K44" i="20"/>
  <c r="J44" i="20"/>
  <c r="I44" i="20"/>
  <c r="H44" i="20"/>
  <c r="G44" i="20"/>
  <c r="F44" i="20"/>
  <c r="E44" i="20"/>
  <c r="D44" i="20"/>
  <c r="C41" i="20"/>
  <c r="C38" i="20"/>
  <c r="M36" i="20"/>
  <c r="L36" i="20"/>
  <c r="K36" i="20"/>
  <c r="J36" i="20"/>
  <c r="I36" i="20"/>
  <c r="H36" i="20"/>
  <c r="G36" i="20"/>
  <c r="F36" i="20"/>
  <c r="E36" i="20"/>
  <c r="D36" i="20"/>
  <c r="C33" i="20"/>
  <c r="C32" i="20"/>
  <c r="C31" i="20"/>
  <c r="C29" i="20"/>
  <c r="C25" i="20"/>
  <c r="C23" i="20"/>
  <c r="M21" i="20"/>
  <c r="M48" i="20" s="1"/>
  <c r="M52" i="20" s="1"/>
  <c r="L21" i="20"/>
  <c r="K21" i="20"/>
  <c r="J21" i="20"/>
  <c r="I21" i="20"/>
  <c r="H21" i="20"/>
  <c r="G21" i="20"/>
  <c r="F21" i="20"/>
  <c r="E21" i="20"/>
  <c r="D21" i="20"/>
  <c r="C19" i="20"/>
  <c r="C44" i="20" l="1"/>
  <c r="H48" i="20"/>
  <c r="L48" i="20"/>
  <c r="L52" i="20" s="1"/>
  <c r="E48" i="20"/>
  <c r="D48" i="20"/>
  <c r="J48" i="20"/>
  <c r="K48" i="20"/>
  <c r="K52" i="20" s="1"/>
  <c r="G48" i="20"/>
  <c r="I48" i="20"/>
  <c r="F48" i="20"/>
  <c r="C21" i="20"/>
  <c r="C36" i="20"/>
  <c r="J52" i="20" l="1"/>
  <c r="H52" i="20"/>
  <c r="G52" i="20"/>
  <c r="I52" i="20"/>
  <c r="D52" i="20"/>
  <c r="E52" i="20"/>
  <c r="F52" i="20"/>
  <c r="C48" i="20"/>
  <c r="E44" i="2"/>
  <c r="C39" i="2"/>
  <c r="C33" i="2"/>
  <c r="C29" i="2"/>
  <c r="C28" i="2"/>
  <c r="C27" i="2"/>
  <c r="C26" i="2"/>
  <c r="C24" i="2"/>
  <c r="C31" i="2"/>
  <c r="C42" i="2"/>
  <c r="D36" i="2"/>
  <c r="D21" i="2"/>
  <c r="E21" i="2"/>
  <c r="H21" i="2"/>
  <c r="C25" i="2"/>
  <c r="F21" i="2"/>
  <c r="G21" i="2"/>
  <c r="I21" i="2"/>
  <c r="L21" i="2"/>
  <c r="M21" i="2"/>
  <c r="N21" i="2"/>
  <c r="O21" i="2"/>
  <c r="E36" i="2"/>
  <c r="F36" i="2"/>
  <c r="G36" i="2"/>
  <c r="I36" i="2"/>
  <c r="L36" i="2"/>
  <c r="M36" i="2"/>
  <c r="N36" i="2"/>
  <c r="O36" i="2"/>
  <c r="F44" i="2"/>
  <c r="G44" i="2"/>
  <c r="H44" i="2"/>
  <c r="I44" i="2"/>
  <c r="L44" i="2"/>
  <c r="M44" i="2"/>
  <c r="N44" i="2"/>
  <c r="O44" i="2"/>
  <c r="H36" i="2"/>
  <c r="C38" i="2"/>
  <c r="C52" i="20" l="1"/>
  <c r="C44" i="2"/>
  <c r="E48" i="2"/>
  <c r="E52" i="2" s="1"/>
  <c r="G48" i="2"/>
  <c r="G52" i="2" s="1"/>
  <c r="M48" i="2"/>
  <c r="M52" i="2" s="1"/>
  <c r="F48" i="2"/>
  <c r="F52" i="2" s="1"/>
  <c r="L48" i="2"/>
  <c r="L52" i="2" s="1"/>
  <c r="I48" i="2"/>
  <c r="I52" i="2" s="1"/>
  <c r="H48" i="2"/>
  <c r="H52" i="2" s="1"/>
  <c r="C23" i="2"/>
  <c r="D44" i="2"/>
  <c r="D48" i="2" s="1"/>
  <c r="D52" i="2" s="1"/>
  <c r="C32" i="2"/>
  <c r="C36" i="2" l="1"/>
  <c r="C21" i="2"/>
  <c r="C48" i="2" l="1"/>
  <c r="C52" i="2" l="1"/>
</calcChain>
</file>

<file path=xl/sharedStrings.xml><?xml version="1.0" encoding="utf-8"?>
<sst xmlns="http://schemas.openxmlformats.org/spreadsheetml/2006/main" count="386" uniqueCount="99">
  <si>
    <t>ezer Ft-ban</t>
  </si>
  <si>
    <t>Kötelező feladatok</t>
  </si>
  <si>
    <t>Önként vállalt feladatok</t>
  </si>
  <si>
    <t>Költségvetési</t>
  </si>
  <si>
    <t>Munkaadókat</t>
  </si>
  <si>
    <t>kiadások</t>
  </si>
  <si>
    <t>Személyi</t>
  </si>
  <si>
    <t>terhelő</t>
  </si>
  <si>
    <t>Dologi</t>
  </si>
  <si>
    <t>Ellátottak</t>
  </si>
  <si>
    <t>Működési</t>
  </si>
  <si>
    <t>Beruházások</t>
  </si>
  <si>
    <t>Felújítások</t>
  </si>
  <si>
    <t>Felhalmozási</t>
  </si>
  <si>
    <t>összesen</t>
  </si>
  <si>
    <t>juttatások</t>
  </si>
  <si>
    <t>pénzbeli</t>
  </si>
  <si>
    <t>célú</t>
  </si>
  <si>
    <t>felhalmozási</t>
  </si>
  <si>
    <t>Ssz.</t>
  </si>
  <si>
    <t>megnevezése</t>
  </si>
  <si>
    <t>szocilis</t>
  </si>
  <si>
    <t>juttatásai</t>
  </si>
  <si>
    <t>pénzeszköz</t>
  </si>
  <si>
    <t>hozzájárulási</t>
  </si>
  <si>
    <t>adó</t>
  </si>
  <si>
    <t>1.</t>
  </si>
  <si>
    <t xml:space="preserve">Egyesített Bölcsődék </t>
  </si>
  <si>
    <t>Bolyai Utcai Óvoda</t>
  </si>
  <si>
    <t>2.</t>
  </si>
  <si>
    <t>Budakeszi Úti Óvoda</t>
  </si>
  <si>
    <t>3.</t>
  </si>
  <si>
    <t>Hűvösvölgyi Gesztenyéskert Óvoda</t>
  </si>
  <si>
    <t>4.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</si>
  <si>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</si>
  <si>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</si>
  <si>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</si>
  <si>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</si>
  <si>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</si>
  <si>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</si>
  <si>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</si>
  <si>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ÉNO</t>
  </si>
  <si>
    <t xml:space="preserve">I. Gondozási Központ </t>
  </si>
  <si>
    <t xml:space="preserve">II. Gondozási Központ </t>
  </si>
  <si>
    <t xml:space="preserve">III. Gondozási Központ </t>
  </si>
  <si>
    <t>Intézmény Működtetési Központ</t>
  </si>
  <si>
    <t>bevételek</t>
  </si>
  <si>
    <t>Egyéb</t>
  </si>
  <si>
    <t>támogatás</t>
  </si>
  <si>
    <t xml:space="preserve">Felhalmozási </t>
  </si>
  <si>
    <t>államháztartáson</t>
  </si>
  <si>
    <t xml:space="preserve">működési </t>
  </si>
  <si>
    <t>belülről</t>
  </si>
  <si>
    <t>járulékok és</t>
  </si>
  <si>
    <t>átvett</t>
  </si>
  <si>
    <t>maradvány</t>
  </si>
  <si>
    <t>Finanszírozási bevételek</t>
  </si>
  <si>
    <t>költségvetési</t>
  </si>
  <si>
    <t>igénybevétel</t>
  </si>
  <si>
    <t>irányító szervi</t>
  </si>
  <si>
    <t xml:space="preserve">Költségvetési szerv </t>
  </si>
  <si>
    <t>Költségvetési bevételek</t>
  </si>
  <si>
    <t>Működési költségvetési kiadások</t>
  </si>
  <si>
    <t>Felhalmozási költségvetési kiadások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</si>
  <si>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</si>
  <si>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</si>
  <si>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</si>
  <si>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</si>
  <si>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</si>
  <si>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</si>
  <si>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</si>
  <si>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</si>
  <si>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</si>
  <si>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</si>
  <si>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</t>
  </si>
  <si>
    <t>I.</t>
  </si>
  <si>
    <t>II.</t>
  </si>
  <si>
    <t>Egészségügyi Szolgálat</t>
  </si>
  <si>
    <t>A</t>
  </si>
  <si>
    <t>Gazdasági szervezettel nem rendelkező intézmények összesen:</t>
  </si>
  <si>
    <t>Egyesített Bölcsődék összesen:</t>
  </si>
  <si>
    <t>Óvodák összesen:</t>
  </si>
  <si>
    <t>Humán szolgáltatás összesen:</t>
  </si>
  <si>
    <t>Humán szolgáltatás összsen:</t>
  </si>
  <si>
    <t>Mindösszesen: (I.+II.)</t>
  </si>
  <si>
    <t>Virág árok Óvoda</t>
  </si>
  <si>
    <t xml:space="preserve">Budapest Főváros II. Kerületi Önkormányzat irányítása alá tartozó gazdasági szervezettel nem rendelkező költségvetési szervek és az Egészségügyi Szolgálat kiadási előirányzat változásai </t>
  </si>
  <si>
    <t>l</t>
  </si>
  <si>
    <t>Völgy Utcai Óvoda</t>
  </si>
  <si>
    <t>Budapest Főváros II. Kerületi Önkormányzat irányítása alá tartozó gazdasági szervezettel nem rendelkező költségvetési szervek és az Egészségügyi Szolgálat bevételi előirányzat változásai</t>
  </si>
  <si>
    <t>Család és Gyermekjóléti Központ</t>
  </si>
  <si>
    <t>6. sz. melléklet</t>
  </si>
  <si>
    <t>2018. szeptember 1-től október 31-ig.</t>
  </si>
  <si>
    <t>2018. szeptember 1-től- október 31-ig</t>
  </si>
  <si>
    <t>5. sz. melléklet</t>
  </si>
  <si>
    <r>
      <t xml:space="preserve">Budapest Főváros II. Kerületi Önkormányzat irányítása alá tartozó gazdasági szervezettel nem rendelkező költségvetési szervek és az Egészségügyi Szolgálat </t>
    </r>
    <r>
      <rPr>
        <b/>
        <u/>
        <sz val="10"/>
        <rFont val="Times New Roman"/>
        <family val="1"/>
        <charset val="238"/>
      </rPr>
      <t>végrehajtott</t>
    </r>
    <r>
      <rPr>
        <b/>
        <sz val="10"/>
        <rFont val="Times New Roman"/>
        <family val="1"/>
        <charset val="238"/>
      </rPr>
      <t xml:space="preserve"> bevételi előirányzat változásai</t>
    </r>
  </si>
  <si>
    <r>
      <t xml:space="preserve">Budapest Főváros II. Kerületi Önkormányzat irányítása alá tartozó gazdasági szervezettel nem rendelkező költségvetési szervek és az Egészségügyi Szolgálat </t>
    </r>
    <r>
      <rPr>
        <b/>
        <u/>
        <sz val="10"/>
        <rFont val="Times New Roman"/>
        <family val="1"/>
        <charset val="238"/>
      </rPr>
      <t>végrehajtott</t>
    </r>
    <r>
      <rPr>
        <b/>
        <sz val="10"/>
        <rFont val="Times New Roman"/>
        <family val="1"/>
        <charset val="238"/>
      </rPr>
      <t xml:space="preserve"> kiadási előirányzat változásai </t>
    </r>
  </si>
  <si>
    <t>6. sz. melléklet 2. oldal</t>
  </si>
  <si>
    <t>5. sz. melléklet 2. oldal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</si>
</sst>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H_U_F_-;\-* #,##0.00\ _H_U_F_-;_-* &quot;-&quot;??\ _H_U_F_-;_-@_-"/>
    <numFmt numFmtId="165" formatCode="0.0"/>
    <numFmt numFmtId="166" formatCode="_-* #,##0\ _H_U_F_-;\-* #,##0\ _H_U_F_-;_-* &quot;-&quot;??\ _H_U_F_-;_-@_-"/>
    <numFmt numFmtId="167" formatCode="_-* #,##0.000\ _H_U_F_-;\-* #,##0.000\ _H_U_F_-;_-* &quot;-&quot;??\ _H_U_F_-;_-@_-"/>
    <numFmt numFmtId="168" formatCode="_-* #,##0.0000\ _H_U_F_-;\-* #,##0.0000\ _H_U_F_-;_-* &quot;-&quot;??\ _H_U_F_-;_-@_-"/>
  </numFmts>
  <fonts count="39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</font>
    <font>
      <b/>
      <u/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164" fontId="9" fillId="0" borderId="0" applyFont="0" applyFill="0" applyBorder="0" applyAlignment="0" applyProtection="0"/>
  </cellStyleXfs>
  <cellXfs count="22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2" fillId="0" borderId="0" xfId="0" applyFont="1"/>
    <xf numFmtId="0" fontId="21" fillId="0" borderId="0" xfId="0" applyFont="1" applyAlignment="1"/>
    <xf numFmtId="0" fontId="23" fillId="0" borderId="0" xfId="0" applyFont="1"/>
    <xf numFmtId="0" fontId="22" fillId="0" borderId="10" xfId="0" applyFont="1" applyBorder="1"/>
    <xf numFmtId="0" fontId="21" fillId="0" borderId="11" xfId="0" applyFont="1" applyBorder="1" applyAlignment="1"/>
    <xf numFmtId="0" fontId="22" fillId="0" borderId="15" xfId="0" applyFont="1" applyBorder="1"/>
    <xf numFmtId="0" fontId="22" fillId="0" borderId="17" xfId="0" applyFont="1" applyBorder="1"/>
    <xf numFmtId="0" fontId="22" fillId="0" borderId="17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0" fillId="0" borderId="15" xfId="0" applyFont="1" applyBorder="1"/>
    <xf numFmtId="0" fontId="20" fillId="0" borderId="25" xfId="0" applyFont="1" applyBorder="1"/>
    <xf numFmtId="0" fontId="22" fillId="0" borderId="3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0" fillId="0" borderId="0" xfId="0" applyFont="1" applyBorder="1"/>
    <xf numFmtId="3" fontId="20" fillId="0" borderId="0" xfId="0" applyNumberFormat="1" applyFont="1"/>
    <xf numFmtId="0" fontId="23" fillId="0" borderId="0" xfId="0" applyFont="1" applyBorder="1"/>
    <xf numFmtId="0" fontId="29" fillId="0" borderId="15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3" fontId="20" fillId="0" borderId="0" xfId="0" applyNumberFormat="1" applyFont="1" applyBorder="1"/>
    <xf numFmtId="0" fontId="22" fillId="0" borderId="15" xfId="0" applyFont="1" applyBorder="1" applyAlignment="1">
      <alignment horizontal="center"/>
    </xf>
    <xf numFmtId="165" fontId="20" fillId="0" borderId="0" xfId="0" applyNumberFormat="1" applyFont="1"/>
    <xf numFmtId="0" fontId="29" fillId="0" borderId="30" xfId="0" applyFont="1" applyBorder="1"/>
    <xf numFmtId="0" fontId="29" fillId="0" borderId="17" xfId="0" applyFont="1" applyBorder="1"/>
    <xf numFmtId="0" fontId="29" fillId="0" borderId="15" xfId="0" applyFont="1" applyBorder="1"/>
    <xf numFmtId="0" fontId="28" fillId="0" borderId="44" xfId="0" applyFont="1" applyBorder="1" applyAlignment="1">
      <alignment horizontal="center"/>
    </xf>
    <xf numFmtId="0" fontId="30" fillId="0" borderId="17" xfId="0" applyFont="1" applyBorder="1"/>
    <xf numFmtId="0" fontId="30" fillId="0" borderId="17" xfId="0" applyFont="1" applyFill="1" applyBorder="1" applyAlignment="1">
      <alignment horizontal="left"/>
    </xf>
    <xf numFmtId="0" fontId="30" fillId="0" borderId="36" xfId="0" applyFont="1" applyBorder="1"/>
    <xf numFmtId="0" fontId="30" fillId="0" borderId="30" xfId="0" applyFont="1" applyBorder="1"/>
    <xf numFmtId="0" fontId="32" fillId="0" borderId="17" xfId="0" applyFont="1" applyBorder="1"/>
    <xf numFmtId="0" fontId="21" fillId="0" borderId="17" xfId="0" applyFont="1" applyBorder="1" applyAlignment="1"/>
    <xf numFmtId="0" fontId="26" fillId="0" borderId="12" xfId="0" applyFont="1" applyBorder="1" applyAlignment="1">
      <alignment horizontal="center"/>
    </xf>
    <xf numFmtId="0" fontId="20" fillId="0" borderId="44" xfId="0" applyFont="1" applyBorder="1"/>
    <xf numFmtId="0" fontId="26" fillId="0" borderId="4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9" fillId="0" borderId="30" xfId="0" applyFont="1" applyFill="1" applyBorder="1"/>
    <xf numFmtId="0" fontId="20" fillId="0" borderId="36" xfId="0" applyFont="1" applyBorder="1"/>
    <xf numFmtId="0" fontId="22" fillId="0" borderId="17" xfId="0" applyFont="1" applyFill="1" applyBorder="1"/>
    <xf numFmtId="0" fontId="29" fillId="0" borderId="40" xfId="0" applyFont="1" applyBorder="1" applyAlignment="1">
      <alignment wrapText="1"/>
    </xf>
    <xf numFmtId="3" fontId="22" fillId="0" borderId="30" xfId="0" applyNumberFormat="1" applyFont="1" applyBorder="1"/>
    <xf numFmtId="3" fontId="22" fillId="0" borderId="17" xfId="0" applyNumberFormat="1" applyFont="1" applyBorder="1"/>
    <xf numFmtId="3" fontId="36" fillId="0" borderId="40" xfId="0" applyNumberFormat="1" applyFont="1" applyBorder="1"/>
    <xf numFmtId="0" fontId="29" fillId="0" borderId="12" xfId="0" applyFont="1" applyBorder="1" applyAlignment="1">
      <alignment horizontal="center" wrapText="1"/>
    </xf>
    <xf numFmtId="3" fontId="37" fillId="0" borderId="0" xfId="0" applyNumberFormat="1" applyFont="1"/>
    <xf numFmtId="0" fontId="20" fillId="0" borderId="0" xfId="0" applyFont="1" applyAlignment="1">
      <alignment horizontal="right"/>
    </xf>
    <xf numFmtId="3" fontId="33" fillId="0" borderId="0" xfId="0" applyNumberFormat="1" applyFont="1"/>
    <xf numFmtId="167" fontId="20" fillId="0" borderId="0" xfId="42" applyNumberFormat="1" applyFont="1"/>
    <xf numFmtId="167" fontId="20" fillId="0" borderId="0" xfId="42" applyNumberFormat="1" applyFont="1" applyAlignment="1">
      <alignment horizontal="right"/>
    </xf>
    <xf numFmtId="167" fontId="21" fillId="0" borderId="0" xfId="42" applyNumberFormat="1" applyFont="1" applyAlignment="1"/>
    <xf numFmtId="167" fontId="24" fillId="0" borderId="0" xfId="42" applyNumberFormat="1" applyFont="1" applyAlignment="1"/>
    <xf numFmtId="167" fontId="25" fillId="0" borderId="0" xfId="42" applyNumberFormat="1" applyFont="1" applyAlignment="1">
      <alignment horizontal="right"/>
    </xf>
    <xf numFmtId="167" fontId="21" fillId="0" borderId="11" xfId="42" applyNumberFormat="1" applyFont="1" applyBorder="1" applyAlignment="1"/>
    <xf numFmtId="167" fontId="26" fillId="0" borderId="12" xfId="42" applyNumberFormat="1" applyFont="1" applyBorder="1"/>
    <xf numFmtId="167" fontId="26" fillId="0" borderId="13" xfId="42" applyNumberFormat="1" applyFont="1" applyBorder="1"/>
    <xf numFmtId="167" fontId="21" fillId="0" borderId="15" xfId="42" applyNumberFormat="1" applyFont="1" applyBorder="1" applyAlignment="1"/>
    <xf numFmtId="167" fontId="21" fillId="0" borderId="18" xfId="42" applyNumberFormat="1" applyFont="1" applyBorder="1" applyAlignment="1"/>
    <xf numFmtId="167" fontId="22" fillId="0" borderId="17" xfId="42" applyNumberFormat="1" applyFont="1" applyBorder="1" applyAlignment="1">
      <alignment horizontal="center"/>
    </xf>
    <xf numFmtId="167" fontId="22" fillId="0" borderId="0" xfId="42" applyNumberFormat="1" applyFont="1" applyBorder="1"/>
    <xf numFmtId="167" fontId="22" fillId="0" borderId="16" xfId="42" applyNumberFormat="1" applyFont="1" applyBorder="1" applyAlignment="1">
      <alignment horizontal="center"/>
    </xf>
    <xf numFmtId="167" fontId="22" fillId="0" borderId="10" xfId="42" applyNumberFormat="1" applyFont="1" applyBorder="1"/>
    <xf numFmtId="167" fontId="22" fillId="0" borderId="47" xfId="42" applyNumberFormat="1" applyFont="1" applyBorder="1"/>
    <xf numFmtId="167" fontId="22" fillId="0" borderId="18" xfId="42" applyNumberFormat="1" applyFont="1" applyBorder="1" applyAlignment="1">
      <alignment horizontal="center"/>
    </xf>
    <xf numFmtId="167" fontId="22" fillId="0" borderId="15" xfId="42" applyNumberFormat="1" applyFont="1" applyFill="1" applyBorder="1" applyAlignment="1">
      <alignment horizontal="center"/>
    </xf>
    <xf numFmtId="167" fontId="22" fillId="0" borderId="21" xfId="42" applyNumberFormat="1" applyFont="1" applyFill="1" applyBorder="1" applyAlignment="1">
      <alignment horizontal="center"/>
    </xf>
    <xf numFmtId="167" fontId="22" fillId="0" borderId="0" xfId="42" applyNumberFormat="1" applyFont="1" applyBorder="1" applyAlignment="1">
      <alignment horizontal="center"/>
    </xf>
    <xf numFmtId="167" fontId="22" fillId="0" borderId="20" xfId="42" applyNumberFormat="1" applyFont="1" applyFill="1" applyBorder="1" applyAlignment="1">
      <alignment horizontal="center"/>
    </xf>
    <xf numFmtId="167" fontId="22" fillId="0" borderId="21" xfId="42" applyNumberFormat="1" applyFont="1" applyBorder="1" applyAlignment="1">
      <alignment horizontal="center"/>
    </xf>
    <xf numFmtId="167" fontId="22" fillId="0" borderId="15" xfId="42" applyNumberFormat="1" applyFont="1" applyBorder="1"/>
    <xf numFmtId="167" fontId="22" fillId="0" borderId="20" xfId="42" applyNumberFormat="1" applyFont="1" applyBorder="1"/>
    <xf numFmtId="167" fontId="20" fillId="0" borderId="15" xfId="42" applyNumberFormat="1" applyFont="1" applyBorder="1"/>
    <xf numFmtId="167" fontId="20" fillId="0" borderId="20" xfId="42" applyNumberFormat="1" applyFont="1" applyBorder="1"/>
    <xf numFmtId="167" fontId="28" fillId="0" borderId="17" xfId="42" applyNumberFormat="1" applyFont="1" applyBorder="1" applyAlignment="1">
      <alignment horizontal="center"/>
    </xf>
    <xf numFmtId="167" fontId="22" fillId="0" borderId="16" xfId="42" applyNumberFormat="1" applyFont="1" applyBorder="1"/>
    <xf numFmtId="167" fontId="20" fillId="0" borderId="25" xfId="42" applyNumberFormat="1" applyFont="1" applyBorder="1"/>
    <xf numFmtId="167" fontId="20" fillId="0" borderId="26" xfId="42" applyNumberFormat="1" applyFont="1" applyBorder="1"/>
    <xf numFmtId="167" fontId="22" fillId="0" borderId="21" xfId="42" applyNumberFormat="1" applyFont="1" applyBorder="1"/>
    <xf numFmtId="167" fontId="22" fillId="0" borderId="27" xfId="42" applyNumberFormat="1" applyFont="1" applyBorder="1"/>
    <xf numFmtId="167" fontId="22" fillId="0" borderId="36" xfId="42" applyNumberFormat="1" applyFont="1" applyBorder="1" applyAlignment="1">
      <alignment horizontal="center"/>
    </xf>
    <xf numFmtId="167" fontId="22" fillId="0" borderId="19" xfId="42" applyNumberFormat="1" applyFont="1" applyBorder="1"/>
    <xf numFmtId="167" fontId="22" fillId="0" borderId="43" xfId="42" applyNumberFormat="1" applyFont="1" applyBorder="1"/>
    <xf numFmtId="167" fontId="22" fillId="0" borderId="25" xfId="42" applyNumberFormat="1" applyFont="1" applyBorder="1"/>
    <xf numFmtId="167" fontId="19" fillId="24" borderId="0" xfId="42" applyNumberFormat="1" applyFont="1" applyFill="1" applyBorder="1" applyAlignment="1">
      <alignment horizontal="right"/>
    </xf>
    <xf numFmtId="167" fontId="33" fillId="0" borderId="0" xfId="42" applyNumberFormat="1" applyFont="1" applyAlignment="1"/>
    <xf numFmtId="167" fontId="20" fillId="0" borderId="0" xfId="42" applyNumberFormat="1" applyFont="1" applyBorder="1"/>
    <xf numFmtId="167" fontId="21" fillId="0" borderId="17" xfId="42" applyNumberFormat="1" applyFont="1" applyBorder="1" applyAlignment="1"/>
    <xf numFmtId="167" fontId="26" fillId="0" borderId="15" xfId="42" applyNumberFormat="1" applyFont="1" applyBorder="1" applyAlignment="1">
      <alignment horizontal="center"/>
    </xf>
    <xf numFmtId="167" fontId="26" fillId="0" borderId="18" xfId="42" applyNumberFormat="1" applyFont="1" applyBorder="1" applyAlignment="1">
      <alignment horizontal="center"/>
    </xf>
    <xf numFmtId="167" fontId="20" fillId="0" borderId="16" xfId="42" applyNumberFormat="1" applyFont="1" applyBorder="1"/>
    <xf numFmtId="167" fontId="20" fillId="0" borderId="46" xfId="42" applyNumberFormat="1" applyFont="1" applyBorder="1"/>
    <xf numFmtId="167" fontId="20" fillId="0" borderId="18" xfId="42" applyNumberFormat="1" applyFont="1" applyBorder="1"/>
    <xf numFmtId="167" fontId="34" fillId="0" borderId="10" xfId="42" applyNumberFormat="1" applyFont="1" applyBorder="1" applyAlignment="1">
      <alignment horizontal="center"/>
    </xf>
    <xf numFmtId="167" fontId="22" fillId="0" borderId="18" xfId="42" applyNumberFormat="1" applyFont="1" applyBorder="1"/>
    <xf numFmtId="167" fontId="22" fillId="0" borderId="0" xfId="42" applyNumberFormat="1" applyFont="1" applyFill="1" applyBorder="1" applyAlignment="1">
      <alignment horizontal="center"/>
    </xf>
    <xf numFmtId="167" fontId="22" fillId="0" borderId="16" xfId="42" applyNumberFormat="1" applyFont="1" applyFill="1" applyBorder="1" applyAlignment="1">
      <alignment horizontal="center"/>
    </xf>
    <xf numFmtId="167" fontId="31" fillId="0" borderId="15" xfId="42" applyNumberFormat="1" applyFont="1" applyFill="1" applyBorder="1" applyAlignment="1">
      <alignment horizontal="center"/>
    </xf>
    <xf numFmtId="167" fontId="22" fillId="0" borderId="15" xfId="42" applyNumberFormat="1" applyFont="1" applyBorder="1" applyAlignment="1">
      <alignment horizontal="center"/>
    </xf>
    <xf numFmtId="167" fontId="34" fillId="0" borderId="15" xfId="42" applyNumberFormat="1" applyFont="1" applyFill="1" applyBorder="1" applyAlignment="1">
      <alignment horizontal="center"/>
    </xf>
    <xf numFmtId="167" fontId="22" fillId="0" borderId="51" xfId="42" applyNumberFormat="1" applyFont="1" applyBorder="1"/>
    <xf numFmtId="166" fontId="22" fillId="0" borderId="30" xfId="42" applyNumberFormat="1" applyFont="1" applyBorder="1" applyAlignment="1">
      <alignment horizontal="center"/>
    </xf>
    <xf numFmtId="166" fontId="22" fillId="0" borderId="31" xfId="42" applyNumberFormat="1" applyFont="1" applyBorder="1" applyAlignment="1">
      <alignment horizontal="center"/>
    </xf>
    <xf numFmtId="166" fontId="22" fillId="0" borderId="32" xfId="42" applyNumberFormat="1" applyFont="1" applyBorder="1" applyAlignment="1">
      <alignment horizontal="center"/>
    </xf>
    <xf numFmtId="166" fontId="22" fillId="0" borderId="33" xfId="42" applyNumberFormat="1" applyFont="1" applyBorder="1" applyAlignment="1">
      <alignment horizontal="center"/>
    </xf>
    <xf numFmtId="166" fontId="22" fillId="0" borderId="28" xfId="42" applyNumberFormat="1" applyFont="1" applyBorder="1" applyAlignment="1">
      <alignment horizontal="center"/>
    </xf>
    <xf numFmtId="166" fontId="22" fillId="0" borderId="26" xfId="42" applyNumberFormat="1" applyFont="1" applyBorder="1" applyAlignment="1">
      <alignment horizontal="center"/>
    </xf>
    <xf numFmtId="166" fontId="22" fillId="0" borderId="37" xfId="42" applyNumberFormat="1" applyFont="1" applyBorder="1" applyAlignment="1">
      <alignment horizontal="center"/>
    </xf>
    <xf numFmtId="166" fontId="22" fillId="0" borderId="34" xfId="42" applyNumberFormat="1" applyFont="1" applyBorder="1" applyAlignment="1">
      <alignment horizontal="center"/>
    </xf>
    <xf numFmtId="166" fontId="22" fillId="0" borderId="27" xfId="42" applyNumberFormat="1" applyFont="1" applyBorder="1" applyAlignment="1">
      <alignment horizontal="center"/>
    </xf>
    <xf numFmtId="0" fontId="30" fillId="0" borderId="17" xfId="0" applyFont="1" applyFill="1" applyBorder="1"/>
    <xf numFmtId="166" fontId="22" fillId="0" borderId="0" xfId="42" applyNumberFormat="1" applyFont="1" applyFill="1" applyBorder="1"/>
    <xf numFmtId="166" fontId="22" fillId="0" borderId="15" xfId="42" applyNumberFormat="1" applyFont="1" applyFill="1" applyBorder="1"/>
    <xf numFmtId="166" fontId="22" fillId="0" borderId="19" xfId="42" applyNumberFormat="1" applyFont="1" applyBorder="1"/>
    <xf numFmtId="166" fontId="22" fillId="0" borderId="15" xfId="42" applyNumberFormat="1" applyFont="1" applyBorder="1"/>
    <xf numFmtId="166" fontId="29" fillId="0" borderId="32" xfId="42" applyNumberFormat="1" applyFont="1" applyFill="1" applyBorder="1"/>
    <xf numFmtId="166" fontId="29" fillId="0" borderId="33" xfId="42" applyNumberFormat="1" applyFont="1" applyFill="1" applyBorder="1"/>
    <xf numFmtId="166" fontId="29" fillId="0" borderId="34" xfId="42" applyNumberFormat="1" applyFont="1" applyFill="1" applyBorder="1"/>
    <xf numFmtId="166" fontId="29" fillId="0" borderId="35" xfId="42" applyNumberFormat="1" applyFont="1" applyBorder="1"/>
    <xf numFmtId="166" fontId="29" fillId="0" borderId="34" xfId="42" applyNumberFormat="1" applyFont="1" applyBorder="1"/>
    <xf numFmtId="166" fontId="29" fillId="0" borderId="37" xfId="42" applyNumberFormat="1" applyFont="1" applyBorder="1"/>
    <xf numFmtId="166" fontId="22" fillId="0" borderId="17" xfId="42" applyNumberFormat="1" applyFont="1" applyBorder="1" applyAlignment="1">
      <alignment horizontal="right"/>
    </xf>
    <xf numFmtId="166" fontId="22" fillId="0" borderId="0" xfId="42" applyNumberFormat="1" applyFont="1" applyBorder="1"/>
    <xf numFmtId="166" fontId="29" fillId="0" borderId="30" xfId="42" applyNumberFormat="1" applyFont="1" applyBorder="1" applyAlignment="1">
      <alignment horizontal="right"/>
    </xf>
    <xf numFmtId="166" fontId="29" fillId="0" borderId="29" xfId="42" applyNumberFormat="1" applyFont="1" applyBorder="1" applyAlignment="1">
      <alignment horizontal="right"/>
    </xf>
    <xf numFmtId="166" fontId="29" fillId="0" borderId="32" xfId="42" applyNumberFormat="1" applyFont="1" applyBorder="1" applyAlignment="1">
      <alignment horizontal="right"/>
    </xf>
    <xf numFmtId="166" fontId="29" fillId="0" borderId="33" xfId="42" applyNumberFormat="1" applyFont="1" applyBorder="1" applyAlignment="1">
      <alignment horizontal="right"/>
    </xf>
    <xf numFmtId="166" fontId="29" fillId="0" borderId="34" xfId="42" applyNumberFormat="1" applyFont="1" applyBorder="1" applyAlignment="1">
      <alignment horizontal="right"/>
    </xf>
    <xf numFmtId="166" fontId="29" fillId="0" borderId="35" xfId="42" applyNumberFormat="1" applyFont="1" applyBorder="1" applyAlignment="1">
      <alignment horizontal="right"/>
    </xf>
    <xf numFmtId="166" fontId="29" fillId="0" borderId="37" xfId="42" applyNumberFormat="1" applyFont="1" applyBorder="1" applyAlignment="1">
      <alignment horizontal="right"/>
    </xf>
    <xf numFmtId="166" fontId="29" fillId="0" borderId="17" xfId="42" applyNumberFormat="1" applyFont="1" applyBorder="1" applyAlignment="1">
      <alignment horizontal="right"/>
    </xf>
    <xf numFmtId="166" fontId="29" fillId="0" borderId="0" xfId="42" applyNumberFormat="1" applyFont="1" applyBorder="1" applyAlignment="1">
      <alignment horizontal="right"/>
    </xf>
    <xf numFmtId="166" fontId="29" fillId="0" borderId="15" xfId="42" applyNumberFormat="1" applyFont="1" applyBorder="1" applyAlignment="1">
      <alignment horizontal="right"/>
    </xf>
    <xf numFmtId="166" fontId="29" fillId="0" borderId="19" xfId="42" applyNumberFormat="1" applyFont="1" applyBorder="1" applyAlignment="1">
      <alignment horizontal="right"/>
    </xf>
    <xf numFmtId="166" fontId="31" fillId="0" borderId="33" xfId="42" applyNumberFormat="1" applyFont="1" applyBorder="1" applyAlignment="1">
      <alignment horizontal="right"/>
    </xf>
    <xf numFmtId="166" fontId="31" fillId="0" borderId="34" xfId="42" applyNumberFormat="1" applyFont="1" applyBorder="1" applyAlignment="1">
      <alignment horizontal="right"/>
    </xf>
    <xf numFmtId="166" fontId="29" fillId="0" borderId="40" xfId="42" applyNumberFormat="1" applyFont="1" applyBorder="1" applyAlignment="1">
      <alignment horizontal="right"/>
    </xf>
    <xf numFmtId="166" fontId="29" fillId="0" borderId="45" xfId="42" applyNumberFormat="1" applyFont="1" applyBorder="1" applyAlignment="1">
      <alignment horizontal="right"/>
    </xf>
    <xf numFmtId="166" fontId="29" fillId="0" borderId="12" xfId="42" applyNumberFormat="1" applyFont="1" applyBorder="1" applyAlignment="1">
      <alignment horizontal="right"/>
    </xf>
    <xf numFmtId="166" fontId="29" fillId="0" borderId="39" xfId="42" applyNumberFormat="1" applyFont="1" applyBorder="1" applyAlignment="1">
      <alignment horizontal="right"/>
    </xf>
    <xf numFmtId="166" fontId="22" fillId="0" borderId="44" xfId="42" applyNumberFormat="1" applyFont="1" applyBorder="1" applyAlignment="1">
      <alignment horizontal="right"/>
    </xf>
    <xf numFmtId="166" fontId="22" fillId="0" borderId="43" xfId="42" applyNumberFormat="1" applyFont="1" applyBorder="1"/>
    <xf numFmtId="166" fontId="22" fillId="0" borderId="25" xfId="42" applyNumberFormat="1" applyFont="1" applyBorder="1"/>
    <xf numFmtId="166" fontId="22" fillId="0" borderId="48" xfId="42" applyNumberFormat="1" applyFont="1" applyBorder="1"/>
    <xf numFmtId="166" fontId="22" fillId="0" borderId="29" xfId="42" applyNumberFormat="1" applyFont="1" applyBorder="1"/>
    <xf numFmtId="166" fontId="22" fillId="0" borderId="32" xfId="42" applyNumberFormat="1" applyFont="1" applyBorder="1"/>
    <xf numFmtId="166" fontId="22" fillId="0" borderId="37" xfId="42" applyNumberFormat="1" applyFont="1" applyBorder="1"/>
    <xf numFmtId="166" fontId="22" fillId="0" borderId="34" xfId="42" applyNumberFormat="1" applyFont="1" applyBorder="1"/>
    <xf numFmtId="166" fontId="22" fillId="0" borderId="33" xfId="42" applyNumberFormat="1" applyFont="1" applyBorder="1"/>
    <xf numFmtId="166" fontId="36" fillId="0" borderId="40" xfId="42" applyNumberFormat="1" applyFont="1" applyBorder="1" applyAlignment="1">
      <alignment horizontal="right"/>
    </xf>
    <xf numFmtId="166" fontId="36" fillId="0" borderId="42" xfId="42" applyNumberFormat="1" applyFont="1" applyBorder="1"/>
    <xf numFmtId="166" fontId="36" fillId="0" borderId="12" xfId="42" applyNumberFormat="1" applyFont="1" applyBorder="1"/>
    <xf numFmtId="166" fontId="36" fillId="0" borderId="39" xfId="42" applyNumberFormat="1" applyFont="1" applyBorder="1"/>
    <xf numFmtId="166" fontId="22" fillId="0" borderId="52" xfId="42" applyNumberFormat="1" applyFont="1" applyBorder="1"/>
    <xf numFmtId="166" fontId="22" fillId="0" borderId="36" xfId="42" applyNumberFormat="1" applyFont="1" applyBorder="1" applyAlignment="1">
      <alignment horizontal="right"/>
    </xf>
    <xf numFmtId="166" fontId="29" fillId="0" borderId="52" xfId="42" applyNumberFormat="1" applyFont="1" applyBorder="1" applyAlignment="1">
      <alignment horizontal="right"/>
    </xf>
    <xf numFmtId="166" fontId="22" fillId="0" borderId="30" xfId="42" applyNumberFormat="1" applyFont="1" applyBorder="1" applyAlignment="1">
      <alignment horizontal="right"/>
    </xf>
    <xf numFmtId="166" fontId="22" fillId="0" borderId="29" xfId="42" applyNumberFormat="1" applyFont="1" applyBorder="1" applyAlignment="1">
      <alignment horizontal="right"/>
    </xf>
    <xf numFmtId="166" fontId="22" fillId="0" borderId="32" xfId="42" applyNumberFormat="1" applyFont="1" applyBorder="1" applyAlignment="1">
      <alignment horizontal="right"/>
    </xf>
    <xf numFmtId="166" fontId="31" fillId="0" borderId="35" xfId="42" applyNumberFormat="1" applyFont="1" applyBorder="1" applyAlignment="1">
      <alignment horizontal="right"/>
    </xf>
    <xf numFmtId="166" fontId="22" fillId="0" borderId="35" xfId="42" applyNumberFormat="1" applyFont="1" applyBorder="1" applyAlignment="1">
      <alignment horizontal="right"/>
    </xf>
    <xf numFmtId="166" fontId="31" fillId="0" borderId="37" xfId="42" applyNumberFormat="1" applyFont="1" applyBorder="1" applyAlignment="1">
      <alignment horizontal="right"/>
    </xf>
    <xf numFmtId="166" fontId="36" fillId="0" borderId="41" xfId="42" applyNumberFormat="1" applyFont="1" applyBorder="1"/>
    <xf numFmtId="166" fontId="22" fillId="0" borderId="42" xfId="42" applyNumberFormat="1" applyFont="1" applyBorder="1"/>
    <xf numFmtId="166" fontId="22" fillId="0" borderId="13" xfId="42" applyNumberFormat="1" applyFont="1" applyBorder="1"/>
    <xf numFmtId="166" fontId="22" fillId="0" borderId="12" xfId="42" applyNumberFormat="1" applyFont="1" applyBorder="1"/>
    <xf numFmtId="166" fontId="22" fillId="0" borderId="45" xfId="42" applyNumberFormat="1" applyFont="1" applyBorder="1"/>
    <xf numFmtId="166" fontId="22" fillId="0" borderId="39" xfId="42" applyNumberFormat="1" applyFont="1" applyBorder="1"/>
    <xf numFmtId="166" fontId="22" fillId="0" borderId="49" xfId="42" applyNumberFormat="1" applyFont="1" applyBorder="1"/>
    <xf numFmtId="166" fontId="22" fillId="0" borderId="53" xfId="42" applyNumberFormat="1" applyFont="1" applyBorder="1"/>
    <xf numFmtId="166" fontId="22" fillId="0" borderId="35" xfId="42" applyNumberFormat="1" applyFont="1" applyBorder="1"/>
    <xf numFmtId="166" fontId="22" fillId="0" borderId="38" xfId="42" applyNumberFormat="1" applyFont="1" applyBorder="1"/>
    <xf numFmtId="166" fontId="22" fillId="0" borderId="50" xfId="42" applyNumberFormat="1" applyFont="1" applyBorder="1"/>
    <xf numFmtId="166" fontId="36" fillId="0" borderId="12" xfId="42" applyNumberFormat="1" applyFont="1" applyBorder="1" applyAlignment="1">
      <alignment horizontal="right"/>
    </xf>
    <xf numFmtId="166" fontId="36" fillId="0" borderId="42" xfId="42" applyNumberFormat="1" applyFont="1" applyBorder="1" applyAlignment="1">
      <alignment horizontal="right"/>
    </xf>
    <xf numFmtId="166" fontId="36" fillId="0" borderId="39" xfId="42" applyNumberFormat="1" applyFont="1" applyBorder="1" applyAlignment="1">
      <alignment horizontal="right"/>
    </xf>
    <xf numFmtId="168" fontId="20" fillId="0" borderId="0" xfId="42" applyNumberFormat="1" applyFont="1"/>
    <xf numFmtId="168" fontId="21" fillId="0" borderId="0" xfId="42" applyNumberFormat="1" applyFont="1" applyAlignment="1"/>
    <xf numFmtId="168" fontId="21" fillId="0" borderId="0" xfId="42" applyNumberFormat="1" applyFont="1" applyAlignment="1">
      <alignment horizontal="center"/>
    </xf>
    <xf numFmtId="168" fontId="21" fillId="0" borderId="11" xfId="42" applyNumberFormat="1" applyFont="1" applyBorder="1" applyAlignment="1"/>
    <xf numFmtId="168" fontId="22" fillId="0" borderId="17" xfId="42" applyNumberFormat="1" applyFont="1" applyBorder="1"/>
    <xf numFmtId="168" fontId="22" fillId="0" borderId="17" xfId="42" applyNumberFormat="1" applyFont="1" applyBorder="1" applyAlignment="1">
      <alignment horizontal="center"/>
    </xf>
    <xf numFmtId="168" fontId="22" fillId="0" borderId="0" xfId="42" applyNumberFormat="1" applyFont="1" applyBorder="1"/>
    <xf numFmtId="168" fontId="22" fillId="0" borderId="20" xfId="42" applyNumberFormat="1" applyFont="1" applyBorder="1" applyAlignment="1">
      <alignment horizontal="center"/>
    </xf>
    <xf numFmtId="168" fontId="22" fillId="0" borderId="0" xfId="42" applyNumberFormat="1" applyFont="1" applyBorder="1" applyAlignment="1">
      <alignment horizontal="center"/>
    </xf>
    <xf numFmtId="168" fontId="29" fillId="0" borderId="17" xfId="42" applyNumberFormat="1" applyFont="1" applyBorder="1" applyAlignment="1">
      <alignment horizontal="center"/>
    </xf>
    <xf numFmtId="168" fontId="22" fillId="0" borderId="20" xfId="42" applyNumberFormat="1" applyFont="1" applyFill="1" applyBorder="1" applyAlignment="1">
      <alignment horizontal="center"/>
    </xf>
    <xf numFmtId="168" fontId="28" fillId="0" borderId="17" xfId="42" applyNumberFormat="1" applyFont="1" applyBorder="1" applyAlignment="1">
      <alignment horizontal="center"/>
    </xf>
    <xf numFmtId="168" fontId="20" fillId="0" borderId="0" xfId="42" applyNumberFormat="1" applyFont="1" applyAlignment="1">
      <alignment horizontal="right"/>
    </xf>
    <xf numFmtId="166" fontId="22" fillId="0" borderId="19" xfId="42" applyNumberFormat="1" applyFont="1" applyFill="1" applyBorder="1"/>
    <xf numFmtId="166" fontId="29" fillId="0" borderId="35" xfId="42" applyNumberFormat="1" applyFont="1" applyFill="1" applyBorder="1" applyAlignment="1">
      <alignment horizontal="right"/>
    </xf>
    <xf numFmtId="166" fontId="29" fillId="0" borderId="19" xfId="42" applyNumberFormat="1" applyFont="1" applyFill="1" applyBorder="1" applyAlignment="1">
      <alignment horizontal="right"/>
    </xf>
    <xf numFmtId="166" fontId="22" fillId="0" borderId="36" xfId="42" applyNumberFormat="1" applyFont="1" applyBorder="1" applyAlignment="1">
      <alignment horizontal="center"/>
    </xf>
    <xf numFmtId="166" fontId="22" fillId="0" borderId="17" xfId="42" applyNumberFormat="1" applyFont="1" applyFill="1" applyBorder="1" applyAlignment="1">
      <alignment horizontal="right"/>
    </xf>
    <xf numFmtId="166" fontId="29" fillId="0" borderId="30" xfId="42" applyNumberFormat="1" applyFont="1" applyFill="1" applyBorder="1" applyAlignment="1">
      <alignment horizontal="right"/>
    </xf>
    <xf numFmtId="166" fontId="29" fillId="0" borderId="29" xfId="42" applyNumberFormat="1" applyFont="1" applyFill="1" applyBorder="1"/>
    <xf numFmtId="166" fontId="22" fillId="0" borderId="36" xfId="42" applyNumberFormat="1" applyFont="1" applyFill="1" applyBorder="1" applyAlignment="1">
      <alignment horizontal="right"/>
    </xf>
    <xf numFmtId="166" fontId="22" fillId="0" borderId="15" xfId="42" applyNumberFormat="1" applyFont="1" applyBorder="1" applyAlignment="1">
      <alignment horizontal="right"/>
    </xf>
    <xf numFmtId="166" fontId="22" fillId="0" borderId="0" xfId="42" applyNumberFormat="1" applyFont="1" applyBorder="1" applyAlignment="1">
      <alignment horizontal="right"/>
    </xf>
    <xf numFmtId="166" fontId="31" fillId="0" borderId="30" xfId="42" applyNumberFormat="1" applyFont="1" applyFill="1" applyBorder="1" applyAlignment="1">
      <alignment horizontal="right"/>
    </xf>
    <xf numFmtId="166" fontId="22" fillId="0" borderId="29" xfId="42" applyNumberFormat="1" applyFont="1" applyFill="1" applyBorder="1" applyAlignment="1">
      <alignment horizontal="right"/>
    </xf>
    <xf numFmtId="166" fontId="22" fillId="0" borderId="33" xfId="42" applyNumberFormat="1" applyFont="1" applyBorder="1" applyAlignment="1">
      <alignment horizontal="right"/>
    </xf>
    <xf numFmtId="166" fontId="29" fillId="0" borderId="41" xfId="42" applyNumberFormat="1" applyFont="1" applyBorder="1" applyAlignment="1">
      <alignment horizontal="right"/>
    </xf>
    <xf numFmtId="166" fontId="31" fillId="0" borderId="30" xfId="42" applyNumberFormat="1" applyFont="1" applyBorder="1" applyAlignment="1">
      <alignment horizontal="right"/>
    </xf>
    <xf numFmtId="166" fontId="22" fillId="0" borderId="28" xfId="42" applyNumberFormat="1" applyFont="1" applyBorder="1"/>
    <xf numFmtId="166" fontId="29" fillId="0" borderId="41" xfId="42" applyNumberFormat="1" applyFont="1" applyBorder="1"/>
    <xf numFmtId="166" fontId="29" fillId="0" borderId="42" xfId="42" applyNumberFormat="1" applyFont="1" applyBorder="1"/>
    <xf numFmtId="167" fontId="20" fillId="0" borderId="0" xfId="42" applyNumberFormat="1" applyFont="1" applyAlignment="1">
      <alignment horizontal="right"/>
    </xf>
    <xf numFmtId="167" fontId="20" fillId="0" borderId="0" xfId="42" applyNumberFormat="1" applyFont="1" applyAlignment="1">
      <alignment horizontal="right"/>
    </xf>
    <xf numFmtId="167" fontId="26" fillId="0" borderId="14" xfId="42" applyNumberFormat="1" applyFont="1" applyBorder="1" applyAlignment="1">
      <alignment horizontal="center"/>
    </xf>
    <xf numFmtId="167" fontId="26" fillId="0" borderId="41" xfId="42" applyNumberFormat="1" applyFont="1" applyBorder="1" applyAlignment="1">
      <alignment horizontal="center"/>
    </xf>
    <xf numFmtId="167" fontId="26" fillId="0" borderId="12" xfId="42" applyNumberFormat="1" applyFont="1" applyBorder="1" applyAlignment="1">
      <alignment horizontal="center"/>
    </xf>
    <xf numFmtId="167" fontId="26" fillId="0" borderId="13" xfId="42" applyNumberFormat="1" applyFont="1" applyBorder="1" applyAlignment="1">
      <alignment horizontal="center"/>
    </xf>
    <xf numFmtId="167" fontId="35" fillId="0" borderId="12" xfId="42" applyNumberFormat="1" applyFont="1" applyBorder="1" applyAlignment="1">
      <alignment horizontal="center"/>
    </xf>
    <xf numFmtId="167" fontId="35" fillId="0" borderId="41" xfId="42" applyNumberFormat="1" applyFont="1" applyBorder="1" applyAlignment="1">
      <alignment horizontal="center"/>
    </xf>
    <xf numFmtId="167" fontId="35" fillId="0" borderId="13" xfId="42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7" fontId="24" fillId="0" borderId="23" xfId="42" applyNumberFormat="1" applyFont="1" applyBorder="1" applyAlignment="1">
      <alignment horizontal="center"/>
    </xf>
    <xf numFmtId="167" fontId="24" fillId="0" borderId="22" xfId="42" applyNumberFormat="1" applyFont="1" applyBorder="1" applyAlignment="1">
      <alignment horizontal="center"/>
    </xf>
    <xf numFmtId="167" fontId="24" fillId="0" borderId="24" xfId="42" applyNumberFormat="1" applyFont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42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zoomScale="110" zoomScaleNormal="110" workbookViewId="0">
      <pane xSplit="2" ySplit="16" topLeftCell="C41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N56" sqref="N56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8.42578125" style="54" bestFit="1" customWidth="1"/>
    <col min="4" max="4" width="13.85546875" style="54" bestFit="1" customWidth="1"/>
    <col min="5" max="6" width="10.42578125" style="54" bestFit="1" customWidth="1"/>
    <col min="7" max="7" width="13.85546875" style="54" bestFit="1" customWidth="1"/>
    <col min="8" max="8" width="11.42578125" style="54" bestFit="1" customWidth="1"/>
    <col min="9" max="9" width="10.7109375" style="54" customWidth="1"/>
    <col min="10" max="10" width="13.85546875" style="54" bestFit="1" customWidth="1"/>
    <col min="11" max="11" width="16.7109375" style="54" bestFit="1" customWidth="1"/>
    <col min="12" max="13" width="13.85546875" style="54" bestFit="1" customWidth="1"/>
    <col min="14" max="14" width="11.28515625" style="54" bestFit="1" customWidth="1"/>
    <col min="15" max="15" width="10.7109375" style="54" customWidth="1"/>
    <col min="16" max="17" width="7.7109375" style="1" customWidth="1"/>
    <col min="18" max="16384" width="9.140625" style="1"/>
  </cols>
  <sheetData>
    <row r="1" spans="1:16" x14ac:dyDescent="0.2">
      <c r="M1" s="55"/>
      <c r="N1" s="213" t="s">
        <v>94</v>
      </c>
      <c r="O1" s="213"/>
    </row>
    <row r="2" spans="1:16" x14ac:dyDescent="0.2">
      <c r="M2" s="55"/>
      <c r="N2" s="55"/>
      <c r="O2" s="89"/>
    </row>
    <row r="3" spans="1:16" x14ac:dyDescent="0.2">
      <c r="M3" s="55"/>
      <c r="N3" s="55"/>
      <c r="O3" s="89"/>
    </row>
    <row r="4" spans="1:16" x14ac:dyDescent="0.2">
      <c r="A4" s="221" t="s">
        <v>89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6" hidden="1" x14ac:dyDescent="0.2">
      <c r="A5" s="3"/>
      <c r="B5" s="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"/>
    </row>
    <row r="6" spans="1:16" x14ac:dyDescent="0.2">
      <c r="A6" s="3"/>
      <c r="B6" s="221" t="s">
        <v>93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56"/>
      <c r="P6" s="5"/>
    </row>
    <row r="7" spans="1:16" x14ac:dyDescent="0.2">
      <c r="A7" s="3"/>
      <c r="B7" s="4"/>
      <c r="C7" s="56"/>
      <c r="D7" s="56"/>
      <c r="E7" s="56"/>
      <c r="F7" s="56"/>
      <c r="G7" s="56"/>
      <c r="H7" s="90"/>
      <c r="I7" s="56"/>
      <c r="J7" s="56"/>
      <c r="K7" s="56"/>
      <c r="L7" s="56"/>
      <c r="M7" s="56"/>
      <c r="N7" s="56"/>
      <c r="O7" s="57"/>
      <c r="P7" s="5"/>
    </row>
    <row r="8" spans="1:16" ht="13.5" thickBot="1" x14ac:dyDescent="0.25">
      <c r="A8" s="3"/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8" t="s">
        <v>0</v>
      </c>
      <c r="P8" s="20"/>
    </row>
    <row r="9" spans="1:16" ht="13.5" thickBot="1" x14ac:dyDescent="0.25">
      <c r="A9" s="6"/>
      <c r="B9" s="7"/>
      <c r="C9" s="59"/>
      <c r="D9" s="214" t="s">
        <v>1</v>
      </c>
      <c r="E9" s="214"/>
      <c r="F9" s="214"/>
      <c r="G9" s="215"/>
      <c r="H9" s="215"/>
      <c r="I9" s="215"/>
      <c r="J9" s="214"/>
      <c r="K9" s="214"/>
      <c r="L9" s="214"/>
      <c r="M9" s="214"/>
      <c r="N9" s="216" t="s">
        <v>2</v>
      </c>
      <c r="O9" s="217"/>
      <c r="P9" s="18"/>
    </row>
    <row r="10" spans="1:16" ht="13.5" thickBot="1" x14ac:dyDescent="0.25">
      <c r="A10" s="8"/>
      <c r="B10" s="35"/>
      <c r="C10" s="92"/>
      <c r="D10" s="218" t="s">
        <v>61</v>
      </c>
      <c r="E10" s="219"/>
      <c r="F10" s="219"/>
      <c r="G10" s="219"/>
      <c r="H10" s="219"/>
      <c r="I10" s="220"/>
      <c r="J10" s="218" t="s">
        <v>56</v>
      </c>
      <c r="K10" s="219"/>
      <c r="L10" s="219"/>
      <c r="M10" s="219"/>
      <c r="N10" s="93"/>
      <c r="O10" s="94"/>
      <c r="P10" s="18"/>
    </row>
    <row r="11" spans="1:16" ht="12.75" customHeight="1" x14ac:dyDescent="0.2">
      <c r="A11" s="21"/>
      <c r="B11" s="10" t="s">
        <v>60</v>
      </c>
      <c r="C11" s="64" t="s">
        <v>3</v>
      </c>
      <c r="D11" s="91"/>
      <c r="E11" s="78"/>
      <c r="F11" s="95"/>
      <c r="G11" s="67"/>
      <c r="H11" s="96"/>
      <c r="I11" s="97"/>
      <c r="J11" s="98"/>
      <c r="K11" s="99"/>
      <c r="L11" s="98"/>
      <c r="M11" s="99"/>
      <c r="N11" s="70" t="s">
        <v>10</v>
      </c>
      <c r="O11" s="71" t="s">
        <v>13</v>
      </c>
      <c r="P11" s="18"/>
    </row>
    <row r="12" spans="1:16" x14ac:dyDescent="0.2">
      <c r="A12" s="21"/>
      <c r="B12" s="10" t="s">
        <v>20</v>
      </c>
      <c r="C12" s="64" t="s">
        <v>46</v>
      </c>
      <c r="D12" s="100" t="s">
        <v>10</v>
      </c>
      <c r="E12" s="101" t="s">
        <v>10</v>
      </c>
      <c r="F12" s="101" t="s">
        <v>10</v>
      </c>
      <c r="G12" s="70" t="s">
        <v>13</v>
      </c>
      <c r="H12" s="101" t="s">
        <v>49</v>
      </c>
      <c r="I12" s="71" t="s">
        <v>13</v>
      </c>
      <c r="J12" s="102" t="s">
        <v>10</v>
      </c>
      <c r="K12" s="74" t="s">
        <v>10</v>
      </c>
      <c r="L12" s="102" t="s">
        <v>13</v>
      </c>
      <c r="M12" s="74" t="s">
        <v>13</v>
      </c>
      <c r="N12" s="70" t="s">
        <v>17</v>
      </c>
      <c r="O12" s="71" t="s">
        <v>17</v>
      </c>
      <c r="P12" s="18"/>
    </row>
    <row r="13" spans="1:16" x14ac:dyDescent="0.2">
      <c r="A13" s="22"/>
      <c r="B13" s="10"/>
      <c r="C13" s="64" t="s">
        <v>14</v>
      </c>
      <c r="D13" s="100" t="s">
        <v>46</v>
      </c>
      <c r="E13" s="101" t="s">
        <v>46</v>
      </c>
      <c r="F13" s="101" t="s">
        <v>17</v>
      </c>
      <c r="G13" s="70" t="s">
        <v>46</v>
      </c>
      <c r="H13" s="101" t="s">
        <v>46</v>
      </c>
      <c r="I13" s="71" t="s">
        <v>17</v>
      </c>
      <c r="J13" s="102" t="s">
        <v>57</v>
      </c>
      <c r="K13" s="74" t="s">
        <v>59</v>
      </c>
      <c r="L13" s="102" t="s">
        <v>57</v>
      </c>
      <c r="M13" s="74" t="s">
        <v>59</v>
      </c>
      <c r="N13" s="70"/>
      <c r="O13" s="71"/>
      <c r="P13" s="18"/>
    </row>
    <row r="14" spans="1:16" x14ac:dyDescent="0.2">
      <c r="A14" s="12" t="s">
        <v>19</v>
      </c>
      <c r="B14" s="10"/>
      <c r="C14" s="79"/>
      <c r="D14" s="72" t="s">
        <v>50</v>
      </c>
      <c r="E14" s="101"/>
      <c r="F14" s="101" t="s">
        <v>54</v>
      </c>
      <c r="G14" s="103" t="s">
        <v>50</v>
      </c>
      <c r="H14" s="101"/>
      <c r="I14" s="71" t="s">
        <v>54</v>
      </c>
      <c r="J14" s="102" t="s">
        <v>55</v>
      </c>
      <c r="K14" s="74" t="s">
        <v>48</v>
      </c>
      <c r="L14" s="102" t="s">
        <v>55</v>
      </c>
      <c r="M14" s="74" t="s">
        <v>48</v>
      </c>
      <c r="N14" s="70"/>
      <c r="O14" s="71"/>
      <c r="P14" s="18"/>
    </row>
    <row r="15" spans="1:16" x14ac:dyDescent="0.2">
      <c r="A15" s="12"/>
      <c r="B15" s="10"/>
      <c r="C15" s="79"/>
      <c r="D15" s="72" t="s">
        <v>52</v>
      </c>
      <c r="E15" s="101"/>
      <c r="F15" s="101" t="s">
        <v>23</v>
      </c>
      <c r="G15" s="103" t="s">
        <v>52</v>
      </c>
      <c r="H15" s="101"/>
      <c r="I15" s="71" t="s">
        <v>23</v>
      </c>
      <c r="J15" s="102" t="s">
        <v>58</v>
      </c>
      <c r="K15" s="71"/>
      <c r="L15" s="102" t="s">
        <v>58</v>
      </c>
      <c r="M15" s="71"/>
      <c r="N15" s="70"/>
      <c r="O15" s="71"/>
      <c r="P15" s="18"/>
    </row>
    <row r="16" spans="1:16" x14ac:dyDescent="0.2">
      <c r="A16" s="11"/>
      <c r="B16" s="29"/>
      <c r="C16" s="79"/>
      <c r="D16" s="87"/>
      <c r="E16" s="101"/>
      <c r="F16" s="101"/>
      <c r="G16" s="88"/>
      <c r="H16" s="101"/>
      <c r="I16" s="71"/>
      <c r="J16" s="104"/>
      <c r="K16" s="71"/>
      <c r="L16" s="104"/>
      <c r="M16" s="83"/>
      <c r="N16" s="75"/>
      <c r="O16" s="84"/>
      <c r="P16" s="18"/>
    </row>
    <row r="17" spans="1:18" x14ac:dyDescent="0.2">
      <c r="A17" s="17">
        <v>1</v>
      </c>
      <c r="B17" s="16">
        <v>2</v>
      </c>
      <c r="C17" s="106">
        <v>3</v>
      </c>
      <c r="D17" s="107">
        <v>4</v>
      </c>
      <c r="E17" s="107">
        <v>5</v>
      </c>
      <c r="F17" s="109">
        <v>6</v>
      </c>
      <c r="G17" s="113">
        <v>7</v>
      </c>
      <c r="H17" s="109">
        <v>8</v>
      </c>
      <c r="I17" s="112">
        <v>9</v>
      </c>
      <c r="J17" s="113">
        <v>10</v>
      </c>
      <c r="K17" s="112">
        <v>11</v>
      </c>
      <c r="L17" s="113">
        <v>12</v>
      </c>
      <c r="M17" s="112">
        <v>13</v>
      </c>
      <c r="N17" s="113">
        <v>14</v>
      </c>
      <c r="O17" s="112">
        <v>15</v>
      </c>
      <c r="P17" s="18"/>
    </row>
    <row r="18" spans="1:18" x14ac:dyDescent="0.2">
      <c r="A18" s="24"/>
      <c r="B18" s="10"/>
      <c r="C18" s="85"/>
      <c r="D18" s="65"/>
      <c r="E18" s="105"/>
      <c r="F18" s="65"/>
      <c r="G18" s="75"/>
      <c r="H18" s="65"/>
      <c r="I18" s="86"/>
      <c r="J18" s="75"/>
      <c r="K18" s="86"/>
      <c r="L18" s="75"/>
      <c r="M18" s="86"/>
      <c r="N18" s="75"/>
      <c r="O18" s="86"/>
      <c r="P18" s="18"/>
    </row>
    <row r="19" spans="1:18" x14ac:dyDescent="0.2">
      <c r="A19" s="24" t="s">
        <v>64</v>
      </c>
      <c r="B19" s="30" t="s">
        <v>27</v>
      </c>
      <c r="C19" s="126">
        <f>SUM(D19:O19)</f>
        <v>1216.1310000000001</v>
      </c>
      <c r="D19" s="127"/>
      <c r="E19" s="158"/>
      <c r="F19" s="127"/>
      <c r="G19" s="119"/>
      <c r="H19" s="127"/>
      <c r="I19" s="118"/>
      <c r="J19" s="119"/>
      <c r="K19" s="118">
        <f>96.795+1119.336</f>
        <v>1216.1310000000001</v>
      </c>
      <c r="L19" s="119"/>
      <c r="M19" s="118"/>
      <c r="N19" s="119"/>
      <c r="O19" s="118"/>
      <c r="P19" s="23"/>
      <c r="R19" s="19"/>
    </row>
    <row r="20" spans="1:18" x14ac:dyDescent="0.2">
      <c r="A20" s="8"/>
      <c r="B20" s="31"/>
      <c r="C20" s="126"/>
      <c r="D20" s="127"/>
      <c r="E20" s="158"/>
      <c r="F20" s="127"/>
      <c r="G20" s="119"/>
      <c r="H20" s="127"/>
      <c r="I20" s="118"/>
      <c r="J20" s="119"/>
      <c r="K20" s="118"/>
      <c r="L20" s="119"/>
      <c r="M20" s="118"/>
      <c r="N20" s="119"/>
      <c r="O20" s="118"/>
      <c r="P20" s="23"/>
      <c r="R20" s="19"/>
    </row>
    <row r="21" spans="1:18" x14ac:dyDescent="0.2">
      <c r="A21" s="41" t="s">
        <v>26</v>
      </c>
      <c r="B21" s="43" t="s">
        <v>80</v>
      </c>
      <c r="C21" s="128">
        <f t="shared" ref="C21:O21" si="0">SUM(C19:C20)</f>
        <v>1216.1310000000001</v>
      </c>
      <c r="D21" s="129">
        <f t="shared" si="0"/>
        <v>0</v>
      </c>
      <c r="E21" s="130">
        <f t="shared" si="0"/>
        <v>0</v>
      </c>
      <c r="F21" s="129">
        <f t="shared" si="0"/>
        <v>0</v>
      </c>
      <c r="G21" s="132">
        <f t="shared" si="0"/>
        <v>0</v>
      </c>
      <c r="H21" s="130">
        <f t="shared" si="0"/>
        <v>0</v>
      </c>
      <c r="I21" s="133">
        <f t="shared" si="0"/>
        <v>0</v>
      </c>
      <c r="J21" s="132">
        <f t="shared" si="0"/>
        <v>0</v>
      </c>
      <c r="K21" s="133">
        <f t="shared" si="0"/>
        <v>1216.1310000000001</v>
      </c>
      <c r="L21" s="132">
        <f t="shared" si="0"/>
        <v>0</v>
      </c>
      <c r="M21" s="134">
        <f t="shared" si="0"/>
        <v>0</v>
      </c>
      <c r="N21" s="132">
        <f t="shared" si="0"/>
        <v>0</v>
      </c>
      <c r="O21" s="134">
        <f t="shared" si="0"/>
        <v>0</v>
      </c>
      <c r="P21" s="23"/>
      <c r="R21" s="19"/>
    </row>
    <row r="22" spans="1:18" x14ac:dyDescent="0.2">
      <c r="A22" s="8"/>
      <c r="B22" s="32"/>
      <c r="C22" s="159"/>
      <c r="D22" s="127"/>
      <c r="E22" s="158"/>
      <c r="F22" s="127"/>
      <c r="G22" s="119"/>
      <c r="H22" s="127"/>
      <c r="I22" s="118"/>
      <c r="J22" s="119"/>
      <c r="K22" s="118"/>
      <c r="L22" s="119"/>
      <c r="M22" s="118"/>
      <c r="N22" s="119"/>
      <c r="O22" s="118"/>
      <c r="P22" s="23"/>
      <c r="R22" s="19"/>
    </row>
    <row r="23" spans="1:18" x14ac:dyDescent="0.2">
      <c r="A23" s="24" t="s">
        <v>64</v>
      </c>
      <c r="B23" s="30" t="s">
        <v>28</v>
      </c>
      <c r="C23" s="126">
        <f t="shared" ref="C23:C35" si="1">SUM(D23:O23)</f>
        <v>224.35400000000001</v>
      </c>
      <c r="D23" s="127"/>
      <c r="E23" s="158"/>
      <c r="F23" s="127"/>
      <c r="G23" s="119"/>
      <c r="H23" s="127"/>
      <c r="I23" s="118"/>
      <c r="J23" s="119"/>
      <c r="K23" s="118">
        <v>224.35400000000001</v>
      </c>
      <c r="L23" s="119"/>
      <c r="M23" s="118"/>
      <c r="N23" s="119"/>
      <c r="O23" s="118"/>
      <c r="P23" s="23"/>
      <c r="R23" s="19"/>
    </row>
    <row r="24" spans="1:18" x14ac:dyDescent="0.2">
      <c r="A24" s="24" t="s">
        <v>65</v>
      </c>
      <c r="B24" s="30" t="s">
        <v>30</v>
      </c>
      <c r="C24" s="126">
        <f t="shared" si="1"/>
        <v>13.026</v>
      </c>
      <c r="D24" s="127"/>
      <c r="E24" s="158"/>
      <c r="F24" s="127"/>
      <c r="G24" s="119"/>
      <c r="H24" s="127"/>
      <c r="I24" s="118"/>
      <c r="J24" s="119"/>
      <c r="K24" s="118">
        <v>13.026</v>
      </c>
      <c r="L24" s="119"/>
      <c r="M24" s="118"/>
      <c r="N24" s="119"/>
      <c r="O24" s="118"/>
      <c r="P24" s="23"/>
      <c r="R24" s="19"/>
    </row>
    <row r="25" spans="1:18" x14ac:dyDescent="0.2">
      <c r="A25" s="24" t="s">
        <v>66</v>
      </c>
      <c r="B25" s="30" t="s">
        <v>32</v>
      </c>
      <c r="C25" s="126">
        <f t="shared" si="1"/>
        <v>999.42500000000007</v>
      </c>
      <c r="D25" s="127"/>
      <c r="E25" s="158"/>
      <c r="F25" s="127"/>
      <c r="G25" s="119"/>
      <c r="H25" s="127"/>
      <c r="I25" s="118"/>
      <c r="J25" s="119"/>
      <c r="K25" s="118">
        <f>2.748+996.677</f>
        <v>999.42500000000007</v>
      </c>
      <c r="L25" s="119"/>
      <c r="M25" s="118"/>
      <c r="N25" s="119"/>
      <c r="O25" s="118"/>
      <c r="P25" s="23"/>
      <c r="R25" s="19"/>
    </row>
    <row r="26" spans="1:18" x14ac:dyDescent="0.2">
      <c r="A26" s="24" t="s">
        <v>67</v>
      </c>
      <c r="B26" s="30" t="s">
        <v>34</v>
      </c>
      <c r="C26" s="126">
        <f t="shared" si="1"/>
        <v>0</v>
      </c>
      <c r="D26" s="127"/>
      <c r="E26" s="158"/>
      <c r="F26" s="127"/>
      <c r="G26" s="119"/>
      <c r="H26" s="127"/>
      <c r="I26" s="118"/>
      <c r="J26" s="119"/>
      <c r="K26" s="118"/>
      <c r="L26" s="119"/>
      <c r="M26" s="118"/>
      <c r="N26" s="119"/>
      <c r="O26" s="118"/>
      <c r="P26" s="23"/>
      <c r="R26" s="19"/>
    </row>
    <row r="27" spans="1:18" x14ac:dyDescent="0.2">
      <c r="A27" s="24" t="s">
        <v>68</v>
      </c>
      <c r="B27" s="30" t="s">
        <v>35</v>
      </c>
      <c r="C27" s="126">
        <f t="shared" si="1"/>
        <v>-777.63000000000011</v>
      </c>
      <c r="D27" s="127"/>
      <c r="E27" s="158"/>
      <c r="F27" s="127"/>
      <c r="G27" s="119"/>
      <c r="H27" s="127"/>
      <c r="I27" s="118"/>
      <c r="J27" s="119"/>
      <c r="K27" s="118">
        <f>9.679+2443.923-3231.232</f>
        <v>-777.63000000000011</v>
      </c>
      <c r="L27" s="119"/>
      <c r="M27" s="118"/>
      <c r="N27" s="119"/>
      <c r="O27" s="118"/>
      <c r="P27" s="23"/>
      <c r="R27" s="19"/>
    </row>
    <row r="28" spans="1:18" x14ac:dyDescent="0.2">
      <c r="A28" s="24" t="s">
        <v>69</v>
      </c>
      <c r="B28" s="30" t="s">
        <v>36</v>
      </c>
      <c r="C28" s="126">
        <f t="shared" si="1"/>
        <v>0</v>
      </c>
      <c r="D28" s="127"/>
      <c r="E28" s="158"/>
      <c r="F28" s="127"/>
      <c r="G28" s="119"/>
      <c r="H28" s="127"/>
      <c r="I28" s="118"/>
      <c r="J28" s="119"/>
      <c r="K28" s="118"/>
      <c r="L28" s="119"/>
      <c r="M28" s="118"/>
      <c r="N28" s="119"/>
      <c r="O28" s="118"/>
      <c r="P28" s="23"/>
      <c r="R28" s="19"/>
    </row>
    <row r="29" spans="1:18" x14ac:dyDescent="0.2">
      <c r="A29" s="24" t="s">
        <v>70</v>
      </c>
      <c r="B29" s="30" t="s">
        <v>37</v>
      </c>
      <c r="C29" s="126">
        <f t="shared" si="1"/>
        <v>1703.8389999999999</v>
      </c>
      <c r="D29" s="127"/>
      <c r="E29" s="158"/>
      <c r="F29" s="127"/>
      <c r="G29" s="119"/>
      <c r="H29" s="127"/>
      <c r="I29" s="118"/>
      <c r="J29" s="119"/>
      <c r="K29" s="118">
        <f>7.887+1695.952</f>
        <v>1703.8389999999999</v>
      </c>
      <c r="L29" s="119"/>
      <c r="M29" s="118"/>
      <c r="N29" s="119"/>
      <c r="O29" s="118"/>
      <c r="P29" s="23"/>
      <c r="R29" s="19"/>
    </row>
    <row r="30" spans="1:18" x14ac:dyDescent="0.2">
      <c r="A30" s="24" t="s">
        <v>71</v>
      </c>
      <c r="B30" s="30" t="s">
        <v>38</v>
      </c>
      <c r="C30" s="126">
        <f>SUM(D30:O30)</f>
        <v>2008.73</v>
      </c>
      <c r="D30" s="127"/>
      <c r="E30" s="158"/>
      <c r="F30" s="127"/>
      <c r="G30" s="119"/>
      <c r="H30" s="127"/>
      <c r="I30" s="118"/>
      <c r="J30" s="119"/>
      <c r="K30" s="118">
        <f>792+16.73+1200</f>
        <v>2008.73</v>
      </c>
      <c r="L30" s="119"/>
      <c r="M30" s="118"/>
      <c r="N30" s="119"/>
      <c r="O30" s="118"/>
      <c r="P30" s="23"/>
      <c r="R30" s="19"/>
    </row>
    <row r="31" spans="1:18" x14ac:dyDescent="0.2">
      <c r="A31" s="24" t="s">
        <v>74</v>
      </c>
      <c r="B31" s="30" t="s">
        <v>39</v>
      </c>
      <c r="C31" s="126">
        <f t="shared" si="1"/>
        <v>882.76</v>
      </c>
      <c r="D31" s="127"/>
      <c r="E31" s="158"/>
      <c r="F31" s="127"/>
      <c r="G31" s="119"/>
      <c r="H31" s="127"/>
      <c r="I31" s="118"/>
      <c r="J31" s="119"/>
      <c r="K31" s="118">
        <f>882.76-98</f>
        <v>784.76</v>
      </c>
      <c r="L31" s="119"/>
      <c r="M31" s="118">
        <v>98</v>
      </c>
      <c r="N31" s="119"/>
      <c r="O31" s="118"/>
      <c r="P31" s="23"/>
      <c r="R31" s="19"/>
    </row>
    <row r="32" spans="1:18" x14ac:dyDescent="0.2">
      <c r="A32" s="24" t="s">
        <v>72</v>
      </c>
      <c r="B32" s="30" t="s">
        <v>40</v>
      </c>
      <c r="C32" s="126">
        <f t="shared" si="1"/>
        <v>1.4339999999999975</v>
      </c>
      <c r="D32" s="127"/>
      <c r="E32" s="158"/>
      <c r="F32" s="127"/>
      <c r="G32" s="119"/>
      <c r="H32" s="127"/>
      <c r="I32" s="118"/>
      <c r="J32" s="119"/>
      <c r="K32" s="118">
        <f>1.434+98</f>
        <v>99.433999999999997</v>
      </c>
      <c r="L32" s="119"/>
      <c r="M32" s="118">
        <v>-98</v>
      </c>
      <c r="N32" s="119"/>
      <c r="O32" s="118"/>
      <c r="P32" s="23"/>
      <c r="R32" s="19"/>
    </row>
    <row r="33" spans="1:20" x14ac:dyDescent="0.2">
      <c r="A33" s="24" t="s">
        <v>73</v>
      </c>
      <c r="B33" s="30" t="s">
        <v>85</v>
      </c>
      <c r="C33" s="126">
        <f t="shared" si="1"/>
        <v>0</v>
      </c>
      <c r="D33" s="127"/>
      <c r="E33" s="158"/>
      <c r="F33" s="127"/>
      <c r="G33" s="119"/>
      <c r="H33" s="127"/>
      <c r="I33" s="118"/>
      <c r="J33" s="119"/>
      <c r="K33" s="118"/>
      <c r="L33" s="119"/>
      <c r="M33" s="118"/>
      <c r="N33" s="119"/>
      <c r="O33" s="118"/>
      <c r="P33" s="23"/>
      <c r="R33" s="19"/>
    </row>
    <row r="34" spans="1:20" x14ac:dyDescent="0.2">
      <c r="A34" s="24" t="s">
        <v>87</v>
      </c>
      <c r="B34" s="30" t="s">
        <v>88</v>
      </c>
      <c r="C34" s="126">
        <f t="shared" si="1"/>
        <v>-3335.962</v>
      </c>
      <c r="D34" s="127"/>
      <c r="E34" s="158"/>
      <c r="F34" s="127"/>
      <c r="G34" s="119"/>
      <c r="H34" s="127"/>
      <c r="I34" s="118"/>
      <c r="J34" s="119"/>
      <c r="K34" s="118">
        <v>-3335.962</v>
      </c>
      <c r="L34" s="119"/>
      <c r="M34" s="118"/>
      <c r="N34" s="119"/>
      <c r="O34" s="118"/>
      <c r="P34" s="23"/>
      <c r="R34" s="19"/>
    </row>
    <row r="35" spans="1:20" x14ac:dyDescent="0.2">
      <c r="A35" s="24"/>
      <c r="B35" s="9"/>
      <c r="C35" s="126">
        <f t="shared" si="1"/>
        <v>0</v>
      </c>
      <c r="D35" s="127"/>
      <c r="E35" s="158"/>
      <c r="F35" s="127"/>
      <c r="G35" s="119"/>
      <c r="H35" s="127"/>
      <c r="I35" s="118"/>
      <c r="J35" s="119"/>
      <c r="K35" s="118"/>
      <c r="L35" s="119"/>
      <c r="M35" s="118"/>
      <c r="N35" s="119"/>
      <c r="O35" s="118"/>
      <c r="P35" s="23"/>
      <c r="R35" s="19"/>
    </row>
    <row r="36" spans="1:20" x14ac:dyDescent="0.2">
      <c r="A36" s="41" t="s">
        <v>29</v>
      </c>
      <c r="B36" s="26" t="s">
        <v>81</v>
      </c>
      <c r="C36" s="128">
        <f>SUM(C23:C35)</f>
        <v>1719.976000000001</v>
      </c>
      <c r="D36" s="129">
        <f t="shared" ref="D36:O36" si="2">SUM(D23:D35)</f>
        <v>0</v>
      </c>
      <c r="E36" s="130">
        <f t="shared" si="2"/>
        <v>0</v>
      </c>
      <c r="F36" s="129">
        <f t="shared" si="2"/>
        <v>0</v>
      </c>
      <c r="G36" s="132">
        <f t="shared" si="2"/>
        <v>0</v>
      </c>
      <c r="H36" s="130">
        <f t="shared" si="2"/>
        <v>0</v>
      </c>
      <c r="I36" s="133">
        <f t="shared" si="2"/>
        <v>0</v>
      </c>
      <c r="J36" s="132">
        <f>SUM(J23:J35)</f>
        <v>0</v>
      </c>
      <c r="K36" s="133">
        <f>SUM(K23:K35)</f>
        <v>1719.976000000001</v>
      </c>
      <c r="L36" s="132">
        <f t="shared" si="2"/>
        <v>0</v>
      </c>
      <c r="M36" s="134">
        <f t="shared" si="2"/>
        <v>0</v>
      </c>
      <c r="N36" s="132">
        <f t="shared" si="2"/>
        <v>0</v>
      </c>
      <c r="O36" s="134">
        <f t="shared" si="2"/>
        <v>0</v>
      </c>
      <c r="P36" s="23"/>
      <c r="R36" s="19"/>
    </row>
    <row r="37" spans="1:20" x14ac:dyDescent="0.2">
      <c r="A37" s="8"/>
      <c r="B37" s="9"/>
      <c r="C37" s="126"/>
      <c r="D37" s="127"/>
      <c r="E37" s="158"/>
      <c r="F37" s="127"/>
      <c r="G37" s="119"/>
      <c r="H37" s="127"/>
      <c r="I37" s="118"/>
      <c r="J37" s="119"/>
      <c r="K37" s="118"/>
      <c r="L37" s="119"/>
      <c r="M37" s="118"/>
      <c r="N37" s="119"/>
      <c r="O37" s="118"/>
      <c r="P37" s="23"/>
      <c r="R37" s="19"/>
    </row>
    <row r="38" spans="1:20" x14ac:dyDescent="0.2">
      <c r="A38" s="24" t="s">
        <v>64</v>
      </c>
      <c r="B38" s="30" t="s">
        <v>41</v>
      </c>
      <c r="C38" s="126">
        <f>SUM(D38:O38)</f>
        <v>808.42599999999993</v>
      </c>
      <c r="D38" s="127"/>
      <c r="E38" s="158"/>
      <c r="F38" s="127"/>
      <c r="G38" s="119"/>
      <c r="H38" s="127"/>
      <c r="I38" s="118"/>
      <c r="J38" s="119"/>
      <c r="K38" s="194">
        <f>60.228+748.198</f>
        <v>808.42599999999993</v>
      </c>
      <c r="L38" s="119"/>
      <c r="M38" s="118"/>
      <c r="N38" s="119"/>
      <c r="O38" s="118"/>
      <c r="P38" s="23"/>
      <c r="R38" s="19"/>
    </row>
    <row r="39" spans="1:20" x14ac:dyDescent="0.2">
      <c r="A39" s="24" t="s">
        <v>65</v>
      </c>
      <c r="B39" s="30" t="s">
        <v>42</v>
      </c>
      <c r="C39" s="126">
        <f>SUM(D39:O39)</f>
        <v>1074.8910000000001</v>
      </c>
      <c r="D39" s="127"/>
      <c r="E39" s="158"/>
      <c r="F39" s="127"/>
      <c r="G39" s="119"/>
      <c r="H39" s="127"/>
      <c r="I39" s="118"/>
      <c r="J39" s="119"/>
      <c r="K39" s="194">
        <f>76.718+998.173</f>
        <v>1074.8910000000001</v>
      </c>
      <c r="L39" s="119"/>
      <c r="M39" s="118"/>
      <c r="N39" s="119"/>
      <c r="O39" s="118"/>
      <c r="P39" s="23"/>
      <c r="R39" s="19"/>
    </row>
    <row r="40" spans="1:20" x14ac:dyDescent="0.2">
      <c r="A40" s="24" t="s">
        <v>66</v>
      </c>
      <c r="B40" s="30" t="s">
        <v>43</v>
      </c>
      <c r="C40" s="126">
        <f>SUM(D40:O40)</f>
        <v>1687.153</v>
      </c>
      <c r="D40" s="127"/>
      <c r="E40" s="158"/>
      <c r="F40" s="127"/>
      <c r="G40" s="119"/>
      <c r="H40" s="127"/>
      <c r="I40" s="118"/>
      <c r="J40" s="117"/>
      <c r="K40" s="194">
        <f>72.298+1059.73+555.125</f>
        <v>1687.153</v>
      </c>
      <c r="L40" s="119"/>
      <c r="M40" s="118"/>
      <c r="N40" s="119"/>
      <c r="O40" s="118"/>
      <c r="P40" s="23"/>
      <c r="R40" s="19"/>
    </row>
    <row r="41" spans="1:20" x14ac:dyDescent="0.2">
      <c r="A41" s="24" t="s">
        <v>67</v>
      </c>
      <c r="B41" s="30" t="s">
        <v>44</v>
      </c>
      <c r="C41" s="126">
        <f>SUM(D41:O41)</f>
        <v>717.13499999999999</v>
      </c>
      <c r="D41" s="127"/>
      <c r="E41" s="158"/>
      <c r="F41" s="127"/>
      <c r="G41" s="119"/>
      <c r="H41" s="127"/>
      <c r="I41" s="118"/>
      <c r="J41" s="119"/>
      <c r="K41" s="194">
        <f>66.681+650.454-2091.78</f>
        <v>-1374.6450000000002</v>
      </c>
      <c r="L41" s="119"/>
      <c r="M41" s="118">
        <v>2091.7800000000002</v>
      </c>
      <c r="N41" s="119"/>
      <c r="O41" s="118"/>
      <c r="P41" s="23"/>
      <c r="R41" s="19"/>
    </row>
    <row r="42" spans="1:20" x14ac:dyDescent="0.2">
      <c r="A42" s="24" t="s">
        <v>68</v>
      </c>
      <c r="B42" s="30" t="s">
        <v>90</v>
      </c>
      <c r="C42" s="126">
        <f>SUM(D42:O42)</f>
        <v>14076.273000000001</v>
      </c>
      <c r="D42" s="127"/>
      <c r="E42" s="158"/>
      <c r="F42" s="127"/>
      <c r="G42" s="119"/>
      <c r="H42" s="127"/>
      <c r="I42" s="118"/>
      <c r="J42" s="119"/>
      <c r="K42" s="194">
        <f>10795-4525+298.036+2983.237</f>
        <v>9551.273000000001</v>
      </c>
      <c r="L42" s="119"/>
      <c r="M42" s="118">
        <v>4525</v>
      </c>
      <c r="N42" s="119"/>
      <c r="O42" s="118"/>
      <c r="P42" s="23"/>
      <c r="R42" s="19"/>
    </row>
    <row r="43" spans="1:20" x14ac:dyDescent="0.2">
      <c r="A43" s="24"/>
      <c r="B43" s="30"/>
      <c r="C43" s="126"/>
      <c r="D43" s="127"/>
      <c r="E43" s="158"/>
      <c r="F43" s="127"/>
      <c r="G43" s="119"/>
      <c r="H43" s="127"/>
      <c r="I43" s="118"/>
      <c r="J43" s="119"/>
      <c r="K43" s="194"/>
      <c r="L43" s="119"/>
      <c r="M43" s="118"/>
      <c r="N43" s="119"/>
      <c r="O43" s="118"/>
      <c r="P43" s="23"/>
      <c r="R43" s="19"/>
    </row>
    <row r="44" spans="1:20" x14ac:dyDescent="0.2">
      <c r="A44" s="41" t="s">
        <v>31</v>
      </c>
      <c r="B44" s="26" t="s">
        <v>83</v>
      </c>
      <c r="C44" s="128">
        <f>SUM(C38:C43)</f>
        <v>18363.878000000001</v>
      </c>
      <c r="D44" s="129">
        <f t="shared" ref="D44:O44" si="3">SUM(D38:D43)</f>
        <v>0</v>
      </c>
      <c r="E44" s="130">
        <f t="shared" si="3"/>
        <v>0</v>
      </c>
      <c r="F44" s="129">
        <f t="shared" si="3"/>
        <v>0</v>
      </c>
      <c r="G44" s="132">
        <f t="shared" si="3"/>
        <v>0</v>
      </c>
      <c r="H44" s="130">
        <f t="shared" si="3"/>
        <v>0</v>
      </c>
      <c r="I44" s="133">
        <f t="shared" si="3"/>
        <v>0</v>
      </c>
      <c r="J44" s="132">
        <f>SUM(J38:J43)</f>
        <v>0</v>
      </c>
      <c r="K44" s="195">
        <f t="shared" si="3"/>
        <v>11747.098000000002</v>
      </c>
      <c r="L44" s="132">
        <f t="shared" si="3"/>
        <v>0</v>
      </c>
      <c r="M44" s="134">
        <f t="shared" si="3"/>
        <v>6616.7800000000007</v>
      </c>
      <c r="N44" s="132">
        <f t="shared" si="3"/>
        <v>0</v>
      </c>
      <c r="O44" s="134">
        <f t="shared" si="3"/>
        <v>0</v>
      </c>
      <c r="P44" s="23"/>
      <c r="Q44" s="18"/>
      <c r="R44" s="19"/>
      <c r="T44" s="19"/>
    </row>
    <row r="45" spans="1:20" x14ac:dyDescent="0.2">
      <c r="A45" s="28"/>
      <c r="B45" s="27"/>
      <c r="C45" s="135"/>
      <c r="D45" s="136"/>
      <c r="E45" s="160"/>
      <c r="F45" s="136"/>
      <c r="G45" s="137"/>
      <c r="H45" s="136"/>
      <c r="I45" s="138"/>
      <c r="J45" s="137"/>
      <c r="K45" s="196"/>
      <c r="L45" s="137"/>
      <c r="M45" s="138"/>
      <c r="N45" s="137"/>
      <c r="O45" s="138"/>
      <c r="P45" s="23"/>
      <c r="Q45" s="18"/>
      <c r="R45" s="19"/>
      <c r="T45" s="19"/>
    </row>
    <row r="46" spans="1:20" x14ac:dyDescent="0.2">
      <c r="A46" s="17" t="s">
        <v>33</v>
      </c>
      <c r="B46" s="33" t="s">
        <v>45</v>
      </c>
      <c r="C46" s="161">
        <f>SUM(D46:M46)</f>
        <v>-6481.7839999999997</v>
      </c>
      <c r="D46" s="162"/>
      <c r="E46" s="130"/>
      <c r="F46" s="162"/>
      <c r="G46" s="132"/>
      <c r="H46" s="163"/>
      <c r="I46" s="164"/>
      <c r="J46" s="132"/>
      <c r="K46" s="165">
        <f>6060+63.216+4000+3918</f>
        <v>14041.216</v>
      </c>
      <c r="L46" s="132"/>
      <c r="M46" s="166">
        <f>-12605-3918-4000</f>
        <v>-20523</v>
      </c>
      <c r="N46" s="132"/>
      <c r="O46" s="134"/>
      <c r="P46" s="23"/>
      <c r="Q46" s="18"/>
      <c r="R46" s="19"/>
      <c r="T46" s="19"/>
    </row>
    <row r="47" spans="1:20" ht="13.5" thickBot="1" x14ac:dyDescent="0.25">
      <c r="A47" s="8"/>
      <c r="B47" s="34"/>
      <c r="C47" s="126"/>
      <c r="D47" s="127"/>
      <c r="E47" s="158"/>
      <c r="F47" s="127"/>
      <c r="G47" s="119"/>
      <c r="H47" s="127"/>
      <c r="I47" s="118"/>
      <c r="J47" s="119"/>
      <c r="K47" s="118"/>
      <c r="L47" s="119"/>
      <c r="M47" s="118"/>
      <c r="N47" s="119"/>
      <c r="O47" s="118"/>
      <c r="P47" s="23"/>
      <c r="Q47" s="18"/>
    </row>
    <row r="48" spans="1:20" ht="22.5" thickBot="1" x14ac:dyDescent="0.25">
      <c r="A48" s="50" t="s">
        <v>75</v>
      </c>
      <c r="B48" s="46" t="s">
        <v>79</v>
      </c>
      <c r="C48" s="141">
        <f t="shared" ref="C48:M48" si="4">C21+C36+C44+C46</f>
        <v>14818.201000000001</v>
      </c>
      <c r="D48" s="167">
        <f>D21+D36+D44+D46</f>
        <v>0</v>
      </c>
      <c r="E48" s="168">
        <f t="shared" si="4"/>
        <v>0</v>
      </c>
      <c r="F48" s="169">
        <f t="shared" si="4"/>
        <v>0</v>
      </c>
      <c r="G48" s="170">
        <f t="shared" si="4"/>
        <v>0</v>
      </c>
      <c r="H48" s="171">
        <f t="shared" si="4"/>
        <v>0</v>
      </c>
      <c r="I48" s="172">
        <f t="shared" si="4"/>
        <v>0</v>
      </c>
      <c r="J48" s="170">
        <f t="shared" si="4"/>
        <v>0</v>
      </c>
      <c r="K48" s="157">
        <f>K21+K36+K44+K46</f>
        <v>28724.421000000002</v>
      </c>
      <c r="L48" s="170">
        <f t="shared" si="4"/>
        <v>0</v>
      </c>
      <c r="M48" s="157">
        <f t="shared" si="4"/>
        <v>-13906.22</v>
      </c>
      <c r="N48" s="170"/>
      <c r="O48" s="172"/>
      <c r="P48" s="23"/>
    </row>
    <row r="49" spans="1:16" x14ac:dyDescent="0.2">
      <c r="A49" s="15"/>
      <c r="B49" s="37"/>
      <c r="C49" s="145"/>
      <c r="D49" s="173"/>
      <c r="E49" s="174"/>
      <c r="F49" s="127"/>
      <c r="G49" s="119"/>
      <c r="H49" s="127"/>
      <c r="I49" s="118"/>
      <c r="J49" s="119"/>
      <c r="K49" s="118"/>
      <c r="L49" s="119"/>
      <c r="M49" s="118"/>
      <c r="N49" s="119"/>
      <c r="O49" s="118"/>
      <c r="P49" s="23"/>
    </row>
    <row r="50" spans="1:16" x14ac:dyDescent="0.2">
      <c r="A50" s="42" t="s">
        <v>76</v>
      </c>
      <c r="B50" s="47" t="s">
        <v>77</v>
      </c>
      <c r="C50" s="161">
        <f>SUM(D50:M50)</f>
        <v>-55613.092000000004</v>
      </c>
      <c r="D50" s="127"/>
      <c r="E50" s="150">
        <v>5051.6000000000004</v>
      </c>
      <c r="F50" s="175"/>
      <c r="G50" s="152"/>
      <c r="H50" s="153"/>
      <c r="I50" s="151"/>
      <c r="J50" s="152"/>
      <c r="K50" s="151">
        <f>876.1+1185.208-62726</f>
        <v>-60664.692000000003</v>
      </c>
      <c r="L50" s="152"/>
      <c r="M50" s="151"/>
      <c r="N50" s="152"/>
      <c r="O50" s="151"/>
      <c r="P50" s="23"/>
    </row>
    <row r="51" spans="1:16" ht="13.5" thickBot="1" x14ac:dyDescent="0.25">
      <c r="A51" s="14"/>
      <c r="B51" s="48"/>
      <c r="C51" s="126"/>
      <c r="D51" s="176"/>
      <c r="E51" s="177"/>
      <c r="F51" s="127"/>
      <c r="G51" s="119"/>
      <c r="H51" s="127"/>
      <c r="I51" s="118"/>
      <c r="J51" s="119"/>
      <c r="K51" s="118"/>
      <c r="L51" s="119"/>
      <c r="M51" s="118"/>
      <c r="N51" s="119"/>
      <c r="O51" s="118"/>
      <c r="P51" s="23"/>
    </row>
    <row r="52" spans="1:16" ht="13.5" thickBot="1" x14ac:dyDescent="0.25">
      <c r="A52" s="36" t="s">
        <v>78</v>
      </c>
      <c r="B52" s="49" t="s">
        <v>84</v>
      </c>
      <c r="C52" s="154">
        <f t="shared" ref="C52:O52" si="5">C48+C50</f>
        <v>-40794.891000000003</v>
      </c>
      <c r="D52" s="178">
        <f>D48+D50</f>
        <v>0</v>
      </c>
      <c r="E52" s="179">
        <f t="shared" si="5"/>
        <v>5051.6000000000004</v>
      </c>
      <c r="F52" s="180">
        <f t="shared" si="5"/>
        <v>0</v>
      </c>
      <c r="G52" s="178">
        <f t="shared" si="5"/>
        <v>0</v>
      </c>
      <c r="H52" s="179">
        <f t="shared" si="5"/>
        <v>0</v>
      </c>
      <c r="I52" s="180">
        <f t="shared" si="5"/>
        <v>0</v>
      </c>
      <c r="J52" s="178">
        <f t="shared" si="5"/>
        <v>0</v>
      </c>
      <c r="K52" s="180">
        <f t="shared" si="5"/>
        <v>-31940.271000000001</v>
      </c>
      <c r="L52" s="178">
        <f t="shared" si="5"/>
        <v>0</v>
      </c>
      <c r="M52" s="180">
        <f>M48+M50</f>
        <v>-13906.22</v>
      </c>
      <c r="N52" s="178">
        <f t="shared" si="5"/>
        <v>0</v>
      </c>
      <c r="O52" s="180">
        <f t="shared" si="5"/>
        <v>0</v>
      </c>
      <c r="P52" s="23"/>
    </row>
    <row r="53" spans="1:16" x14ac:dyDescent="0.2">
      <c r="C53" s="55"/>
      <c r="P53" s="23"/>
    </row>
    <row r="54" spans="1:16" x14ac:dyDescent="0.2">
      <c r="C54" s="55"/>
      <c r="P54" s="23"/>
    </row>
    <row r="55" spans="1:16" x14ac:dyDescent="0.2">
      <c r="C55" s="212"/>
      <c r="N55" s="213" t="s">
        <v>98</v>
      </c>
      <c r="O55" s="213"/>
      <c r="P55" s="23"/>
    </row>
    <row r="56" spans="1:16" x14ac:dyDescent="0.2">
      <c r="C56" s="212"/>
      <c r="P56" s="23"/>
    </row>
    <row r="57" spans="1:16" x14ac:dyDescent="0.2">
      <c r="A57" s="221" t="s">
        <v>95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3"/>
    </row>
    <row r="58" spans="1:16" x14ac:dyDescent="0.2">
      <c r="A58" s="3"/>
      <c r="B58" s="221" t="s">
        <v>93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56"/>
      <c r="P58" s="23"/>
    </row>
    <row r="59" spans="1:16" x14ac:dyDescent="0.2">
      <c r="A59" s="3"/>
      <c r="B59" s="4"/>
      <c r="C59" s="56"/>
      <c r="D59" s="56"/>
      <c r="E59" s="56"/>
      <c r="F59" s="56"/>
      <c r="G59" s="56"/>
      <c r="H59" s="90"/>
      <c r="I59" s="56"/>
      <c r="J59" s="56"/>
      <c r="K59" s="56"/>
      <c r="L59" s="56"/>
      <c r="M59" s="56"/>
      <c r="N59" s="56"/>
      <c r="O59" s="57"/>
      <c r="P59" s="23"/>
    </row>
    <row r="60" spans="1:16" ht="13.5" thickBot="1" x14ac:dyDescent="0.25">
      <c r="A60" s="3"/>
      <c r="B60" s="4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8" t="s">
        <v>0</v>
      </c>
      <c r="P60" s="23"/>
    </row>
    <row r="61" spans="1:16" ht="13.5" thickBot="1" x14ac:dyDescent="0.25">
      <c r="A61" s="6"/>
      <c r="B61" s="7"/>
      <c r="C61" s="59"/>
      <c r="D61" s="214" t="s">
        <v>1</v>
      </c>
      <c r="E61" s="214"/>
      <c r="F61" s="214"/>
      <c r="G61" s="215"/>
      <c r="H61" s="215"/>
      <c r="I61" s="215"/>
      <c r="J61" s="214"/>
      <c r="K61" s="214"/>
      <c r="L61" s="214"/>
      <c r="M61" s="214"/>
      <c r="N61" s="216" t="s">
        <v>2</v>
      </c>
      <c r="O61" s="217"/>
      <c r="P61" s="23"/>
    </row>
    <row r="62" spans="1:16" ht="13.5" thickBot="1" x14ac:dyDescent="0.25">
      <c r="A62" s="8"/>
      <c r="B62" s="35"/>
      <c r="C62" s="92"/>
      <c r="D62" s="218" t="s">
        <v>61</v>
      </c>
      <c r="E62" s="219"/>
      <c r="F62" s="219"/>
      <c r="G62" s="219"/>
      <c r="H62" s="219"/>
      <c r="I62" s="220"/>
      <c r="J62" s="218" t="s">
        <v>56</v>
      </c>
      <c r="K62" s="219"/>
      <c r="L62" s="219"/>
      <c r="M62" s="219"/>
      <c r="N62" s="93"/>
      <c r="O62" s="94"/>
      <c r="P62" s="23"/>
    </row>
    <row r="63" spans="1:16" x14ac:dyDescent="0.2">
      <c r="A63" s="21"/>
      <c r="B63" s="10" t="s">
        <v>60</v>
      </c>
      <c r="C63" s="64" t="s">
        <v>3</v>
      </c>
      <c r="D63" s="91"/>
      <c r="E63" s="78"/>
      <c r="F63" s="95"/>
      <c r="G63" s="67"/>
      <c r="H63" s="96"/>
      <c r="I63" s="97"/>
      <c r="J63" s="98"/>
      <c r="K63" s="99"/>
      <c r="L63" s="98"/>
      <c r="M63" s="99"/>
      <c r="N63" s="70" t="s">
        <v>10</v>
      </c>
      <c r="O63" s="71" t="s">
        <v>13</v>
      </c>
      <c r="P63" s="23"/>
    </row>
    <row r="64" spans="1:16" x14ac:dyDescent="0.2">
      <c r="A64" s="21"/>
      <c r="B64" s="10" t="s">
        <v>20</v>
      </c>
      <c r="C64" s="64" t="s">
        <v>46</v>
      </c>
      <c r="D64" s="100" t="s">
        <v>10</v>
      </c>
      <c r="E64" s="101" t="s">
        <v>10</v>
      </c>
      <c r="F64" s="101" t="s">
        <v>10</v>
      </c>
      <c r="G64" s="70" t="s">
        <v>13</v>
      </c>
      <c r="H64" s="101" t="s">
        <v>49</v>
      </c>
      <c r="I64" s="71" t="s">
        <v>13</v>
      </c>
      <c r="J64" s="102" t="s">
        <v>10</v>
      </c>
      <c r="K64" s="74" t="s">
        <v>10</v>
      </c>
      <c r="L64" s="102" t="s">
        <v>13</v>
      </c>
      <c r="M64" s="74" t="s">
        <v>13</v>
      </c>
      <c r="N64" s="70" t="s">
        <v>17</v>
      </c>
      <c r="O64" s="71" t="s">
        <v>17</v>
      </c>
      <c r="P64" s="23"/>
    </row>
    <row r="65" spans="1:16" x14ac:dyDescent="0.2">
      <c r="A65" s="22"/>
      <c r="B65" s="10"/>
      <c r="C65" s="64" t="s">
        <v>14</v>
      </c>
      <c r="D65" s="100" t="s">
        <v>46</v>
      </c>
      <c r="E65" s="101" t="s">
        <v>46</v>
      </c>
      <c r="F65" s="101" t="s">
        <v>17</v>
      </c>
      <c r="G65" s="70" t="s">
        <v>46</v>
      </c>
      <c r="H65" s="101" t="s">
        <v>46</v>
      </c>
      <c r="I65" s="71" t="s">
        <v>17</v>
      </c>
      <c r="J65" s="102" t="s">
        <v>57</v>
      </c>
      <c r="K65" s="74" t="s">
        <v>59</v>
      </c>
      <c r="L65" s="102" t="s">
        <v>57</v>
      </c>
      <c r="M65" s="74" t="s">
        <v>59</v>
      </c>
      <c r="N65" s="70"/>
      <c r="O65" s="71"/>
      <c r="P65" s="23"/>
    </row>
    <row r="66" spans="1:16" x14ac:dyDescent="0.2">
      <c r="A66" s="12" t="s">
        <v>19</v>
      </c>
      <c r="B66" s="10"/>
      <c r="C66" s="79"/>
      <c r="D66" s="72" t="s">
        <v>50</v>
      </c>
      <c r="E66" s="101"/>
      <c r="F66" s="101" t="s">
        <v>54</v>
      </c>
      <c r="G66" s="103" t="s">
        <v>50</v>
      </c>
      <c r="H66" s="101"/>
      <c r="I66" s="71" t="s">
        <v>54</v>
      </c>
      <c r="J66" s="102" t="s">
        <v>55</v>
      </c>
      <c r="K66" s="74" t="s">
        <v>48</v>
      </c>
      <c r="L66" s="102" t="s">
        <v>55</v>
      </c>
      <c r="M66" s="74" t="s">
        <v>48</v>
      </c>
      <c r="N66" s="70"/>
      <c r="O66" s="71"/>
      <c r="P66" s="23"/>
    </row>
    <row r="67" spans="1:16" x14ac:dyDescent="0.2">
      <c r="A67" s="12"/>
      <c r="B67" s="10"/>
      <c r="C67" s="79"/>
      <c r="D67" s="72" t="s">
        <v>52</v>
      </c>
      <c r="E67" s="101"/>
      <c r="F67" s="101" t="s">
        <v>23</v>
      </c>
      <c r="G67" s="103" t="s">
        <v>52</v>
      </c>
      <c r="H67" s="101"/>
      <c r="I67" s="71" t="s">
        <v>23</v>
      </c>
      <c r="J67" s="102" t="s">
        <v>58</v>
      </c>
      <c r="K67" s="71"/>
      <c r="L67" s="102" t="s">
        <v>58</v>
      </c>
      <c r="M67" s="71"/>
      <c r="N67" s="70"/>
      <c r="O67" s="71"/>
      <c r="P67" s="23"/>
    </row>
    <row r="68" spans="1:16" x14ac:dyDescent="0.2">
      <c r="A68" s="11"/>
      <c r="B68" s="29"/>
      <c r="C68" s="79"/>
      <c r="D68" s="87"/>
      <c r="E68" s="101"/>
      <c r="F68" s="101"/>
      <c r="G68" s="88"/>
      <c r="H68" s="101"/>
      <c r="I68" s="71"/>
      <c r="J68" s="104"/>
      <c r="K68" s="71"/>
      <c r="L68" s="104"/>
      <c r="M68" s="83"/>
      <c r="N68" s="75"/>
      <c r="O68" s="84"/>
      <c r="P68" s="23"/>
    </row>
    <row r="69" spans="1:16" x14ac:dyDescent="0.2">
      <c r="A69" s="17">
        <v>1</v>
      </c>
      <c r="B69" s="16">
        <v>2</v>
      </c>
      <c r="C69" s="106">
        <v>3</v>
      </c>
      <c r="D69" s="107">
        <v>4</v>
      </c>
      <c r="E69" s="107">
        <v>5</v>
      </c>
      <c r="F69" s="109">
        <v>6</v>
      </c>
      <c r="G69" s="113">
        <v>7</v>
      </c>
      <c r="H69" s="109">
        <v>8</v>
      </c>
      <c r="I69" s="112">
        <v>9</v>
      </c>
      <c r="J69" s="113">
        <v>10</v>
      </c>
      <c r="K69" s="112">
        <v>11</v>
      </c>
      <c r="L69" s="113">
        <v>12</v>
      </c>
      <c r="M69" s="112">
        <v>13</v>
      </c>
      <c r="N69" s="113">
        <v>14</v>
      </c>
      <c r="O69" s="112">
        <v>15</v>
      </c>
      <c r="P69" s="23"/>
    </row>
    <row r="70" spans="1:16" x14ac:dyDescent="0.2">
      <c r="A70" s="24"/>
      <c r="B70" s="10"/>
      <c r="C70" s="85"/>
      <c r="D70" s="65"/>
      <c r="E70" s="105"/>
      <c r="F70" s="65"/>
      <c r="G70" s="75"/>
      <c r="H70" s="65"/>
      <c r="I70" s="86"/>
      <c r="J70" s="75"/>
      <c r="K70" s="86"/>
      <c r="L70" s="75"/>
      <c r="M70" s="86"/>
      <c r="N70" s="75"/>
      <c r="O70" s="86"/>
      <c r="P70" s="23"/>
    </row>
    <row r="71" spans="1:16" x14ac:dyDescent="0.2">
      <c r="A71" s="24" t="s">
        <v>64</v>
      </c>
      <c r="B71" s="30" t="s">
        <v>27</v>
      </c>
      <c r="C71" s="126">
        <f>SUM(D71:O71)</f>
        <v>1216.1310000000001</v>
      </c>
      <c r="D71" s="127"/>
      <c r="E71" s="158"/>
      <c r="F71" s="127"/>
      <c r="G71" s="119"/>
      <c r="H71" s="127"/>
      <c r="I71" s="118"/>
      <c r="J71" s="119"/>
      <c r="K71" s="118">
        <f>96.795+1119.336</f>
        <v>1216.1310000000001</v>
      </c>
      <c r="L71" s="119"/>
      <c r="M71" s="118"/>
      <c r="N71" s="119"/>
      <c r="O71" s="118"/>
      <c r="P71" s="23"/>
    </row>
    <row r="72" spans="1:16" x14ac:dyDescent="0.2">
      <c r="A72" s="8"/>
      <c r="B72" s="31"/>
      <c r="C72" s="126"/>
      <c r="D72" s="127"/>
      <c r="E72" s="158"/>
      <c r="F72" s="127"/>
      <c r="G72" s="119"/>
      <c r="H72" s="127"/>
      <c r="I72" s="118"/>
      <c r="J72" s="119"/>
      <c r="K72" s="118"/>
      <c r="L72" s="119"/>
      <c r="M72" s="118"/>
      <c r="N72" s="119"/>
      <c r="O72" s="118"/>
      <c r="P72" s="23"/>
    </row>
    <row r="73" spans="1:16" x14ac:dyDescent="0.2">
      <c r="A73" s="41" t="s">
        <v>26</v>
      </c>
      <c r="B73" s="43" t="s">
        <v>80</v>
      </c>
      <c r="C73" s="128">
        <f t="shared" ref="C73:O73" si="6">SUM(C71:C72)</f>
        <v>1216.1310000000001</v>
      </c>
      <c r="D73" s="129">
        <f t="shared" si="6"/>
        <v>0</v>
      </c>
      <c r="E73" s="130">
        <f t="shared" si="6"/>
        <v>0</v>
      </c>
      <c r="F73" s="129">
        <f t="shared" si="6"/>
        <v>0</v>
      </c>
      <c r="G73" s="132">
        <f t="shared" si="6"/>
        <v>0</v>
      </c>
      <c r="H73" s="130">
        <f t="shared" si="6"/>
        <v>0</v>
      </c>
      <c r="I73" s="133">
        <f t="shared" si="6"/>
        <v>0</v>
      </c>
      <c r="J73" s="132">
        <f t="shared" si="6"/>
        <v>0</v>
      </c>
      <c r="K73" s="133">
        <f t="shared" si="6"/>
        <v>1216.1310000000001</v>
      </c>
      <c r="L73" s="132">
        <f t="shared" si="6"/>
        <v>0</v>
      </c>
      <c r="M73" s="134">
        <f t="shared" si="6"/>
        <v>0</v>
      </c>
      <c r="N73" s="132">
        <f t="shared" si="6"/>
        <v>0</v>
      </c>
      <c r="O73" s="134">
        <f t="shared" si="6"/>
        <v>0</v>
      </c>
      <c r="P73" s="23"/>
    </row>
    <row r="74" spans="1:16" x14ac:dyDescent="0.2">
      <c r="A74" s="8"/>
      <c r="B74" s="32"/>
      <c r="C74" s="159"/>
      <c r="D74" s="127"/>
      <c r="E74" s="158"/>
      <c r="F74" s="127"/>
      <c r="G74" s="119"/>
      <c r="H74" s="127"/>
      <c r="I74" s="118"/>
      <c r="J74" s="119"/>
      <c r="K74" s="118"/>
      <c r="L74" s="119"/>
      <c r="M74" s="118"/>
      <c r="N74" s="119"/>
      <c r="O74" s="118"/>
      <c r="P74" s="23"/>
    </row>
    <row r="75" spans="1:16" x14ac:dyDescent="0.2">
      <c r="A75" s="24" t="s">
        <v>64</v>
      </c>
      <c r="B75" s="30" t="s">
        <v>28</v>
      </c>
      <c r="C75" s="126">
        <f t="shared" ref="C75:C87" si="7">SUM(D75:O75)</f>
        <v>0</v>
      </c>
      <c r="D75" s="127"/>
      <c r="E75" s="158"/>
      <c r="F75" s="127"/>
      <c r="G75" s="119"/>
      <c r="H75" s="127"/>
      <c r="I75" s="118"/>
      <c r="J75" s="119"/>
      <c r="K75" s="118"/>
      <c r="L75" s="119"/>
      <c r="M75" s="118"/>
      <c r="N75" s="119"/>
      <c r="O75" s="118"/>
      <c r="P75" s="23"/>
    </row>
    <row r="76" spans="1:16" x14ac:dyDescent="0.2">
      <c r="A76" s="24" t="s">
        <v>65</v>
      </c>
      <c r="B76" s="30" t="s">
        <v>30</v>
      </c>
      <c r="C76" s="126">
        <f t="shared" si="7"/>
        <v>13.026</v>
      </c>
      <c r="D76" s="127"/>
      <c r="E76" s="158"/>
      <c r="F76" s="127"/>
      <c r="G76" s="119"/>
      <c r="H76" s="127"/>
      <c r="I76" s="118"/>
      <c r="J76" s="119"/>
      <c r="K76" s="118">
        <v>13.026</v>
      </c>
      <c r="L76" s="119"/>
      <c r="M76" s="118"/>
      <c r="N76" s="119"/>
      <c r="O76" s="118"/>
      <c r="P76" s="23"/>
    </row>
    <row r="77" spans="1:16" x14ac:dyDescent="0.2">
      <c r="A77" s="24" t="s">
        <v>66</v>
      </c>
      <c r="B77" s="30" t="s">
        <v>32</v>
      </c>
      <c r="C77" s="126">
        <f t="shared" si="7"/>
        <v>2.7480000000000002</v>
      </c>
      <c r="D77" s="127"/>
      <c r="E77" s="158"/>
      <c r="F77" s="127"/>
      <c r="G77" s="119"/>
      <c r="H77" s="127"/>
      <c r="I77" s="118"/>
      <c r="J77" s="119"/>
      <c r="K77" s="118">
        <f>2.748</f>
        <v>2.7480000000000002</v>
      </c>
      <c r="L77" s="119"/>
      <c r="M77" s="118"/>
      <c r="N77" s="119"/>
      <c r="O77" s="118"/>
      <c r="P77" s="23"/>
    </row>
    <row r="78" spans="1:16" x14ac:dyDescent="0.2">
      <c r="A78" s="24" t="s">
        <v>67</v>
      </c>
      <c r="B78" s="30" t="s">
        <v>34</v>
      </c>
      <c r="C78" s="126">
        <f t="shared" si="7"/>
        <v>0</v>
      </c>
      <c r="D78" s="127"/>
      <c r="E78" s="158"/>
      <c r="F78" s="127"/>
      <c r="G78" s="119"/>
      <c r="H78" s="127"/>
      <c r="I78" s="118"/>
      <c r="J78" s="119"/>
      <c r="K78" s="118"/>
      <c r="L78" s="119"/>
      <c r="M78" s="118"/>
      <c r="N78" s="119"/>
      <c r="O78" s="118"/>
      <c r="P78" s="23"/>
    </row>
    <row r="79" spans="1:16" x14ac:dyDescent="0.2">
      <c r="A79" s="24" t="s">
        <v>68</v>
      </c>
      <c r="B79" s="30" t="s">
        <v>35</v>
      </c>
      <c r="C79" s="126">
        <f t="shared" si="7"/>
        <v>9.6790000000000003</v>
      </c>
      <c r="D79" s="127"/>
      <c r="E79" s="158"/>
      <c r="F79" s="127"/>
      <c r="G79" s="119"/>
      <c r="H79" s="127"/>
      <c r="I79" s="118"/>
      <c r="J79" s="119"/>
      <c r="K79" s="118">
        <f>9.679</f>
        <v>9.6790000000000003</v>
      </c>
      <c r="L79" s="119"/>
      <c r="M79" s="118"/>
      <c r="N79" s="119"/>
      <c r="O79" s="118"/>
      <c r="P79" s="23"/>
    </row>
    <row r="80" spans="1:16" x14ac:dyDescent="0.2">
      <c r="A80" s="24" t="s">
        <v>69</v>
      </c>
      <c r="B80" s="30" t="s">
        <v>36</v>
      </c>
      <c r="C80" s="126">
        <f t="shared" si="7"/>
        <v>0</v>
      </c>
      <c r="D80" s="127"/>
      <c r="E80" s="158"/>
      <c r="F80" s="127"/>
      <c r="G80" s="119"/>
      <c r="H80" s="127"/>
      <c r="I80" s="118"/>
      <c r="J80" s="119"/>
      <c r="K80" s="118"/>
      <c r="L80" s="119"/>
      <c r="M80" s="118"/>
      <c r="N80" s="119"/>
      <c r="O80" s="118"/>
      <c r="P80" s="23"/>
    </row>
    <row r="81" spans="1:16" x14ac:dyDescent="0.2">
      <c r="A81" s="24" t="s">
        <v>70</v>
      </c>
      <c r="B81" s="30" t="s">
        <v>37</v>
      </c>
      <c r="C81" s="126">
        <f t="shared" si="7"/>
        <v>7.8869999999999996</v>
      </c>
      <c r="D81" s="127"/>
      <c r="E81" s="158"/>
      <c r="F81" s="127"/>
      <c r="G81" s="119"/>
      <c r="H81" s="127"/>
      <c r="I81" s="118"/>
      <c r="J81" s="119"/>
      <c r="K81" s="118">
        <f>7.887</f>
        <v>7.8869999999999996</v>
      </c>
      <c r="L81" s="119"/>
      <c r="M81" s="118"/>
      <c r="N81" s="119"/>
      <c r="O81" s="118"/>
      <c r="P81" s="23"/>
    </row>
    <row r="82" spans="1:16" x14ac:dyDescent="0.2">
      <c r="A82" s="24" t="s">
        <v>71</v>
      </c>
      <c r="B82" s="30" t="s">
        <v>38</v>
      </c>
      <c r="C82" s="126">
        <f>SUM(D82:O82)</f>
        <v>808.73</v>
      </c>
      <c r="D82" s="127"/>
      <c r="E82" s="158"/>
      <c r="F82" s="127"/>
      <c r="G82" s="119"/>
      <c r="H82" s="127"/>
      <c r="I82" s="118"/>
      <c r="J82" s="119"/>
      <c r="K82" s="118">
        <f>792+16.73</f>
        <v>808.73</v>
      </c>
      <c r="L82" s="119"/>
      <c r="M82" s="118"/>
      <c r="N82" s="119"/>
      <c r="O82" s="118"/>
      <c r="P82" s="23"/>
    </row>
    <row r="83" spans="1:16" x14ac:dyDescent="0.2">
      <c r="A83" s="24" t="s">
        <v>74</v>
      </c>
      <c r="B83" s="30" t="s">
        <v>39</v>
      </c>
      <c r="C83" s="126">
        <f t="shared" si="7"/>
        <v>0</v>
      </c>
      <c r="D83" s="127"/>
      <c r="E83" s="158"/>
      <c r="F83" s="127"/>
      <c r="G83" s="119"/>
      <c r="H83" s="127"/>
      <c r="I83" s="118"/>
      <c r="J83" s="119"/>
      <c r="K83" s="118"/>
      <c r="L83" s="119"/>
      <c r="M83" s="118"/>
      <c r="N83" s="119"/>
      <c r="O83" s="118"/>
      <c r="P83" s="23"/>
    </row>
    <row r="84" spans="1:16" x14ac:dyDescent="0.2">
      <c r="A84" s="24" t="s">
        <v>72</v>
      </c>
      <c r="B84" s="30" t="s">
        <v>40</v>
      </c>
      <c r="C84" s="126">
        <f t="shared" si="7"/>
        <v>1.4339999999999999</v>
      </c>
      <c r="D84" s="127"/>
      <c r="E84" s="158"/>
      <c r="F84" s="127"/>
      <c r="G84" s="119"/>
      <c r="H84" s="127"/>
      <c r="I84" s="118"/>
      <c r="J84" s="119"/>
      <c r="K84" s="118">
        <v>1.4339999999999999</v>
      </c>
      <c r="L84" s="119"/>
      <c r="M84" s="118"/>
      <c r="N84" s="119"/>
      <c r="O84" s="118"/>
      <c r="P84" s="23"/>
    </row>
    <row r="85" spans="1:16" x14ac:dyDescent="0.2">
      <c r="A85" s="24" t="s">
        <v>73</v>
      </c>
      <c r="B85" s="30" t="s">
        <v>85</v>
      </c>
      <c r="C85" s="126">
        <f t="shared" si="7"/>
        <v>0</v>
      </c>
      <c r="D85" s="127"/>
      <c r="E85" s="158"/>
      <c r="F85" s="127"/>
      <c r="G85" s="119"/>
      <c r="H85" s="127"/>
      <c r="I85" s="118"/>
      <c r="J85" s="119"/>
      <c r="K85" s="118"/>
      <c r="L85" s="119"/>
      <c r="M85" s="118"/>
      <c r="N85" s="119"/>
      <c r="O85" s="118"/>
      <c r="P85" s="23"/>
    </row>
    <row r="86" spans="1:16" x14ac:dyDescent="0.2">
      <c r="A86" s="24" t="s">
        <v>87</v>
      </c>
      <c r="B86" s="30" t="s">
        <v>88</v>
      </c>
      <c r="C86" s="126">
        <f t="shared" si="7"/>
        <v>0</v>
      </c>
      <c r="D86" s="127"/>
      <c r="E86" s="158"/>
      <c r="F86" s="127"/>
      <c r="G86" s="119"/>
      <c r="H86" s="127"/>
      <c r="I86" s="118"/>
      <c r="J86" s="119"/>
      <c r="K86" s="118"/>
      <c r="L86" s="119"/>
      <c r="M86" s="118"/>
      <c r="N86" s="119"/>
      <c r="O86" s="118"/>
      <c r="P86" s="23"/>
    </row>
    <row r="87" spans="1:16" x14ac:dyDescent="0.2">
      <c r="A87" s="24"/>
      <c r="B87" s="9"/>
      <c r="C87" s="126">
        <f t="shared" si="7"/>
        <v>0</v>
      </c>
      <c r="D87" s="127"/>
      <c r="E87" s="158"/>
      <c r="F87" s="127"/>
      <c r="G87" s="119"/>
      <c r="H87" s="127"/>
      <c r="I87" s="118"/>
      <c r="J87" s="119"/>
      <c r="K87" s="118"/>
      <c r="L87" s="119"/>
      <c r="M87" s="118"/>
      <c r="N87" s="119"/>
      <c r="O87" s="118"/>
      <c r="P87" s="23"/>
    </row>
    <row r="88" spans="1:16" x14ac:dyDescent="0.2">
      <c r="A88" s="41" t="s">
        <v>29</v>
      </c>
      <c r="B88" s="26" t="s">
        <v>81</v>
      </c>
      <c r="C88" s="128">
        <f>SUM(C75:C87)</f>
        <v>843.50400000000002</v>
      </c>
      <c r="D88" s="129">
        <f t="shared" ref="D88:O88" si="8">SUM(D75:D87)</f>
        <v>0</v>
      </c>
      <c r="E88" s="130">
        <f t="shared" si="8"/>
        <v>0</v>
      </c>
      <c r="F88" s="129">
        <f t="shared" si="8"/>
        <v>0</v>
      </c>
      <c r="G88" s="132">
        <f t="shared" si="8"/>
        <v>0</v>
      </c>
      <c r="H88" s="130">
        <f t="shared" si="8"/>
        <v>0</v>
      </c>
      <c r="I88" s="133">
        <f t="shared" si="8"/>
        <v>0</v>
      </c>
      <c r="J88" s="132">
        <f>SUM(J75:J87)</f>
        <v>0</v>
      </c>
      <c r="K88" s="133">
        <f>SUM(K75:K87)</f>
        <v>843.50400000000002</v>
      </c>
      <c r="L88" s="132">
        <f t="shared" si="8"/>
        <v>0</v>
      </c>
      <c r="M88" s="134">
        <f t="shared" si="8"/>
        <v>0</v>
      </c>
      <c r="N88" s="132">
        <f t="shared" si="8"/>
        <v>0</v>
      </c>
      <c r="O88" s="134">
        <f t="shared" si="8"/>
        <v>0</v>
      </c>
      <c r="P88" s="23"/>
    </row>
    <row r="89" spans="1:16" x14ac:dyDescent="0.2">
      <c r="A89" s="8"/>
      <c r="B89" s="9"/>
      <c r="C89" s="126"/>
      <c r="D89" s="127"/>
      <c r="E89" s="158"/>
      <c r="F89" s="127"/>
      <c r="G89" s="119"/>
      <c r="H89" s="127"/>
      <c r="I89" s="118"/>
      <c r="J89" s="119"/>
      <c r="K89" s="118"/>
      <c r="L89" s="119"/>
      <c r="M89" s="118"/>
      <c r="N89" s="119"/>
      <c r="O89" s="118"/>
      <c r="P89" s="23"/>
    </row>
    <row r="90" spans="1:16" x14ac:dyDescent="0.2">
      <c r="A90" s="24" t="s">
        <v>64</v>
      </c>
      <c r="B90" s="30" t="s">
        <v>41</v>
      </c>
      <c r="C90" s="126">
        <f>SUM(D90:O90)</f>
        <v>808.42599999999993</v>
      </c>
      <c r="D90" s="127"/>
      <c r="E90" s="158"/>
      <c r="F90" s="127"/>
      <c r="G90" s="119"/>
      <c r="H90" s="127"/>
      <c r="I90" s="118"/>
      <c r="J90" s="119"/>
      <c r="K90" s="194">
        <f>60.228+748.198</f>
        <v>808.42599999999993</v>
      </c>
      <c r="L90" s="119"/>
      <c r="M90" s="118"/>
      <c r="N90" s="119"/>
      <c r="O90" s="118"/>
      <c r="P90" s="23"/>
    </row>
    <row r="91" spans="1:16" x14ac:dyDescent="0.2">
      <c r="A91" s="24" t="s">
        <v>65</v>
      </c>
      <c r="B91" s="30" t="s">
        <v>42</v>
      </c>
      <c r="C91" s="126">
        <f>SUM(D91:O91)</f>
        <v>1074.8910000000001</v>
      </c>
      <c r="D91" s="127"/>
      <c r="E91" s="158"/>
      <c r="F91" s="127"/>
      <c r="G91" s="119"/>
      <c r="H91" s="127"/>
      <c r="I91" s="118"/>
      <c r="J91" s="119"/>
      <c r="K91" s="194">
        <f>76.718+998.173</f>
        <v>1074.8910000000001</v>
      </c>
      <c r="L91" s="119"/>
      <c r="M91" s="118"/>
      <c r="N91" s="119"/>
      <c r="O91" s="118"/>
      <c r="P91" s="23"/>
    </row>
    <row r="92" spans="1:16" x14ac:dyDescent="0.2">
      <c r="A92" s="24" t="s">
        <v>66</v>
      </c>
      <c r="B92" s="30" t="s">
        <v>43</v>
      </c>
      <c r="C92" s="126">
        <f>SUM(D92:O92)</f>
        <v>1132.028</v>
      </c>
      <c r="D92" s="127"/>
      <c r="E92" s="158"/>
      <c r="F92" s="127"/>
      <c r="G92" s="119"/>
      <c r="H92" s="127"/>
      <c r="I92" s="118"/>
      <c r="J92" s="117"/>
      <c r="K92" s="194">
        <f>72.298+1059.73</f>
        <v>1132.028</v>
      </c>
      <c r="L92" s="119"/>
      <c r="M92" s="118"/>
      <c r="N92" s="119"/>
      <c r="O92" s="118"/>
      <c r="P92" s="23"/>
    </row>
    <row r="93" spans="1:16" x14ac:dyDescent="0.2">
      <c r="A93" s="24" t="s">
        <v>67</v>
      </c>
      <c r="B93" s="30" t="s">
        <v>44</v>
      </c>
      <c r="C93" s="126">
        <f>SUM(D93:O93)</f>
        <v>717.13499999999999</v>
      </c>
      <c r="D93" s="127"/>
      <c r="E93" s="158"/>
      <c r="F93" s="127"/>
      <c r="G93" s="119"/>
      <c r="H93" s="127"/>
      <c r="I93" s="118"/>
      <c r="J93" s="119"/>
      <c r="K93" s="194">
        <f>66.681+650.454-2091.78</f>
        <v>-1374.6450000000002</v>
      </c>
      <c r="L93" s="119"/>
      <c r="M93" s="118">
        <v>2091.7800000000002</v>
      </c>
      <c r="N93" s="119"/>
      <c r="O93" s="118"/>
      <c r="P93" s="23"/>
    </row>
    <row r="94" spans="1:16" x14ac:dyDescent="0.2">
      <c r="A94" s="24" t="s">
        <v>68</v>
      </c>
      <c r="B94" s="30" t="s">
        <v>90</v>
      </c>
      <c r="C94" s="126">
        <f>SUM(D94:O94)</f>
        <v>14076.273000000001</v>
      </c>
      <c r="D94" s="127"/>
      <c r="E94" s="158"/>
      <c r="F94" s="127"/>
      <c r="G94" s="119"/>
      <c r="H94" s="127"/>
      <c r="I94" s="118"/>
      <c r="J94" s="119"/>
      <c r="K94" s="194">
        <f>10795-4525+298.036+2983.237</f>
        <v>9551.273000000001</v>
      </c>
      <c r="L94" s="119"/>
      <c r="M94" s="118">
        <v>4525</v>
      </c>
      <c r="N94" s="119"/>
      <c r="O94" s="118"/>
      <c r="P94" s="23"/>
    </row>
    <row r="95" spans="1:16" x14ac:dyDescent="0.2">
      <c r="A95" s="24"/>
      <c r="B95" s="30"/>
      <c r="C95" s="126"/>
      <c r="D95" s="127"/>
      <c r="E95" s="158"/>
      <c r="F95" s="127"/>
      <c r="G95" s="119"/>
      <c r="H95" s="127"/>
      <c r="I95" s="118"/>
      <c r="J95" s="119"/>
      <c r="K95" s="194"/>
      <c r="L95" s="119"/>
      <c r="M95" s="118"/>
      <c r="N95" s="119"/>
      <c r="O95" s="118"/>
      <c r="P95" s="23"/>
    </row>
    <row r="96" spans="1:16" x14ac:dyDescent="0.2">
      <c r="A96" s="41" t="s">
        <v>31</v>
      </c>
      <c r="B96" s="26" t="s">
        <v>83</v>
      </c>
      <c r="C96" s="128">
        <f>SUM(C90:C95)</f>
        <v>17808.753000000001</v>
      </c>
      <c r="D96" s="129">
        <f t="shared" ref="D96:O96" si="9">SUM(D90:D95)</f>
        <v>0</v>
      </c>
      <c r="E96" s="130">
        <f t="shared" si="9"/>
        <v>0</v>
      </c>
      <c r="F96" s="129">
        <f t="shared" si="9"/>
        <v>0</v>
      </c>
      <c r="G96" s="132">
        <f t="shared" si="9"/>
        <v>0</v>
      </c>
      <c r="H96" s="130">
        <f t="shared" si="9"/>
        <v>0</v>
      </c>
      <c r="I96" s="133">
        <f t="shared" si="9"/>
        <v>0</v>
      </c>
      <c r="J96" s="132">
        <f>SUM(J90:J95)</f>
        <v>0</v>
      </c>
      <c r="K96" s="195">
        <f t="shared" si="9"/>
        <v>11191.973000000002</v>
      </c>
      <c r="L96" s="132">
        <f t="shared" si="9"/>
        <v>0</v>
      </c>
      <c r="M96" s="134">
        <f t="shared" si="9"/>
        <v>6616.7800000000007</v>
      </c>
      <c r="N96" s="132">
        <f t="shared" si="9"/>
        <v>0</v>
      </c>
      <c r="O96" s="134">
        <f t="shared" si="9"/>
        <v>0</v>
      </c>
      <c r="P96" s="23"/>
    </row>
    <row r="97" spans="1:16" x14ac:dyDescent="0.2">
      <c r="A97" s="28"/>
      <c r="B97" s="27"/>
      <c r="C97" s="135"/>
      <c r="D97" s="136"/>
      <c r="E97" s="160"/>
      <c r="F97" s="136"/>
      <c r="G97" s="137"/>
      <c r="H97" s="136"/>
      <c r="I97" s="138"/>
      <c r="J97" s="137"/>
      <c r="K97" s="196"/>
      <c r="L97" s="137"/>
      <c r="M97" s="138"/>
      <c r="N97" s="137"/>
      <c r="O97" s="138"/>
      <c r="P97" s="23"/>
    </row>
    <row r="98" spans="1:16" x14ac:dyDescent="0.2">
      <c r="A98" s="17" t="s">
        <v>33</v>
      </c>
      <c r="B98" s="33" t="s">
        <v>45</v>
      </c>
      <c r="C98" s="161">
        <f>SUM(D98:M98)</f>
        <v>6123.2160000000003</v>
      </c>
      <c r="D98" s="162"/>
      <c r="E98" s="130"/>
      <c r="F98" s="162"/>
      <c r="G98" s="132"/>
      <c r="H98" s="163"/>
      <c r="I98" s="164"/>
      <c r="J98" s="132"/>
      <c r="K98" s="165">
        <f>6060+63.216</f>
        <v>6123.2160000000003</v>
      </c>
      <c r="L98" s="132"/>
      <c r="M98" s="166"/>
      <c r="N98" s="132"/>
      <c r="O98" s="134"/>
      <c r="P98" s="23"/>
    </row>
    <row r="99" spans="1:16" ht="13.5" thickBot="1" x14ac:dyDescent="0.25">
      <c r="A99" s="8"/>
      <c r="B99" s="34"/>
      <c r="C99" s="126"/>
      <c r="D99" s="127"/>
      <c r="E99" s="158"/>
      <c r="F99" s="127"/>
      <c r="G99" s="119"/>
      <c r="H99" s="127"/>
      <c r="I99" s="118"/>
      <c r="J99" s="119"/>
      <c r="K99" s="118"/>
      <c r="L99" s="119"/>
      <c r="M99" s="118"/>
      <c r="N99" s="119"/>
      <c r="O99" s="118"/>
      <c r="P99" s="23"/>
    </row>
    <row r="100" spans="1:16" ht="22.5" thickBot="1" x14ac:dyDescent="0.25">
      <c r="A100" s="50" t="s">
        <v>75</v>
      </c>
      <c r="B100" s="46" t="s">
        <v>79</v>
      </c>
      <c r="C100" s="141">
        <f t="shared" ref="C100:M100" si="10">C73+C88+C96+C98</f>
        <v>25991.603999999999</v>
      </c>
      <c r="D100" s="167">
        <f>D73+D88+D96+D98</f>
        <v>0</v>
      </c>
      <c r="E100" s="168">
        <f t="shared" si="10"/>
        <v>0</v>
      </c>
      <c r="F100" s="169">
        <f t="shared" si="10"/>
        <v>0</v>
      </c>
      <c r="G100" s="170">
        <f t="shared" si="10"/>
        <v>0</v>
      </c>
      <c r="H100" s="171">
        <f t="shared" si="10"/>
        <v>0</v>
      </c>
      <c r="I100" s="172">
        <f t="shared" si="10"/>
        <v>0</v>
      </c>
      <c r="J100" s="170">
        <f t="shared" si="10"/>
        <v>0</v>
      </c>
      <c r="K100" s="157">
        <f>K73+K88+K96+K98</f>
        <v>19374.824000000001</v>
      </c>
      <c r="L100" s="170">
        <f t="shared" si="10"/>
        <v>0</v>
      </c>
      <c r="M100" s="157">
        <f t="shared" si="10"/>
        <v>6616.7800000000007</v>
      </c>
      <c r="N100" s="170"/>
      <c r="O100" s="172"/>
      <c r="P100" s="23"/>
    </row>
    <row r="101" spans="1:16" x14ac:dyDescent="0.2">
      <c r="A101" s="15"/>
      <c r="B101" s="37"/>
      <c r="C101" s="145"/>
      <c r="D101" s="173"/>
      <c r="E101" s="174"/>
      <c r="F101" s="127"/>
      <c r="G101" s="119"/>
      <c r="H101" s="127"/>
      <c r="I101" s="118"/>
      <c r="J101" s="119"/>
      <c r="K101" s="118"/>
      <c r="L101" s="119"/>
      <c r="M101" s="118"/>
      <c r="N101" s="119"/>
      <c r="O101" s="118"/>
      <c r="P101" s="23"/>
    </row>
    <row r="102" spans="1:16" x14ac:dyDescent="0.2">
      <c r="A102" s="42" t="s">
        <v>76</v>
      </c>
      <c r="B102" s="47" t="s">
        <v>77</v>
      </c>
      <c r="C102" s="161">
        <f>SUM(D102:M102)</f>
        <v>7112.9080000000004</v>
      </c>
      <c r="D102" s="127"/>
      <c r="E102" s="150">
        <v>5051.6000000000004</v>
      </c>
      <c r="F102" s="175"/>
      <c r="G102" s="152"/>
      <c r="H102" s="153"/>
      <c r="I102" s="151"/>
      <c r="J102" s="152"/>
      <c r="K102" s="151">
        <f>876.1+1185.208</f>
        <v>2061.308</v>
      </c>
      <c r="L102" s="152"/>
      <c r="M102" s="151"/>
      <c r="N102" s="152"/>
      <c r="O102" s="151"/>
      <c r="P102" s="23"/>
    </row>
    <row r="103" spans="1:16" ht="13.5" thickBot="1" x14ac:dyDescent="0.25">
      <c r="A103" s="14"/>
      <c r="B103" s="48"/>
      <c r="C103" s="126"/>
      <c r="D103" s="176"/>
      <c r="E103" s="177"/>
      <c r="F103" s="127"/>
      <c r="G103" s="119"/>
      <c r="H103" s="127"/>
      <c r="I103" s="118"/>
      <c r="J103" s="119"/>
      <c r="K103" s="118"/>
      <c r="L103" s="119"/>
      <c r="M103" s="118"/>
      <c r="N103" s="119"/>
      <c r="O103" s="118"/>
      <c r="P103" s="23"/>
    </row>
    <row r="104" spans="1:16" ht="13.5" thickBot="1" x14ac:dyDescent="0.25">
      <c r="A104" s="36" t="s">
        <v>78</v>
      </c>
      <c r="B104" s="49" t="s">
        <v>84</v>
      </c>
      <c r="C104" s="154">
        <f t="shared" ref="C104:O104" si="11">C100+C102</f>
        <v>33104.512000000002</v>
      </c>
      <c r="D104" s="178">
        <f>D100+D102</f>
        <v>0</v>
      </c>
      <c r="E104" s="179">
        <f t="shared" si="11"/>
        <v>5051.6000000000004</v>
      </c>
      <c r="F104" s="180">
        <f t="shared" si="11"/>
        <v>0</v>
      </c>
      <c r="G104" s="178">
        <f t="shared" si="11"/>
        <v>0</v>
      </c>
      <c r="H104" s="179">
        <f t="shared" si="11"/>
        <v>0</v>
      </c>
      <c r="I104" s="180">
        <f t="shared" si="11"/>
        <v>0</v>
      </c>
      <c r="J104" s="178">
        <f t="shared" si="11"/>
        <v>0</v>
      </c>
      <c r="K104" s="180">
        <f t="shared" si="11"/>
        <v>21436.132000000001</v>
      </c>
      <c r="L104" s="178">
        <f t="shared" si="11"/>
        <v>0</v>
      </c>
      <c r="M104" s="180">
        <f>M100+M102</f>
        <v>6616.7800000000007</v>
      </c>
      <c r="N104" s="178">
        <f t="shared" si="11"/>
        <v>0</v>
      </c>
      <c r="O104" s="180">
        <f t="shared" si="11"/>
        <v>0</v>
      </c>
      <c r="P104" s="23"/>
    </row>
    <row r="105" spans="1:16" x14ac:dyDescent="0.2">
      <c r="B105" s="5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2"/>
    </row>
    <row r="106" spans="1:16" x14ac:dyDescent="0.2">
      <c r="B106" s="5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2"/>
    </row>
    <row r="107" spans="1:16" x14ac:dyDescent="0.2">
      <c r="B107" s="5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2"/>
    </row>
    <row r="108" spans="1:16" x14ac:dyDescent="0.2">
      <c r="B108" s="19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2"/>
    </row>
    <row r="109" spans="1:16" x14ac:dyDescent="0.2">
      <c r="B109" s="19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2"/>
    </row>
    <row r="110" spans="1:16" x14ac:dyDescent="0.2">
      <c r="B110" s="19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2"/>
    </row>
    <row r="111" spans="1:16" x14ac:dyDescent="0.2">
      <c r="B111" s="19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2"/>
    </row>
    <row r="112" spans="1:16" x14ac:dyDescent="0.2">
      <c r="B112" s="19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2"/>
    </row>
    <row r="113" spans="2:16" x14ac:dyDescent="0.2">
      <c r="B113" s="19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2"/>
    </row>
    <row r="114" spans="2:16" x14ac:dyDescent="0.2">
      <c r="B114" s="19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2"/>
    </row>
    <row r="115" spans="2:16" x14ac:dyDescent="0.2">
      <c r="B115" s="1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2"/>
    </row>
    <row r="116" spans="2:16" x14ac:dyDescent="0.2">
      <c r="B116" s="19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2"/>
    </row>
    <row r="117" spans="2:16" x14ac:dyDescent="0.2">
      <c r="B117" s="19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2"/>
    </row>
    <row r="118" spans="2:16" x14ac:dyDescent="0.2">
      <c r="B118" s="19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2"/>
    </row>
    <row r="119" spans="2:16" x14ac:dyDescent="0.2">
      <c r="B119" s="19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2"/>
    </row>
    <row r="120" spans="2:16" x14ac:dyDescent="0.2">
      <c r="B120" s="19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2"/>
    </row>
    <row r="121" spans="2:16" x14ac:dyDescent="0.2">
      <c r="B121" s="19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2"/>
    </row>
    <row r="122" spans="2:16" x14ac:dyDescent="0.2">
      <c r="B122" s="19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2"/>
    </row>
    <row r="123" spans="2:16" x14ac:dyDescent="0.2">
      <c r="B123" s="19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2"/>
    </row>
    <row r="124" spans="2:16" x14ac:dyDescent="0.2">
      <c r="B124" s="19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2"/>
    </row>
    <row r="125" spans="2:16" x14ac:dyDescent="0.2">
      <c r="B125" s="19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2"/>
    </row>
    <row r="126" spans="2:16" x14ac:dyDescent="0.2">
      <c r="B126" s="19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2"/>
    </row>
    <row r="127" spans="2:16" x14ac:dyDescent="0.2">
      <c r="B127" s="19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2"/>
    </row>
    <row r="128" spans="2:16" x14ac:dyDescent="0.2">
      <c r="B128" s="19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2"/>
    </row>
    <row r="129" spans="2:16" x14ac:dyDescent="0.2">
      <c r="B129" s="19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2"/>
    </row>
    <row r="130" spans="2:16" x14ac:dyDescent="0.2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2"/>
    </row>
    <row r="131" spans="2:16" x14ac:dyDescent="0.2"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2"/>
    </row>
    <row r="132" spans="2:16" x14ac:dyDescent="0.2"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2"/>
    </row>
    <row r="133" spans="2:16" x14ac:dyDescent="0.2"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2"/>
    </row>
  </sheetData>
  <mergeCells count="14">
    <mergeCell ref="N55:O55"/>
    <mergeCell ref="A57:O57"/>
    <mergeCell ref="B58:N58"/>
    <mergeCell ref="D61:M61"/>
    <mergeCell ref="N61:O61"/>
    <mergeCell ref="D62:I62"/>
    <mergeCell ref="J62:M62"/>
    <mergeCell ref="N1:O1"/>
    <mergeCell ref="D9:M9"/>
    <mergeCell ref="N9:O9"/>
    <mergeCell ref="D10:I10"/>
    <mergeCell ref="J10:M10"/>
    <mergeCell ref="A4:O4"/>
    <mergeCell ref="B6:N6"/>
  </mergeCells>
  <phoneticPr fontId="19" type="noConversion"/>
  <printOptions horizontalCentered="1" verticalCentered="1"/>
  <pageMargins left="7.874015748031496E-2" right="7.874015748031496E-2" top="0.70866141732283472" bottom="0.70866141732283472" header="0.19685039370078741" footer="0.15748031496062992"/>
  <pageSetup paperSize="8" orientation="landscape" r:id="rId1"/>
  <headerFooter alignWithMargins="0"/>
  <rowBreaks count="1" manualBreakCount="1">
    <brk id="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="110" zoomScaleNormal="110" workbookViewId="0">
      <pane xSplit="3" ySplit="17" topLeftCell="D42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A56" sqref="A56:XFD56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9.28515625" style="181" bestFit="1" customWidth="1"/>
    <col min="4" max="4" width="17.28515625" style="181" bestFit="1" customWidth="1"/>
    <col min="5" max="5" width="16.5703125" style="181" bestFit="1" customWidth="1"/>
    <col min="6" max="6" width="18.28515625" style="181" bestFit="1" customWidth="1"/>
    <col min="7" max="7" width="9.5703125" style="54" bestFit="1" customWidth="1"/>
    <col min="8" max="8" width="12.7109375" style="54" bestFit="1" customWidth="1"/>
    <col min="9" max="10" width="13.7109375" style="54" bestFit="1" customWidth="1"/>
    <col min="11" max="11" width="10.42578125" style="54" bestFit="1" customWidth="1"/>
    <col min="12" max="12" width="23" style="54" bestFit="1" customWidth="1"/>
    <col min="13" max="13" width="10.7109375" style="54" customWidth="1"/>
    <col min="14" max="14" width="8.7109375" style="1" customWidth="1"/>
    <col min="15" max="16" width="7.7109375" style="1" customWidth="1"/>
    <col min="17" max="16384" width="9.140625" style="1"/>
  </cols>
  <sheetData>
    <row r="1" spans="1:15" x14ac:dyDescent="0.2">
      <c r="L1" s="213" t="s">
        <v>91</v>
      </c>
      <c r="M1" s="213"/>
    </row>
    <row r="2" spans="1:15" x14ac:dyDescent="0.2">
      <c r="M2" s="55"/>
    </row>
    <row r="3" spans="1:15" x14ac:dyDescent="0.2">
      <c r="M3" s="55"/>
    </row>
    <row r="4" spans="1:15" x14ac:dyDescent="0.2">
      <c r="A4" s="221" t="s">
        <v>86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5" hidden="1" x14ac:dyDescent="0.2">
      <c r="A5" s="3"/>
      <c r="B5" s="4"/>
      <c r="C5" s="182"/>
      <c r="D5" s="182"/>
      <c r="E5" s="182"/>
      <c r="F5" s="182"/>
      <c r="G5" s="56"/>
      <c r="H5" s="56"/>
      <c r="I5" s="56"/>
      <c r="J5" s="56"/>
      <c r="K5" s="56"/>
      <c r="L5" s="56"/>
      <c r="M5" s="56"/>
      <c r="N5" s="4"/>
      <c r="O5" s="5"/>
    </row>
    <row r="6" spans="1:15" x14ac:dyDescent="0.2">
      <c r="A6" s="221" t="s">
        <v>92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4"/>
      <c r="O6" s="5"/>
    </row>
    <row r="7" spans="1:15" x14ac:dyDescent="0.2">
      <c r="A7" s="3"/>
      <c r="B7" s="4"/>
      <c r="C7" s="182"/>
      <c r="D7" s="182"/>
      <c r="E7" s="182"/>
      <c r="F7" s="182"/>
      <c r="G7" s="56"/>
      <c r="H7" s="56"/>
      <c r="I7" s="56"/>
      <c r="J7" s="56"/>
      <c r="K7" s="56"/>
      <c r="L7" s="56"/>
      <c r="M7" s="57"/>
      <c r="N7" s="4"/>
      <c r="O7" s="5"/>
    </row>
    <row r="8" spans="1:15" ht="13.5" thickBot="1" x14ac:dyDescent="0.25">
      <c r="A8" s="3"/>
      <c r="B8" s="4"/>
      <c r="C8" s="182"/>
      <c r="D8" s="182"/>
      <c r="E8" s="183"/>
      <c r="F8" s="182"/>
      <c r="G8" s="56"/>
      <c r="H8" s="56"/>
      <c r="I8" s="56"/>
      <c r="J8" s="56"/>
      <c r="K8" s="56"/>
      <c r="L8" s="56"/>
      <c r="M8" s="58" t="s">
        <v>0</v>
      </c>
      <c r="N8" s="4"/>
      <c r="O8" s="5"/>
    </row>
    <row r="9" spans="1:15" ht="13.5" thickBot="1" x14ac:dyDescent="0.25">
      <c r="A9" s="6"/>
      <c r="B9" s="7"/>
      <c r="C9" s="184"/>
      <c r="D9" s="215" t="s">
        <v>1</v>
      </c>
      <c r="E9" s="215"/>
      <c r="F9" s="215"/>
      <c r="G9" s="215"/>
      <c r="H9" s="215"/>
      <c r="I9" s="215"/>
      <c r="J9" s="215"/>
      <c r="K9" s="217"/>
      <c r="L9" s="60" t="s">
        <v>2</v>
      </c>
      <c r="M9" s="61"/>
    </row>
    <row r="10" spans="1:15" ht="13.5" thickBot="1" x14ac:dyDescent="0.25">
      <c r="A10" s="8"/>
      <c r="B10" s="9"/>
      <c r="C10" s="185"/>
      <c r="D10" s="222" t="s">
        <v>62</v>
      </c>
      <c r="E10" s="222"/>
      <c r="F10" s="222"/>
      <c r="G10" s="222"/>
      <c r="H10" s="222"/>
      <c r="I10" s="223" t="s">
        <v>63</v>
      </c>
      <c r="J10" s="222"/>
      <c r="K10" s="224"/>
      <c r="L10" s="62"/>
      <c r="M10" s="63"/>
    </row>
    <row r="11" spans="1:15" ht="12.75" customHeight="1" x14ac:dyDescent="0.2">
      <c r="A11" s="39"/>
      <c r="B11" s="13"/>
      <c r="C11" s="186" t="s">
        <v>3</v>
      </c>
      <c r="D11" s="187"/>
      <c r="E11" s="188" t="s">
        <v>4</v>
      </c>
      <c r="F11" s="188"/>
      <c r="G11" s="66"/>
      <c r="H11" s="66"/>
      <c r="I11" s="67"/>
      <c r="J11" s="68"/>
      <c r="K11" s="69"/>
      <c r="L11" s="70"/>
      <c r="M11" s="71"/>
    </row>
    <row r="12" spans="1:15" x14ac:dyDescent="0.2">
      <c r="A12" s="39"/>
      <c r="B12" s="10" t="s">
        <v>60</v>
      </c>
      <c r="C12" s="186" t="s">
        <v>5</v>
      </c>
      <c r="D12" s="189" t="s">
        <v>6</v>
      </c>
      <c r="E12" s="188" t="s">
        <v>7</v>
      </c>
      <c r="F12" s="188" t="s">
        <v>8</v>
      </c>
      <c r="G12" s="66" t="s">
        <v>9</v>
      </c>
      <c r="H12" s="66" t="s">
        <v>47</v>
      </c>
      <c r="I12" s="70" t="s">
        <v>11</v>
      </c>
      <c r="J12" s="73" t="s">
        <v>12</v>
      </c>
      <c r="K12" s="74" t="s">
        <v>47</v>
      </c>
      <c r="L12" s="70" t="s">
        <v>10</v>
      </c>
      <c r="M12" s="71" t="s">
        <v>13</v>
      </c>
    </row>
    <row r="13" spans="1:15" x14ac:dyDescent="0.2">
      <c r="A13" s="11"/>
      <c r="B13" s="10" t="s">
        <v>20</v>
      </c>
      <c r="C13" s="186" t="s">
        <v>14</v>
      </c>
      <c r="D13" s="189" t="s">
        <v>15</v>
      </c>
      <c r="E13" s="188" t="s">
        <v>53</v>
      </c>
      <c r="F13" s="188" t="s">
        <v>5</v>
      </c>
      <c r="G13" s="66" t="s">
        <v>16</v>
      </c>
      <c r="H13" s="66" t="s">
        <v>51</v>
      </c>
      <c r="I13" s="70"/>
      <c r="J13" s="73"/>
      <c r="K13" s="74" t="s">
        <v>18</v>
      </c>
      <c r="L13" s="70" t="s">
        <v>17</v>
      </c>
      <c r="M13" s="71" t="s">
        <v>17</v>
      </c>
    </row>
    <row r="14" spans="1:15" x14ac:dyDescent="0.2">
      <c r="A14" s="12" t="s">
        <v>19</v>
      </c>
      <c r="B14" s="10"/>
      <c r="C14" s="190"/>
      <c r="D14" s="187"/>
      <c r="E14" s="191" t="s">
        <v>21</v>
      </c>
      <c r="F14" s="188"/>
      <c r="G14" s="66" t="s">
        <v>22</v>
      </c>
      <c r="H14" s="66" t="s">
        <v>17</v>
      </c>
      <c r="I14" s="75"/>
      <c r="J14" s="76"/>
      <c r="K14" s="74" t="s">
        <v>17</v>
      </c>
      <c r="L14" s="70"/>
      <c r="M14" s="71"/>
    </row>
    <row r="15" spans="1:15" x14ac:dyDescent="0.2">
      <c r="A15" s="40"/>
      <c r="B15" s="10"/>
      <c r="C15" s="190"/>
      <c r="D15" s="187"/>
      <c r="E15" s="191" t="s">
        <v>24</v>
      </c>
      <c r="F15" s="188"/>
      <c r="G15" s="66"/>
      <c r="H15" s="66" t="s">
        <v>5</v>
      </c>
      <c r="I15" s="77"/>
      <c r="J15" s="78"/>
      <c r="K15" s="74" t="s">
        <v>5</v>
      </c>
      <c r="L15" s="70"/>
      <c r="M15" s="71"/>
    </row>
    <row r="16" spans="1:15" x14ac:dyDescent="0.2">
      <c r="A16" s="11"/>
      <c r="B16" s="29"/>
      <c r="C16" s="192"/>
      <c r="D16" s="187"/>
      <c r="E16" s="191" t="s">
        <v>25</v>
      </c>
      <c r="F16" s="188"/>
      <c r="G16" s="65"/>
      <c r="H16" s="80"/>
      <c r="I16" s="81"/>
      <c r="J16" s="82"/>
      <c r="K16" s="83"/>
      <c r="L16" s="75"/>
      <c r="M16" s="84"/>
    </row>
    <row r="17" spans="1:20" x14ac:dyDescent="0.2">
      <c r="A17" s="17">
        <v>1</v>
      </c>
      <c r="B17" s="16">
        <v>2</v>
      </c>
      <c r="C17" s="106">
        <v>3</v>
      </c>
      <c r="D17" s="107">
        <v>4</v>
      </c>
      <c r="E17" s="108">
        <v>5</v>
      </c>
      <c r="F17" s="108">
        <v>6</v>
      </c>
      <c r="G17" s="108">
        <v>7</v>
      </c>
      <c r="H17" s="109">
        <v>8</v>
      </c>
      <c r="I17" s="110">
        <v>9</v>
      </c>
      <c r="J17" s="111">
        <v>10</v>
      </c>
      <c r="K17" s="112">
        <v>11</v>
      </c>
      <c r="L17" s="113">
        <v>12</v>
      </c>
      <c r="M17" s="114">
        <v>13</v>
      </c>
    </row>
    <row r="18" spans="1:20" x14ac:dyDescent="0.2">
      <c r="A18" s="24"/>
      <c r="B18" s="10"/>
      <c r="C18" s="197"/>
      <c r="D18" s="127"/>
      <c r="E18" s="127"/>
      <c r="F18" s="127"/>
      <c r="G18" s="65"/>
      <c r="H18" s="65"/>
      <c r="I18" s="75"/>
      <c r="J18" s="65"/>
      <c r="K18" s="86"/>
      <c r="L18" s="75"/>
      <c r="M18" s="86"/>
      <c r="R18" s="19"/>
      <c r="S18" s="19"/>
      <c r="T18" s="19"/>
    </row>
    <row r="19" spans="1:20" x14ac:dyDescent="0.2">
      <c r="A19" s="24" t="s">
        <v>64</v>
      </c>
      <c r="B19" s="30" t="s">
        <v>27</v>
      </c>
      <c r="C19" s="198">
        <f>SUM(D19:M19)</f>
        <v>1216.1309999999999</v>
      </c>
      <c r="D19" s="116">
        <f>81+936.683</f>
        <v>1017.683</v>
      </c>
      <c r="E19" s="116">
        <f>15.795+182.653</f>
        <v>198.44799999999998</v>
      </c>
      <c r="F19" s="116"/>
      <c r="G19" s="116"/>
      <c r="H19" s="116"/>
      <c r="I19" s="117"/>
      <c r="J19" s="116"/>
      <c r="K19" s="118"/>
      <c r="L19" s="119"/>
      <c r="M19" s="118"/>
      <c r="O19" s="19"/>
      <c r="R19" s="19"/>
      <c r="S19" s="19"/>
      <c r="T19" s="19"/>
    </row>
    <row r="20" spans="1:20" x14ac:dyDescent="0.2">
      <c r="A20" s="8"/>
      <c r="B20" s="31"/>
      <c r="C20" s="198"/>
      <c r="D20" s="116"/>
      <c r="E20" s="116"/>
      <c r="F20" s="116"/>
      <c r="G20" s="116"/>
      <c r="H20" s="116"/>
      <c r="I20" s="117"/>
      <c r="J20" s="116"/>
      <c r="K20" s="118"/>
      <c r="L20" s="119"/>
      <c r="M20" s="118"/>
      <c r="O20" s="19"/>
      <c r="R20" s="19"/>
      <c r="S20" s="19"/>
      <c r="T20" s="19"/>
    </row>
    <row r="21" spans="1:20" x14ac:dyDescent="0.2">
      <c r="A21" s="41" t="s">
        <v>26</v>
      </c>
      <c r="B21" s="43" t="s">
        <v>80</v>
      </c>
      <c r="C21" s="199">
        <f t="shared" ref="C21:M21" si="0">SUM(C19:C20)</f>
        <v>1216.1309999999999</v>
      </c>
      <c r="D21" s="200">
        <f t="shared" si="0"/>
        <v>1017.683</v>
      </c>
      <c r="E21" s="120">
        <f t="shared" si="0"/>
        <v>198.44799999999998</v>
      </c>
      <c r="F21" s="120">
        <f t="shared" si="0"/>
        <v>0</v>
      </c>
      <c r="G21" s="120">
        <f t="shared" si="0"/>
        <v>0</v>
      </c>
      <c r="H21" s="121">
        <f t="shared" si="0"/>
        <v>0</v>
      </c>
      <c r="I21" s="122">
        <f t="shared" si="0"/>
        <v>0</v>
      </c>
      <c r="J21" s="120">
        <f t="shared" si="0"/>
        <v>0</v>
      </c>
      <c r="K21" s="123">
        <f t="shared" si="0"/>
        <v>0</v>
      </c>
      <c r="L21" s="124">
        <f t="shared" si="0"/>
        <v>0</v>
      </c>
      <c r="M21" s="125">
        <f t="shared" si="0"/>
        <v>0</v>
      </c>
      <c r="O21" s="19"/>
      <c r="R21" s="19"/>
      <c r="S21" s="19"/>
      <c r="T21" s="19"/>
    </row>
    <row r="22" spans="1:20" x14ac:dyDescent="0.2">
      <c r="A22" s="8"/>
      <c r="B22" s="44"/>
      <c r="C22" s="201"/>
      <c r="D22" s="116"/>
      <c r="E22" s="116"/>
      <c r="F22" s="116"/>
      <c r="G22" s="116"/>
      <c r="H22" s="116"/>
      <c r="I22" s="117"/>
      <c r="J22" s="116"/>
      <c r="K22" s="118"/>
      <c r="L22" s="119"/>
      <c r="M22" s="118"/>
      <c r="O22" s="19"/>
      <c r="R22" s="19"/>
      <c r="S22" s="19"/>
      <c r="T22" s="19"/>
    </row>
    <row r="23" spans="1:20" x14ac:dyDescent="0.2">
      <c r="A23" s="24" t="s">
        <v>64</v>
      </c>
      <c r="B23" s="30" t="s">
        <v>28</v>
      </c>
      <c r="C23" s="198">
        <f t="shared" ref="C23:C34" si="1">SUM(D23:M23)</f>
        <v>224.35400000000001</v>
      </c>
      <c r="D23" s="116">
        <v>-131.44800000000001</v>
      </c>
      <c r="E23" s="116">
        <v>-25.632000000000001</v>
      </c>
      <c r="F23" s="116">
        <f>157.08+224.354</f>
        <v>381.43400000000003</v>
      </c>
      <c r="G23" s="116"/>
      <c r="H23" s="116"/>
      <c r="I23" s="117"/>
      <c r="J23" s="116"/>
      <c r="K23" s="118"/>
      <c r="L23" s="119"/>
      <c r="M23" s="118"/>
      <c r="O23" s="19"/>
      <c r="R23" s="19"/>
      <c r="S23" s="19"/>
      <c r="T23" s="19"/>
    </row>
    <row r="24" spans="1:20" x14ac:dyDescent="0.2">
      <c r="A24" s="24" t="s">
        <v>65</v>
      </c>
      <c r="B24" s="30" t="s">
        <v>30</v>
      </c>
      <c r="C24" s="126">
        <f>SUM(D24:M24)</f>
        <v>13.026</v>
      </c>
      <c r="D24" s="127">
        <v>10.9</v>
      </c>
      <c r="E24" s="127">
        <v>2.1259999999999999</v>
      </c>
      <c r="F24" s="127"/>
      <c r="G24" s="127"/>
      <c r="H24" s="127"/>
      <c r="I24" s="119"/>
      <c r="J24" s="127"/>
      <c r="K24" s="118"/>
      <c r="L24" s="119"/>
      <c r="M24" s="118"/>
      <c r="O24" s="19"/>
      <c r="R24" s="19"/>
      <c r="S24" s="19"/>
      <c r="T24" s="19"/>
    </row>
    <row r="25" spans="1:20" x14ac:dyDescent="0.2">
      <c r="A25" s="24" t="s">
        <v>66</v>
      </c>
      <c r="B25" s="30" t="s">
        <v>32</v>
      </c>
      <c r="C25" s="126">
        <f t="shared" si="1"/>
        <v>999.42499999999995</v>
      </c>
      <c r="D25" s="127">
        <f>-100.519+2.3</f>
        <v>-98.219000000000008</v>
      </c>
      <c r="E25" s="127">
        <f>-19.601+0.448</f>
        <v>-19.152999999999999</v>
      </c>
      <c r="F25" s="127">
        <f>120.12+996.677</f>
        <v>1116.797</v>
      </c>
      <c r="G25" s="127"/>
      <c r="H25" s="127"/>
      <c r="I25" s="119"/>
      <c r="J25" s="127"/>
      <c r="K25" s="118"/>
      <c r="L25" s="119"/>
      <c r="M25" s="118"/>
      <c r="O25" s="19"/>
      <c r="R25" s="19"/>
      <c r="S25" s="19"/>
      <c r="T25" s="19"/>
    </row>
    <row r="26" spans="1:20" x14ac:dyDescent="0.2">
      <c r="A26" s="24" t="s">
        <v>67</v>
      </c>
      <c r="B26" s="30" t="s">
        <v>34</v>
      </c>
      <c r="C26" s="126">
        <f>SUM(D26:M26)</f>
        <v>0</v>
      </c>
      <c r="D26" s="127">
        <v>-873.40300000000002</v>
      </c>
      <c r="E26" s="127">
        <v>-170.31399999999999</v>
      </c>
      <c r="F26" s="127">
        <v>1043.7170000000001</v>
      </c>
      <c r="G26" s="127"/>
      <c r="H26" s="127"/>
      <c r="I26" s="119"/>
      <c r="J26" s="127"/>
      <c r="K26" s="118"/>
      <c r="L26" s="119"/>
      <c r="M26" s="118"/>
      <c r="O26" s="19"/>
      <c r="R26" s="19"/>
      <c r="S26" s="19"/>
      <c r="T26" s="19"/>
    </row>
    <row r="27" spans="1:20" x14ac:dyDescent="0.2">
      <c r="A27" s="24" t="s">
        <v>68</v>
      </c>
      <c r="B27" s="30" t="s">
        <v>35</v>
      </c>
      <c r="C27" s="126">
        <f>SUM(D27:M27)</f>
        <v>-777.63000000000011</v>
      </c>
      <c r="D27" s="127">
        <f>-763.707+8.1-2703.96</f>
        <v>-3459.567</v>
      </c>
      <c r="E27" s="127">
        <f>-148.923+1.579-527.272</f>
        <v>-674.61599999999999</v>
      </c>
      <c r="F27" s="127">
        <f>912.63+2443.923</f>
        <v>3356.5529999999999</v>
      </c>
      <c r="G27" s="127"/>
      <c r="H27" s="127"/>
      <c r="I27" s="119"/>
      <c r="J27" s="127"/>
      <c r="K27" s="118"/>
      <c r="L27" s="119"/>
      <c r="M27" s="118"/>
      <c r="O27" s="19"/>
      <c r="R27" s="19"/>
      <c r="S27" s="19"/>
      <c r="T27" s="19"/>
    </row>
    <row r="28" spans="1:20" x14ac:dyDescent="0.2">
      <c r="A28" s="24" t="s">
        <v>69</v>
      </c>
      <c r="B28" s="30" t="s">
        <v>36</v>
      </c>
      <c r="C28" s="126">
        <f>SUM(D28:M28)</f>
        <v>0</v>
      </c>
      <c r="D28" s="127">
        <f>-295.9-476.425</f>
        <v>-772.32500000000005</v>
      </c>
      <c r="E28" s="127">
        <f>-57.7-92.903</f>
        <v>-150.60300000000001</v>
      </c>
      <c r="F28" s="127">
        <f>353.6+569.328</f>
        <v>922.928</v>
      </c>
      <c r="G28" s="127"/>
      <c r="H28" s="127"/>
      <c r="I28" s="119"/>
      <c r="J28" s="127"/>
      <c r="K28" s="118"/>
      <c r="L28" s="119"/>
      <c r="M28" s="118"/>
      <c r="O28" s="19"/>
      <c r="R28" s="51"/>
      <c r="S28" s="19"/>
      <c r="T28" s="19"/>
    </row>
    <row r="29" spans="1:20" x14ac:dyDescent="0.2">
      <c r="A29" s="24" t="s">
        <v>70</v>
      </c>
      <c r="B29" s="30" t="s">
        <v>37</v>
      </c>
      <c r="C29" s="126">
        <f t="shared" si="1"/>
        <v>1703.8389999999999</v>
      </c>
      <c r="D29" s="127">
        <v>6.6</v>
      </c>
      <c r="E29" s="127">
        <v>1.2869999999999999</v>
      </c>
      <c r="F29" s="127">
        <v>1695.952</v>
      </c>
      <c r="G29" s="127"/>
      <c r="H29" s="127"/>
      <c r="I29" s="119"/>
      <c r="J29" s="127"/>
      <c r="K29" s="118"/>
      <c r="L29" s="119"/>
      <c r="M29" s="118"/>
      <c r="O29" s="19"/>
      <c r="R29" s="19"/>
      <c r="S29" s="19"/>
      <c r="T29" s="19"/>
    </row>
    <row r="30" spans="1:20" x14ac:dyDescent="0.2">
      <c r="A30" s="24" t="s">
        <v>71</v>
      </c>
      <c r="B30" s="115" t="s">
        <v>38</v>
      </c>
      <c r="C30" s="198">
        <f>SUM(D30:M30)</f>
        <v>2008.73</v>
      </c>
      <c r="D30" s="116">
        <f>-518.222-103.672-1464.606+14</f>
        <v>-2072.5</v>
      </c>
      <c r="E30" s="116">
        <f>-101.053-20.216-285.598+2.73</f>
        <v>-404.137</v>
      </c>
      <c r="F30" s="116">
        <f>619.275+123.888+1750.204+792+1200</f>
        <v>4485.3670000000002</v>
      </c>
      <c r="G30" s="127"/>
      <c r="H30" s="127"/>
      <c r="I30" s="119"/>
      <c r="J30" s="127"/>
      <c r="K30" s="118"/>
      <c r="L30" s="119"/>
      <c r="M30" s="118"/>
      <c r="O30" s="19"/>
      <c r="R30" s="19"/>
      <c r="S30" s="19"/>
      <c r="T30" s="19"/>
    </row>
    <row r="31" spans="1:20" x14ac:dyDescent="0.2">
      <c r="A31" s="24" t="s">
        <v>74</v>
      </c>
      <c r="B31" s="30" t="s">
        <v>39</v>
      </c>
      <c r="C31" s="126">
        <f t="shared" si="1"/>
        <v>882.7600000000001</v>
      </c>
      <c r="D31" s="127">
        <v>-574.56399999999996</v>
      </c>
      <c r="E31" s="127">
        <v>-112.04</v>
      </c>
      <c r="F31" s="127">
        <f>686.604+882.76-98</f>
        <v>1471.364</v>
      </c>
      <c r="G31" s="127"/>
      <c r="H31" s="127"/>
      <c r="I31" s="119">
        <f>98</f>
        <v>98</v>
      </c>
      <c r="J31" s="127"/>
      <c r="K31" s="118"/>
      <c r="L31" s="119"/>
      <c r="M31" s="118"/>
      <c r="O31" s="19"/>
      <c r="R31" s="19"/>
      <c r="S31" s="19"/>
      <c r="T31" s="19"/>
    </row>
    <row r="32" spans="1:20" x14ac:dyDescent="0.2">
      <c r="A32" s="24" t="s">
        <v>72</v>
      </c>
      <c r="B32" s="30" t="s">
        <v>40</v>
      </c>
      <c r="C32" s="126">
        <f t="shared" si="1"/>
        <v>1.4340000000000828</v>
      </c>
      <c r="D32" s="127">
        <f>-763.707+1.2</f>
        <v>-762.50699999999995</v>
      </c>
      <c r="E32" s="127">
        <f>-148.923+0.234</f>
        <v>-148.68899999999999</v>
      </c>
      <c r="F32" s="127">
        <f>912.63+98</f>
        <v>1010.63</v>
      </c>
      <c r="G32" s="127"/>
      <c r="H32" s="127"/>
      <c r="I32" s="119">
        <f>-98</f>
        <v>-98</v>
      </c>
      <c r="J32" s="127"/>
      <c r="K32" s="118"/>
      <c r="L32" s="119"/>
      <c r="M32" s="118"/>
      <c r="O32" s="19"/>
      <c r="R32" s="19"/>
      <c r="S32" s="19"/>
      <c r="T32" s="19"/>
    </row>
    <row r="33" spans="1:20" x14ac:dyDescent="0.2">
      <c r="A33" s="24" t="s">
        <v>73</v>
      </c>
      <c r="B33" s="30" t="s">
        <v>85</v>
      </c>
      <c r="C33" s="126">
        <f t="shared" si="1"/>
        <v>0</v>
      </c>
      <c r="D33" s="127">
        <f>-112.594-573.108</f>
        <v>-685.702</v>
      </c>
      <c r="E33" s="127">
        <f>-21.956-111.756</f>
        <v>-133.71199999999999</v>
      </c>
      <c r="F33" s="127">
        <f>134.55+684.864</f>
        <v>819.41399999999999</v>
      </c>
      <c r="G33" s="127"/>
      <c r="H33" s="127"/>
      <c r="I33" s="119"/>
      <c r="J33" s="127"/>
      <c r="K33" s="118"/>
      <c r="L33" s="119"/>
      <c r="M33" s="118"/>
      <c r="O33" s="19"/>
      <c r="R33" s="51"/>
      <c r="S33" s="19"/>
      <c r="T33" s="19"/>
    </row>
    <row r="34" spans="1:20" x14ac:dyDescent="0.2">
      <c r="A34" s="24" t="s">
        <v>87</v>
      </c>
      <c r="B34" s="30" t="s">
        <v>88</v>
      </c>
      <c r="C34" s="126">
        <f t="shared" si="1"/>
        <v>-3335.9620000000004</v>
      </c>
      <c r="D34" s="127">
        <f>-807.244-2791.6</f>
        <v>-3598.8440000000001</v>
      </c>
      <c r="E34" s="127">
        <f>-157.412-544.362</f>
        <v>-701.774</v>
      </c>
      <c r="F34" s="127">
        <v>964.65599999999995</v>
      </c>
      <c r="G34" s="127"/>
      <c r="H34" s="127"/>
      <c r="I34" s="119"/>
      <c r="J34" s="127"/>
      <c r="K34" s="118"/>
      <c r="L34" s="119"/>
      <c r="M34" s="118"/>
      <c r="O34" s="19"/>
      <c r="R34" s="19"/>
      <c r="S34" s="19"/>
      <c r="T34" s="19"/>
    </row>
    <row r="35" spans="1:20" x14ac:dyDescent="0.2">
      <c r="A35" s="24"/>
      <c r="B35" s="45"/>
      <c r="C35" s="126"/>
      <c r="D35" s="127"/>
      <c r="E35" s="127"/>
      <c r="F35" s="127"/>
      <c r="G35" s="127"/>
      <c r="H35" s="127"/>
      <c r="I35" s="119"/>
      <c r="J35" s="127"/>
      <c r="K35" s="118"/>
      <c r="L35" s="119"/>
      <c r="M35" s="118"/>
      <c r="O35" s="19"/>
      <c r="R35" s="19"/>
      <c r="S35" s="19"/>
      <c r="T35" s="19"/>
    </row>
    <row r="36" spans="1:20" x14ac:dyDescent="0.2">
      <c r="A36" s="41" t="s">
        <v>29</v>
      </c>
      <c r="B36" s="43" t="s">
        <v>81</v>
      </c>
      <c r="C36" s="128">
        <f t="shared" ref="C36:M36" si="2">SUM(C23:C35)</f>
        <v>1719.9760000000006</v>
      </c>
      <c r="D36" s="129">
        <f t="shared" si="2"/>
        <v>-13011.578999999998</v>
      </c>
      <c r="E36" s="130">
        <f>SUM(E23:E35)</f>
        <v>-2537.2570000000001</v>
      </c>
      <c r="F36" s="130">
        <f t="shared" si="2"/>
        <v>17268.811999999998</v>
      </c>
      <c r="G36" s="129">
        <f t="shared" si="2"/>
        <v>0</v>
      </c>
      <c r="H36" s="131">
        <f t="shared" si="2"/>
        <v>0</v>
      </c>
      <c r="I36" s="132">
        <f t="shared" si="2"/>
        <v>0</v>
      </c>
      <c r="J36" s="130">
        <f t="shared" si="2"/>
        <v>0</v>
      </c>
      <c r="K36" s="133">
        <f t="shared" si="2"/>
        <v>0</v>
      </c>
      <c r="L36" s="132">
        <f t="shared" si="2"/>
        <v>0</v>
      </c>
      <c r="M36" s="134">
        <f t="shared" si="2"/>
        <v>0</v>
      </c>
      <c r="N36" s="25"/>
      <c r="O36" s="19"/>
      <c r="R36" s="19"/>
      <c r="S36" s="19"/>
      <c r="T36" s="19"/>
    </row>
    <row r="37" spans="1:20" x14ac:dyDescent="0.2">
      <c r="A37" s="8"/>
      <c r="B37" s="9"/>
      <c r="C37" s="126"/>
      <c r="D37" s="127"/>
      <c r="E37" s="127"/>
      <c r="F37" s="127"/>
      <c r="G37" s="127"/>
      <c r="H37" s="127"/>
      <c r="I37" s="119"/>
      <c r="J37" s="127"/>
      <c r="K37" s="118"/>
      <c r="L37" s="119"/>
      <c r="M37" s="118"/>
      <c r="O37" s="19"/>
      <c r="R37" s="19"/>
      <c r="S37" s="19"/>
      <c r="T37" s="19"/>
    </row>
    <row r="38" spans="1:20" x14ac:dyDescent="0.2">
      <c r="A38" s="24" t="s">
        <v>64</v>
      </c>
      <c r="B38" s="30" t="s">
        <v>41</v>
      </c>
      <c r="C38" s="126">
        <f>SUM(D38:M38)</f>
        <v>808.42599999999993</v>
      </c>
      <c r="D38" s="202">
        <f>50.4+626.107</f>
        <v>676.50699999999995</v>
      </c>
      <c r="E38" s="203">
        <f>9.828+122.091</f>
        <v>131.91899999999998</v>
      </c>
      <c r="F38" s="127"/>
      <c r="G38" s="127"/>
      <c r="H38" s="127"/>
      <c r="I38" s="119"/>
      <c r="J38" s="127"/>
      <c r="K38" s="118"/>
      <c r="L38" s="119"/>
      <c r="M38" s="118"/>
      <c r="O38" s="19"/>
      <c r="R38" s="19"/>
      <c r="S38" s="19"/>
      <c r="T38" s="19"/>
    </row>
    <row r="39" spans="1:20" x14ac:dyDescent="0.2">
      <c r="A39" s="24" t="s">
        <v>65</v>
      </c>
      <c r="B39" s="30" t="s">
        <v>42</v>
      </c>
      <c r="C39" s="126">
        <f>SUM(D39:M39)</f>
        <v>1074.8910000000001</v>
      </c>
      <c r="D39" s="202">
        <f>-144.536-102.025+64.199+835.291</f>
        <v>652.92900000000009</v>
      </c>
      <c r="E39" s="203">
        <f>-28.184-19.895+12.519+162.882</f>
        <v>127.322</v>
      </c>
      <c r="F39" s="127">
        <f>172.72+121.92</f>
        <v>294.64</v>
      </c>
      <c r="G39" s="127"/>
      <c r="H39" s="127"/>
      <c r="I39" s="119"/>
      <c r="J39" s="127"/>
      <c r="K39" s="118"/>
      <c r="L39" s="119"/>
      <c r="M39" s="118"/>
      <c r="O39" s="19"/>
      <c r="R39" s="19"/>
      <c r="S39" s="51"/>
      <c r="T39" s="19"/>
    </row>
    <row r="40" spans="1:20" x14ac:dyDescent="0.2">
      <c r="A40" s="24" t="s">
        <v>66</v>
      </c>
      <c r="B40" s="30" t="s">
        <v>43</v>
      </c>
      <c r="C40" s="126">
        <f>SUM(D40:M40)</f>
        <v>1687.153</v>
      </c>
      <c r="D40" s="202">
        <f>60.5+886.803</f>
        <v>947.303</v>
      </c>
      <c r="E40" s="203">
        <f>11.798+172.927</f>
        <v>184.72499999999999</v>
      </c>
      <c r="F40" s="127">
        <v>555.125</v>
      </c>
      <c r="G40" s="127"/>
      <c r="H40" s="127"/>
      <c r="I40" s="119"/>
      <c r="J40" s="127"/>
      <c r="K40" s="118"/>
      <c r="L40" s="119"/>
      <c r="M40" s="118"/>
      <c r="O40" s="19"/>
      <c r="R40" s="19"/>
      <c r="S40" s="19"/>
      <c r="T40" s="19"/>
    </row>
    <row r="41" spans="1:20" x14ac:dyDescent="0.2">
      <c r="A41" s="24" t="s">
        <v>67</v>
      </c>
      <c r="B41" s="30" t="s">
        <v>44</v>
      </c>
      <c r="C41" s="126">
        <f>SUM(D41:M41)</f>
        <v>717.13499999999999</v>
      </c>
      <c r="D41" s="127">
        <f>55.8+544.313</f>
        <v>600.11299999999994</v>
      </c>
      <c r="E41" s="127">
        <f>10.881+106.141</f>
        <v>117.02200000000001</v>
      </c>
      <c r="F41" s="127">
        <v>-2091.7800000000002</v>
      </c>
      <c r="G41" s="127"/>
      <c r="H41" s="127"/>
      <c r="I41" s="119">
        <v>2091.7800000000002</v>
      </c>
      <c r="J41" s="127"/>
      <c r="K41" s="118"/>
      <c r="L41" s="119"/>
      <c r="M41" s="118"/>
      <c r="O41" s="19"/>
      <c r="R41" s="51"/>
      <c r="S41" s="19"/>
      <c r="T41" s="19"/>
    </row>
    <row r="42" spans="1:20" x14ac:dyDescent="0.2">
      <c r="A42" s="24" t="s">
        <v>68</v>
      </c>
      <c r="B42" s="30" t="s">
        <v>90</v>
      </c>
      <c r="C42" s="198">
        <f>SUM(D42:M42)</f>
        <v>14076.273000000001</v>
      </c>
      <c r="D42" s="127">
        <f>4800+249.403+2496.433</f>
        <v>7545.8360000000002</v>
      </c>
      <c r="E42" s="127">
        <f>1470+48.633+486.804</f>
        <v>2005.4369999999999</v>
      </c>
      <c r="F42" s="127"/>
      <c r="G42" s="127"/>
      <c r="H42" s="127"/>
      <c r="I42" s="119">
        <v>4525</v>
      </c>
      <c r="J42" s="127"/>
      <c r="K42" s="118"/>
      <c r="L42" s="119"/>
      <c r="M42" s="118"/>
      <c r="O42" s="19"/>
      <c r="R42" s="19"/>
      <c r="S42" s="19"/>
      <c r="T42" s="19"/>
    </row>
    <row r="43" spans="1:20" x14ac:dyDescent="0.2">
      <c r="A43" s="24"/>
      <c r="B43" s="9"/>
      <c r="C43" s="126"/>
      <c r="D43" s="127"/>
      <c r="E43" s="127"/>
      <c r="F43" s="127"/>
      <c r="G43" s="127"/>
      <c r="H43" s="127"/>
      <c r="I43" s="119"/>
      <c r="J43" s="127"/>
      <c r="K43" s="118"/>
      <c r="L43" s="119"/>
      <c r="M43" s="118"/>
      <c r="O43" s="19"/>
      <c r="R43" s="19"/>
      <c r="S43" s="19"/>
      <c r="T43" s="19"/>
    </row>
    <row r="44" spans="1:20" x14ac:dyDescent="0.2">
      <c r="A44" s="41" t="s">
        <v>31</v>
      </c>
      <c r="B44" s="26" t="s">
        <v>82</v>
      </c>
      <c r="C44" s="128">
        <f>SUM(C38:C43)</f>
        <v>18363.878000000001</v>
      </c>
      <c r="D44" s="129">
        <f t="shared" ref="D44:M44" si="3">SUM(D38:D43)</f>
        <v>10422.688</v>
      </c>
      <c r="E44" s="130">
        <f t="shared" si="3"/>
        <v>2566.4250000000002</v>
      </c>
      <c r="F44" s="129">
        <f t="shared" si="3"/>
        <v>-1242.0150000000003</v>
      </c>
      <c r="G44" s="130">
        <f t="shared" si="3"/>
        <v>0</v>
      </c>
      <c r="H44" s="131">
        <f t="shared" si="3"/>
        <v>0</v>
      </c>
      <c r="I44" s="132">
        <f t="shared" si="3"/>
        <v>6616.7800000000007</v>
      </c>
      <c r="J44" s="130">
        <f t="shared" si="3"/>
        <v>0</v>
      </c>
      <c r="K44" s="134">
        <f t="shared" si="3"/>
        <v>0</v>
      </c>
      <c r="L44" s="132">
        <f t="shared" si="3"/>
        <v>0</v>
      </c>
      <c r="M44" s="134">
        <f t="shared" si="3"/>
        <v>0</v>
      </c>
      <c r="O44" s="19"/>
      <c r="R44" s="19"/>
      <c r="S44" s="19"/>
      <c r="T44" s="19"/>
    </row>
    <row r="45" spans="1:20" x14ac:dyDescent="0.2">
      <c r="A45" s="28"/>
      <c r="B45" s="27"/>
      <c r="C45" s="135"/>
      <c r="D45" s="136"/>
      <c r="E45" s="136"/>
      <c r="F45" s="136"/>
      <c r="G45" s="136"/>
      <c r="H45" s="136"/>
      <c r="I45" s="137"/>
      <c r="J45" s="136"/>
      <c r="K45" s="138"/>
      <c r="L45" s="137"/>
      <c r="M45" s="138"/>
      <c r="O45" s="19"/>
      <c r="R45" s="19"/>
      <c r="S45" s="19"/>
      <c r="T45" s="19"/>
    </row>
    <row r="46" spans="1:20" x14ac:dyDescent="0.2">
      <c r="A46" s="17" t="s">
        <v>33</v>
      </c>
      <c r="B46" s="33" t="s">
        <v>45</v>
      </c>
      <c r="C46" s="204">
        <f>SUM(D46:M46)</f>
        <v>-6481.7839999999997</v>
      </c>
      <c r="D46" s="205">
        <v>52.9</v>
      </c>
      <c r="E46" s="206">
        <v>10.316000000000001</v>
      </c>
      <c r="F46" s="206">
        <f>6060+4000+3918</f>
        <v>13978</v>
      </c>
      <c r="G46" s="139"/>
      <c r="H46" s="139"/>
      <c r="I46" s="140">
        <f>-4000-12605-3918</f>
        <v>-20523</v>
      </c>
      <c r="J46" s="139"/>
      <c r="K46" s="134"/>
      <c r="L46" s="132"/>
      <c r="M46" s="134"/>
      <c r="O46" s="19"/>
      <c r="R46" s="51"/>
      <c r="S46" s="51"/>
      <c r="T46" s="19"/>
    </row>
    <row r="47" spans="1:20" ht="13.5" thickBot="1" x14ac:dyDescent="0.25">
      <c r="A47" s="8"/>
      <c r="B47" s="34"/>
      <c r="C47" s="126"/>
      <c r="D47" s="127"/>
      <c r="E47" s="127"/>
      <c r="F47" s="127"/>
      <c r="G47" s="127"/>
      <c r="H47" s="127"/>
      <c r="I47" s="119"/>
      <c r="J47" s="127"/>
      <c r="K47" s="118"/>
      <c r="L47" s="119"/>
      <c r="M47" s="118"/>
      <c r="O47" s="19"/>
      <c r="R47" s="19"/>
      <c r="S47" s="19"/>
      <c r="T47" s="19"/>
    </row>
    <row r="48" spans="1:20" ht="22.5" thickBot="1" x14ac:dyDescent="0.25">
      <c r="A48" s="50" t="s">
        <v>75</v>
      </c>
      <c r="B48" s="46" t="s">
        <v>79</v>
      </c>
      <c r="C48" s="141">
        <f>C21+C36+C44+C46</f>
        <v>14818.201000000001</v>
      </c>
      <c r="D48" s="207">
        <f>D21+D36+D44+D46</f>
        <v>-1518.3079999999968</v>
      </c>
      <c r="E48" s="142">
        <f>E21+E36+E44+E46</f>
        <v>237.93199999999999</v>
      </c>
      <c r="F48" s="142">
        <f t="shared" ref="F48:M48" si="4">F21+F36+F44+F46</f>
        <v>30004.796999999999</v>
      </c>
      <c r="G48" s="142">
        <f t="shared" si="4"/>
        <v>0</v>
      </c>
      <c r="H48" s="142">
        <f t="shared" si="4"/>
        <v>0</v>
      </c>
      <c r="I48" s="143">
        <f t="shared" si="4"/>
        <v>-13906.22</v>
      </c>
      <c r="J48" s="142">
        <f t="shared" si="4"/>
        <v>0</v>
      </c>
      <c r="K48" s="144">
        <f t="shared" si="4"/>
        <v>0</v>
      </c>
      <c r="L48" s="143">
        <f t="shared" si="4"/>
        <v>0</v>
      </c>
      <c r="M48" s="144">
        <f t="shared" si="4"/>
        <v>0</v>
      </c>
      <c r="O48" s="19"/>
      <c r="R48" s="19"/>
      <c r="S48" s="19"/>
      <c r="T48" s="19"/>
    </row>
    <row r="49" spans="1:20" x14ac:dyDescent="0.2">
      <c r="A49" s="15"/>
      <c r="B49" s="37"/>
      <c r="C49" s="145"/>
      <c r="D49" s="146"/>
      <c r="E49" s="146"/>
      <c r="F49" s="146"/>
      <c r="G49" s="146"/>
      <c r="H49" s="146"/>
      <c r="I49" s="147"/>
      <c r="J49" s="146"/>
      <c r="K49" s="148"/>
      <c r="L49" s="147"/>
      <c r="M49" s="148"/>
      <c r="O49" s="19"/>
      <c r="R49" s="19"/>
      <c r="S49" s="19"/>
      <c r="T49" s="19"/>
    </row>
    <row r="50" spans="1:20" x14ac:dyDescent="0.2">
      <c r="A50" s="42" t="s">
        <v>76</v>
      </c>
      <c r="B50" s="47" t="s">
        <v>77</v>
      </c>
      <c r="C50" s="208">
        <f>SUM(D50:M50)</f>
        <v>-55613.092000000004</v>
      </c>
      <c r="D50" s="209">
        <f>680+991.806-38902</f>
        <v>-37230.194000000003</v>
      </c>
      <c r="E50" s="149">
        <f>132.6+193.402-11229</f>
        <v>-10902.998</v>
      </c>
      <c r="F50" s="150">
        <f>63.5+5051.6-12595</f>
        <v>-7479.9</v>
      </c>
      <c r="G50" s="149"/>
      <c r="H50" s="151"/>
      <c r="I50" s="152"/>
      <c r="J50" s="153"/>
      <c r="K50" s="151"/>
      <c r="L50" s="152"/>
      <c r="M50" s="151"/>
      <c r="O50" s="19"/>
      <c r="R50" s="19"/>
      <c r="S50" s="19"/>
      <c r="T50" s="19"/>
    </row>
    <row r="51" spans="1:20" ht="13.5" thickBot="1" x14ac:dyDescent="0.25">
      <c r="A51" s="14"/>
      <c r="B51" s="48"/>
      <c r="C51" s="126"/>
      <c r="D51" s="127"/>
      <c r="E51" s="127"/>
      <c r="F51" s="127"/>
      <c r="G51" s="127"/>
      <c r="H51" s="127"/>
      <c r="I51" s="119"/>
      <c r="J51" s="127"/>
      <c r="K51" s="118"/>
      <c r="L51" s="119"/>
      <c r="M51" s="118"/>
      <c r="O51" s="19"/>
      <c r="R51" s="19"/>
      <c r="S51" s="19"/>
      <c r="T51" s="19"/>
    </row>
    <row r="52" spans="1:20" ht="13.5" thickBot="1" x14ac:dyDescent="0.25">
      <c r="A52" s="38" t="s">
        <v>78</v>
      </c>
      <c r="B52" s="49" t="s">
        <v>84</v>
      </c>
      <c r="C52" s="154">
        <f>C48+C50</f>
        <v>-40794.891000000003</v>
      </c>
      <c r="D52" s="210">
        <f>D48+D50</f>
        <v>-38748.502</v>
      </c>
      <c r="E52" s="211">
        <f>E48+E50</f>
        <v>-10665.065999999999</v>
      </c>
      <c r="F52" s="211">
        <f t="shared" ref="F52:H52" si="5">F48+F50</f>
        <v>22524.896999999997</v>
      </c>
      <c r="G52" s="155">
        <f t="shared" si="5"/>
        <v>0</v>
      </c>
      <c r="H52" s="155">
        <f t="shared" si="5"/>
        <v>0</v>
      </c>
      <c r="I52" s="156">
        <f>I48+I50</f>
        <v>-13906.22</v>
      </c>
      <c r="J52" s="155">
        <f t="shared" ref="J52:K52" si="6">J48+J50</f>
        <v>0</v>
      </c>
      <c r="K52" s="157">
        <f t="shared" si="6"/>
        <v>0</v>
      </c>
      <c r="L52" s="156">
        <f>L48+L50</f>
        <v>0</v>
      </c>
      <c r="M52" s="157">
        <f>M48+M50</f>
        <v>0</v>
      </c>
      <c r="O52" s="19"/>
      <c r="R52" s="19"/>
      <c r="S52" s="19"/>
      <c r="T52" s="19"/>
    </row>
    <row r="53" spans="1:20" x14ac:dyDescent="0.2">
      <c r="C53" s="193"/>
      <c r="D53" s="193"/>
      <c r="E53" s="193"/>
      <c r="F53" s="193"/>
      <c r="G53" s="55"/>
      <c r="H53" s="55"/>
      <c r="I53" s="55"/>
      <c r="J53" s="55"/>
      <c r="K53" s="55"/>
      <c r="L53" s="55"/>
      <c r="M53" s="55"/>
      <c r="N53" s="2"/>
      <c r="O53" s="2"/>
    </row>
    <row r="55" spans="1:20" x14ac:dyDescent="0.2">
      <c r="L55" s="213" t="s">
        <v>97</v>
      </c>
      <c r="M55" s="213"/>
    </row>
    <row r="56" spans="1:20" x14ac:dyDescent="0.2">
      <c r="L56" s="212"/>
      <c r="M56" s="212"/>
    </row>
    <row r="57" spans="1:20" x14ac:dyDescent="0.2">
      <c r="L57" s="212"/>
      <c r="M57" s="212"/>
    </row>
    <row r="58" spans="1:20" x14ac:dyDescent="0.2">
      <c r="A58" s="221" t="s">
        <v>96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</row>
    <row r="59" spans="1:20" x14ac:dyDescent="0.2">
      <c r="A59" s="221" t="s">
        <v>92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</row>
    <row r="60" spans="1:20" x14ac:dyDescent="0.2">
      <c r="A60" s="3"/>
      <c r="B60" s="4"/>
      <c r="C60" s="182"/>
      <c r="D60" s="182"/>
      <c r="E60" s="182"/>
      <c r="F60" s="182"/>
      <c r="G60" s="56"/>
      <c r="H60" s="56"/>
      <c r="I60" s="56"/>
      <c r="J60" s="56"/>
      <c r="K60" s="56"/>
      <c r="L60" s="56"/>
      <c r="M60" s="57"/>
    </row>
    <row r="61" spans="1:20" ht="13.5" thickBot="1" x14ac:dyDescent="0.25">
      <c r="A61" s="3"/>
      <c r="B61" s="4"/>
      <c r="C61" s="182"/>
      <c r="D61" s="182"/>
      <c r="E61" s="183"/>
      <c r="F61" s="182"/>
      <c r="G61" s="56"/>
      <c r="H61" s="56"/>
      <c r="I61" s="56"/>
      <c r="J61" s="56"/>
      <c r="K61" s="56"/>
      <c r="L61" s="56"/>
      <c r="M61" s="58" t="s">
        <v>0</v>
      </c>
    </row>
    <row r="62" spans="1:20" ht="13.5" thickBot="1" x14ac:dyDescent="0.25">
      <c r="A62" s="6"/>
      <c r="B62" s="7"/>
      <c r="C62" s="184"/>
      <c r="D62" s="215" t="s">
        <v>1</v>
      </c>
      <c r="E62" s="215"/>
      <c r="F62" s="215"/>
      <c r="G62" s="215"/>
      <c r="H62" s="215"/>
      <c r="I62" s="215"/>
      <c r="J62" s="215"/>
      <c r="K62" s="217"/>
      <c r="L62" s="60" t="s">
        <v>2</v>
      </c>
      <c r="M62" s="61"/>
    </row>
    <row r="63" spans="1:20" ht="13.5" thickBot="1" x14ac:dyDescent="0.25">
      <c r="A63" s="8"/>
      <c r="B63" s="9"/>
      <c r="C63" s="185"/>
      <c r="D63" s="222" t="s">
        <v>62</v>
      </c>
      <c r="E63" s="222"/>
      <c r="F63" s="222"/>
      <c r="G63" s="222"/>
      <c r="H63" s="222"/>
      <c r="I63" s="223" t="s">
        <v>63</v>
      </c>
      <c r="J63" s="222"/>
      <c r="K63" s="224"/>
      <c r="L63" s="62"/>
      <c r="M63" s="63"/>
    </row>
    <row r="64" spans="1:20" x14ac:dyDescent="0.2">
      <c r="A64" s="39"/>
      <c r="B64" s="13"/>
      <c r="C64" s="186" t="s">
        <v>3</v>
      </c>
      <c r="D64" s="187"/>
      <c r="E64" s="188" t="s">
        <v>4</v>
      </c>
      <c r="F64" s="188"/>
      <c r="G64" s="66"/>
      <c r="H64" s="66"/>
      <c r="I64" s="67"/>
      <c r="J64" s="68"/>
      <c r="K64" s="69"/>
      <c r="L64" s="70"/>
      <c r="M64" s="71"/>
    </row>
    <row r="65" spans="1:13" x14ac:dyDescent="0.2">
      <c r="A65" s="39"/>
      <c r="B65" s="10" t="s">
        <v>60</v>
      </c>
      <c r="C65" s="186" t="s">
        <v>5</v>
      </c>
      <c r="D65" s="189" t="s">
        <v>6</v>
      </c>
      <c r="E65" s="188" t="s">
        <v>7</v>
      </c>
      <c r="F65" s="188" t="s">
        <v>8</v>
      </c>
      <c r="G65" s="66" t="s">
        <v>9</v>
      </c>
      <c r="H65" s="66" t="s">
        <v>47</v>
      </c>
      <c r="I65" s="70" t="s">
        <v>11</v>
      </c>
      <c r="J65" s="73" t="s">
        <v>12</v>
      </c>
      <c r="K65" s="74" t="s">
        <v>47</v>
      </c>
      <c r="L65" s="70" t="s">
        <v>10</v>
      </c>
      <c r="M65" s="71" t="s">
        <v>13</v>
      </c>
    </row>
    <row r="66" spans="1:13" x14ac:dyDescent="0.2">
      <c r="A66" s="11"/>
      <c r="B66" s="10" t="s">
        <v>20</v>
      </c>
      <c r="C66" s="186" t="s">
        <v>14</v>
      </c>
      <c r="D66" s="189" t="s">
        <v>15</v>
      </c>
      <c r="E66" s="188" t="s">
        <v>53</v>
      </c>
      <c r="F66" s="188" t="s">
        <v>5</v>
      </c>
      <c r="G66" s="66" t="s">
        <v>16</v>
      </c>
      <c r="H66" s="66" t="s">
        <v>51</v>
      </c>
      <c r="I66" s="70"/>
      <c r="J66" s="73"/>
      <c r="K66" s="74" t="s">
        <v>18</v>
      </c>
      <c r="L66" s="70" t="s">
        <v>17</v>
      </c>
      <c r="M66" s="71" t="s">
        <v>17</v>
      </c>
    </row>
    <row r="67" spans="1:13" x14ac:dyDescent="0.2">
      <c r="A67" s="12" t="s">
        <v>19</v>
      </c>
      <c r="B67" s="10"/>
      <c r="C67" s="190"/>
      <c r="D67" s="187"/>
      <c r="E67" s="191" t="s">
        <v>21</v>
      </c>
      <c r="F67" s="188"/>
      <c r="G67" s="66" t="s">
        <v>22</v>
      </c>
      <c r="H67" s="66" t="s">
        <v>17</v>
      </c>
      <c r="I67" s="75"/>
      <c r="J67" s="76"/>
      <c r="K67" s="74" t="s">
        <v>17</v>
      </c>
      <c r="L67" s="70"/>
      <c r="M67" s="71"/>
    </row>
    <row r="68" spans="1:13" x14ac:dyDescent="0.2">
      <c r="A68" s="40"/>
      <c r="B68" s="10"/>
      <c r="C68" s="190"/>
      <c r="D68" s="187"/>
      <c r="E68" s="191" t="s">
        <v>24</v>
      </c>
      <c r="F68" s="188"/>
      <c r="G68" s="66"/>
      <c r="H68" s="66" t="s">
        <v>5</v>
      </c>
      <c r="I68" s="77"/>
      <c r="J68" s="78"/>
      <c r="K68" s="74" t="s">
        <v>5</v>
      </c>
      <c r="L68" s="70"/>
      <c r="M68" s="71"/>
    </row>
    <row r="69" spans="1:13" x14ac:dyDescent="0.2">
      <c r="A69" s="11"/>
      <c r="B69" s="29"/>
      <c r="C69" s="192"/>
      <c r="D69" s="187"/>
      <c r="E69" s="191" t="s">
        <v>25</v>
      </c>
      <c r="F69" s="188"/>
      <c r="G69" s="65"/>
      <c r="H69" s="80"/>
      <c r="I69" s="81"/>
      <c r="J69" s="82"/>
      <c r="K69" s="83"/>
      <c r="L69" s="75"/>
      <c r="M69" s="84"/>
    </row>
    <row r="70" spans="1:13" x14ac:dyDescent="0.2">
      <c r="A70" s="17">
        <v>1</v>
      </c>
      <c r="B70" s="16">
        <v>2</v>
      </c>
      <c r="C70" s="106">
        <v>3</v>
      </c>
      <c r="D70" s="107">
        <v>4</v>
      </c>
      <c r="E70" s="108">
        <v>5</v>
      </c>
      <c r="F70" s="108">
        <v>6</v>
      </c>
      <c r="G70" s="108">
        <v>7</v>
      </c>
      <c r="H70" s="109">
        <v>8</v>
      </c>
      <c r="I70" s="110">
        <v>9</v>
      </c>
      <c r="J70" s="111">
        <v>10</v>
      </c>
      <c r="K70" s="112">
        <v>11</v>
      </c>
      <c r="L70" s="113">
        <v>12</v>
      </c>
      <c r="M70" s="114">
        <v>13</v>
      </c>
    </row>
    <row r="71" spans="1:13" x14ac:dyDescent="0.2">
      <c r="A71" s="24"/>
      <c r="B71" s="10"/>
      <c r="C71" s="197"/>
      <c r="D71" s="127"/>
      <c r="E71" s="127"/>
      <c r="F71" s="127"/>
      <c r="G71" s="65"/>
      <c r="H71" s="65"/>
      <c r="I71" s="75"/>
      <c r="J71" s="65"/>
      <c r="K71" s="86"/>
      <c r="L71" s="75"/>
      <c r="M71" s="86"/>
    </row>
    <row r="72" spans="1:13" x14ac:dyDescent="0.2">
      <c r="A72" s="24" t="s">
        <v>64</v>
      </c>
      <c r="B72" s="30" t="s">
        <v>27</v>
      </c>
      <c r="C72" s="198">
        <f>SUM(D72:M72)</f>
        <v>1216.1309999999999</v>
      </c>
      <c r="D72" s="116">
        <f>81+936.683</f>
        <v>1017.683</v>
      </c>
      <c r="E72" s="116">
        <f>15.795+182.653</f>
        <v>198.44799999999998</v>
      </c>
      <c r="F72" s="116"/>
      <c r="G72" s="116"/>
      <c r="H72" s="116"/>
      <c r="I72" s="117"/>
      <c r="J72" s="116"/>
      <c r="K72" s="118"/>
      <c r="L72" s="119"/>
      <c r="M72" s="118"/>
    </row>
    <row r="73" spans="1:13" x14ac:dyDescent="0.2">
      <c r="A73" s="8"/>
      <c r="B73" s="31"/>
      <c r="C73" s="198"/>
      <c r="D73" s="116"/>
      <c r="E73" s="116"/>
      <c r="F73" s="116"/>
      <c r="G73" s="116"/>
      <c r="H73" s="116"/>
      <c r="I73" s="117"/>
      <c r="J73" s="116"/>
      <c r="K73" s="118"/>
      <c r="L73" s="119"/>
      <c r="M73" s="118"/>
    </row>
    <row r="74" spans="1:13" x14ac:dyDescent="0.2">
      <c r="A74" s="41" t="s">
        <v>26</v>
      </c>
      <c r="B74" s="43" t="s">
        <v>80</v>
      </c>
      <c r="C74" s="199">
        <f t="shared" ref="C74:M74" si="7">SUM(C72:C73)</f>
        <v>1216.1309999999999</v>
      </c>
      <c r="D74" s="200">
        <f t="shared" si="7"/>
        <v>1017.683</v>
      </c>
      <c r="E74" s="120">
        <f t="shared" si="7"/>
        <v>198.44799999999998</v>
      </c>
      <c r="F74" s="120">
        <f t="shared" si="7"/>
        <v>0</v>
      </c>
      <c r="G74" s="120">
        <f t="shared" si="7"/>
        <v>0</v>
      </c>
      <c r="H74" s="121">
        <f t="shared" si="7"/>
        <v>0</v>
      </c>
      <c r="I74" s="122">
        <f t="shared" si="7"/>
        <v>0</v>
      </c>
      <c r="J74" s="120">
        <f t="shared" si="7"/>
        <v>0</v>
      </c>
      <c r="K74" s="123">
        <f t="shared" si="7"/>
        <v>0</v>
      </c>
      <c r="L74" s="124">
        <f t="shared" si="7"/>
        <v>0</v>
      </c>
      <c r="M74" s="125">
        <f t="shared" si="7"/>
        <v>0</v>
      </c>
    </row>
    <row r="75" spans="1:13" x14ac:dyDescent="0.2">
      <c r="A75" s="8"/>
      <c r="B75" s="44"/>
      <c r="C75" s="201"/>
      <c r="D75" s="116"/>
      <c r="E75" s="116"/>
      <c r="F75" s="116"/>
      <c r="G75" s="116"/>
      <c r="H75" s="116"/>
      <c r="I75" s="117"/>
      <c r="J75" s="116"/>
      <c r="K75" s="118"/>
      <c r="L75" s="119"/>
      <c r="M75" s="118"/>
    </row>
    <row r="76" spans="1:13" x14ac:dyDescent="0.2">
      <c r="A76" s="24" t="s">
        <v>64</v>
      </c>
      <c r="B76" s="30" t="s">
        <v>28</v>
      </c>
      <c r="C76" s="198">
        <f t="shared" ref="C76:C87" si="8">SUM(D76:M76)</f>
        <v>0</v>
      </c>
      <c r="D76" s="116">
        <v>-131.44800000000001</v>
      </c>
      <c r="E76" s="116">
        <v>-25.632000000000001</v>
      </c>
      <c r="F76" s="116">
        <f>157.08</f>
        <v>157.08000000000001</v>
      </c>
      <c r="G76" s="116"/>
      <c r="H76" s="116"/>
      <c r="I76" s="117"/>
      <c r="J76" s="116"/>
      <c r="K76" s="118"/>
      <c r="L76" s="119"/>
      <c r="M76" s="118"/>
    </row>
    <row r="77" spans="1:13" x14ac:dyDescent="0.2">
      <c r="A77" s="24" t="s">
        <v>65</v>
      </c>
      <c r="B77" s="30" t="s">
        <v>30</v>
      </c>
      <c r="C77" s="126">
        <f>SUM(D77:M77)</f>
        <v>13.026</v>
      </c>
      <c r="D77" s="127">
        <v>10.9</v>
      </c>
      <c r="E77" s="127">
        <v>2.1259999999999999</v>
      </c>
      <c r="F77" s="127"/>
      <c r="G77" s="127"/>
      <c r="H77" s="127"/>
      <c r="I77" s="119"/>
      <c r="J77" s="127"/>
      <c r="K77" s="118"/>
      <c r="L77" s="119"/>
      <c r="M77" s="118"/>
    </row>
    <row r="78" spans="1:13" x14ac:dyDescent="0.2">
      <c r="A78" s="24" t="s">
        <v>66</v>
      </c>
      <c r="B78" s="30" t="s">
        <v>32</v>
      </c>
      <c r="C78" s="126">
        <f t="shared" si="8"/>
        <v>2.7479999999999905</v>
      </c>
      <c r="D78" s="127">
        <f>-100.519+2.3</f>
        <v>-98.219000000000008</v>
      </c>
      <c r="E78" s="127">
        <f>-19.601+0.448</f>
        <v>-19.152999999999999</v>
      </c>
      <c r="F78" s="127">
        <f>120.12</f>
        <v>120.12</v>
      </c>
      <c r="G78" s="127"/>
      <c r="H78" s="127"/>
      <c r="I78" s="119"/>
      <c r="J78" s="127"/>
      <c r="K78" s="118"/>
      <c r="L78" s="119"/>
      <c r="M78" s="118"/>
    </row>
    <row r="79" spans="1:13" x14ac:dyDescent="0.2">
      <c r="A79" s="24" t="s">
        <v>67</v>
      </c>
      <c r="B79" s="30" t="s">
        <v>34</v>
      </c>
      <c r="C79" s="126">
        <f>SUM(D79:M79)</f>
        <v>0</v>
      </c>
      <c r="D79" s="127">
        <v>-873.40300000000002</v>
      </c>
      <c r="E79" s="127">
        <v>-170.31399999999999</v>
      </c>
      <c r="F79" s="127">
        <v>1043.7170000000001</v>
      </c>
      <c r="G79" s="127"/>
      <c r="H79" s="127"/>
      <c r="I79" s="119"/>
      <c r="J79" s="127"/>
      <c r="K79" s="118"/>
      <c r="L79" s="119"/>
      <c r="M79" s="118"/>
    </row>
    <row r="80" spans="1:13" x14ac:dyDescent="0.2">
      <c r="A80" s="24" t="s">
        <v>68</v>
      </c>
      <c r="B80" s="30" t="s">
        <v>35</v>
      </c>
      <c r="C80" s="126">
        <f>SUM(D80:M80)</f>
        <v>9.6789999999999736</v>
      </c>
      <c r="D80" s="127">
        <f>-763.707+8.1</f>
        <v>-755.60699999999997</v>
      </c>
      <c r="E80" s="127">
        <f>-148.923+1.579</f>
        <v>-147.34399999999999</v>
      </c>
      <c r="F80" s="127">
        <f>912.63</f>
        <v>912.63</v>
      </c>
      <c r="G80" s="127"/>
      <c r="H80" s="127"/>
      <c r="I80" s="119"/>
      <c r="J80" s="127"/>
      <c r="K80" s="118"/>
      <c r="L80" s="119"/>
      <c r="M80" s="118"/>
    </row>
    <row r="81" spans="1:13" x14ac:dyDescent="0.2">
      <c r="A81" s="24" t="s">
        <v>69</v>
      </c>
      <c r="B81" s="30" t="s">
        <v>36</v>
      </c>
      <c r="C81" s="126">
        <f>SUM(D81:M81)</f>
        <v>0</v>
      </c>
      <c r="D81" s="127">
        <f>-295.9-476.425</f>
        <v>-772.32500000000005</v>
      </c>
      <c r="E81" s="127">
        <f>-57.7-92.903</f>
        <v>-150.60300000000001</v>
      </c>
      <c r="F81" s="127">
        <f>353.6+569.328</f>
        <v>922.928</v>
      </c>
      <c r="G81" s="127"/>
      <c r="H81" s="127"/>
      <c r="I81" s="119"/>
      <c r="J81" s="127"/>
      <c r="K81" s="118"/>
      <c r="L81" s="119"/>
      <c r="M81" s="118"/>
    </row>
    <row r="82" spans="1:13" x14ac:dyDescent="0.2">
      <c r="A82" s="24" t="s">
        <v>70</v>
      </c>
      <c r="B82" s="30" t="s">
        <v>37</v>
      </c>
      <c r="C82" s="126">
        <f t="shared" si="8"/>
        <v>7.8869999999999996</v>
      </c>
      <c r="D82" s="127">
        <v>6.6</v>
      </c>
      <c r="E82" s="127">
        <v>1.2869999999999999</v>
      </c>
      <c r="F82" s="127"/>
      <c r="G82" s="127"/>
      <c r="H82" s="127"/>
      <c r="I82" s="119"/>
      <c r="J82" s="127"/>
      <c r="K82" s="118"/>
      <c r="L82" s="119"/>
      <c r="M82" s="118"/>
    </row>
    <row r="83" spans="1:13" x14ac:dyDescent="0.2">
      <c r="A83" s="24" t="s">
        <v>71</v>
      </c>
      <c r="B83" s="115" t="s">
        <v>38</v>
      </c>
      <c r="C83" s="198">
        <f>SUM(D83:M83)</f>
        <v>808.73</v>
      </c>
      <c r="D83" s="116">
        <f>-518.222-103.672-1464.606+14</f>
        <v>-2072.5</v>
      </c>
      <c r="E83" s="116">
        <f>-101.053-20.216-285.598+2.73</f>
        <v>-404.137</v>
      </c>
      <c r="F83" s="116">
        <f>619.275+123.888+1750.204+792</f>
        <v>3285.3670000000002</v>
      </c>
      <c r="G83" s="127"/>
      <c r="H83" s="127"/>
      <c r="I83" s="119"/>
      <c r="J83" s="127"/>
      <c r="K83" s="118"/>
      <c r="L83" s="119"/>
      <c r="M83" s="118"/>
    </row>
    <row r="84" spans="1:13" x14ac:dyDescent="0.2">
      <c r="A84" s="24" t="s">
        <v>74</v>
      </c>
      <c r="B84" s="30" t="s">
        <v>39</v>
      </c>
      <c r="C84" s="126">
        <f t="shared" si="8"/>
        <v>0</v>
      </c>
      <c r="D84" s="127">
        <v>-574.56399999999996</v>
      </c>
      <c r="E84" s="127">
        <v>-112.04</v>
      </c>
      <c r="F84" s="127">
        <f>686.604</f>
        <v>686.60400000000004</v>
      </c>
      <c r="G84" s="127"/>
      <c r="H84" s="127"/>
      <c r="I84" s="119"/>
      <c r="J84" s="127"/>
      <c r="K84" s="118"/>
      <c r="L84" s="119"/>
      <c r="M84" s="118"/>
    </row>
    <row r="85" spans="1:13" x14ac:dyDescent="0.2">
      <c r="A85" s="24" t="s">
        <v>72</v>
      </c>
      <c r="B85" s="30" t="s">
        <v>40</v>
      </c>
      <c r="C85" s="126">
        <f t="shared" si="8"/>
        <v>1.4340000000000828</v>
      </c>
      <c r="D85" s="127">
        <f>-763.707+1.2</f>
        <v>-762.50699999999995</v>
      </c>
      <c r="E85" s="127">
        <f>-148.923+0.234</f>
        <v>-148.68899999999999</v>
      </c>
      <c r="F85" s="127">
        <v>912.63</v>
      </c>
      <c r="G85" s="127"/>
      <c r="H85" s="127"/>
      <c r="I85" s="119"/>
      <c r="J85" s="127"/>
      <c r="K85" s="118"/>
      <c r="L85" s="119"/>
      <c r="M85" s="118"/>
    </row>
    <row r="86" spans="1:13" x14ac:dyDescent="0.2">
      <c r="A86" s="24" t="s">
        <v>73</v>
      </c>
      <c r="B86" s="30" t="s">
        <v>85</v>
      </c>
      <c r="C86" s="126">
        <f t="shared" si="8"/>
        <v>0</v>
      </c>
      <c r="D86" s="127">
        <f>-112.594-573.108</f>
        <v>-685.702</v>
      </c>
      <c r="E86" s="127">
        <f>-21.956-111.756</f>
        <v>-133.71199999999999</v>
      </c>
      <c r="F86" s="127">
        <f>134.55+684.864</f>
        <v>819.41399999999999</v>
      </c>
      <c r="G86" s="127"/>
      <c r="H86" s="127"/>
      <c r="I86" s="119"/>
      <c r="J86" s="127"/>
      <c r="K86" s="118"/>
      <c r="L86" s="119"/>
      <c r="M86" s="118"/>
    </row>
    <row r="87" spans="1:13" x14ac:dyDescent="0.2">
      <c r="A87" s="24" t="s">
        <v>87</v>
      </c>
      <c r="B87" s="30" t="s">
        <v>88</v>
      </c>
      <c r="C87" s="126">
        <f t="shared" si="8"/>
        <v>0</v>
      </c>
      <c r="D87" s="127">
        <f>-807.244</f>
        <v>-807.24400000000003</v>
      </c>
      <c r="E87" s="127">
        <f>-157.412</f>
        <v>-157.41200000000001</v>
      </c>
      <c r="F87" s="127">
        <v>964.65599999999995</v>
      </c>
      <c r="G87" s="127"/>
      <c r="H87" s="127"/>
      <c r="I87" s="119"/>
      <c r="J87" s="127"/>
      <c r="K87" s="118"/>
      <c r="L87" s="119"/>
      <c r="M87" s="118"/>
    </row>
    <row r="88" spans="1:13" x14ac:dyDescent="0.2">
      <c r="A88" s="24"/>
      <c r="B88" s="45"/>
      <c r="C88" s="126"/>
      <c r="D88" s="127"/>
      <c r="E88" s="127"/>
      <c r="F88" s="127"/>
      <c r="G88" s="127"/>
      <c r="H88" s="127"/>
      <c r="I88" s="119"/>
      <c r="J88" s="127"/>
      <c r="K88" s="118"/>
      <c r="L88" s="119"/>
      <c r="M88" s="118"/>
    </row>
    <row r="89" spans="1:13" x14ac:dyDescent="0.2">
      <c r="A89" s="41" t="s">
        <v>29</v>
      </c>
      <c r="B89" s="43" t="s">
        <v>81</v>
      </c>
      <c r="C89" s="128">
        <f t="shared" ref="C89:M89" si="9">SUM(C76:C88)</f>
        <v>843.50400000000002</v>
      </c>
      <c r="D89" s="129">
        <f t="shared" si="9"/>
        <v>-7516.0190000000002</v>
      </c>
      <c r="E89" s="130">
        <f>SUM(E76:E88)</f>
        <v>-1465.623</v>
      </c>
      <c r="F89" s="130">
        <f t="shared" si="9"/>
        <v>9825.1460000000006</v>
      </c>
      <c r="G89" s="129">
        <f t="shared" si="9"/>
        <v>0</v>
      </c>
      <c r="H89" s="131">
        <f t="shared" si="9"/>
        <v>0</v>
      </c>
      <c r="I89" s="132">
        <f t="shared" si="9"/>
        <v>0</v>
      </c>
      <c r="J89" s="130">
        <f t="shared" si="9"/>
        <v>0</v>
      </c>
      <c r="K89" s="133">
        <f t="shared" si="9"/>
        <v>0</v>
      </c>
      <c r="L89" s="132">
        <f t="shared" si="9"/>
        <v>0</v>
      </c>
      <c r="M89" s="134">
        <f t="shared" si="9"/>
        <v>0</v>
      </c>
    </row>
    <row r="90" spans="1:13" x14ac:dyDescent="0.2">
      <c r="A90" s="8"/>
      <c r="B90" s="9"/>
      <c r="C90" s="126"/>
      <c r="D90" s="127"/>
      <c r="E90" s="127"/>
      <c r="F90" s="127"/>
      <c r="G90" s="127"/>
      <c r="H90" s="127"/>
      <c r="I90" s="119"/>
      <c r="J90" s="127"/>
      <c r="K90" s="118"/>
      <c r="L90" s="119"/>
      <c r="M90" s="118"/>
    </row>
    <row r="91" spans="1:13" x14ac:dyDescent="0.2">
      <c r="A91" s="24" t="s">
        <v>64</v>
      </c>
      <c r="B91" s="30" t="s">
        <v>41</v>
      </c>
      <c r="C91" s="126">
        <f>SUM(D91:M91)</f>
        <v>808.42599999999993</v>
      </c>
      <c r="D91" s="202">
        <f>50.4+626.107</f>
        <v>676.50699999999995</v>
      </c>
      <c r="E91" s="203">
        <f>9.828+122.091</f>
        <v>131.91899999999998</v>
      </c>
      <c r="F91" s="127"/>
      <c r="G91" s="127"/>
      <c r="H91" s="127"/>
      <c r="I91" s="119"/>
      <c r="J91" s="127"/>
      <c r="K91" s="118"/>
      <c r="L91" s="119"/>
      <c r="M91" s="118"/>
    </row>
    <row r="92" spans="1:13" x14ac:dyDescent="0.2">
      <c r="A92" s="24" t="s">
        <v>65</v>
      </c>
      <c r="B92" s="30" t="s">
        <v>42</v>
      </c>
      <c r="C92" s="126">
        <f>SUM(D92:M92)</f>
        <v>1074.8910000000001</v>
      </c>
      <c r="D92" s="202">
        <f>-144.536-102.025+64.199+835.291</f>
        <v>652.92900000000009</v>
      </c>
      <c r="E92" s="203">
        <f>-28.184-19.895+12.519+162.882</f>
        <v>127.322</v>
      </c>
      <c r="F92" s="127">
        <f>172.72+121.92</f>
        <v>294.64</v>
      </c>
      <c r="G92" s="127"/>
      <c r="H92" s="127"/>
      <c r="I92" s="119"/>
      <c r="J92" s="127"/>
      <c r="K92" s="118"/>
      <c r="L92" s="119"/>
      <c r="M92" s="118"/>
    </row>
    <row r="93" spans="1:13" x14ac:dyDescent="0.2">
      <c r="A93" s="24" t="s">
        <v>66</v>
      </c>
      <c r="B93" s="30" t="s">
        <v>43</v>
      </c>
      <c r="C93" s="126">
        <f>SUM(D93:M93)</f>
        <v>1132.028</v>
      </c>
      <c r="D93" s="202">
        <f>60.5+886.803</f>
        <v>947.303</v>
      </c>
      <c r="E93" s="203">
        <f>11.798+172.927</f>
        <v>184.72499999999999</v>
      </c>
      <c r="F93" s="127"/>
      <c r="G93" s="127"/>
      <c r="H93" s="127"/>
      <c r="I93" s="119"/>
      <c r="J93" s="127"/>
      <c r="K93" s="118"/>
      <c r="L93" s="119"/>
      <c r="M93" s="118"/>
    </row>
    <row r="94" spans="1:13" x14ac:dyDescent="0.2">
      <c r="A94" s="24" t="s">
        <v>67</v>
      </c>
      <c r="B94" s="30" t="s">
        <v>44</v>
      </c>
      <c r="C94" s="126">
        <f>SUM(D94:M94)</f>
        <v>717.13499999999999</v>
      </c>
      <c r="D94" s="127">
        <f>55.8+544.313</f>
        <v>600.11299999999994</v>
      </c>
      <c r="E94" s="127">
        <f>10.881+106.141</f>
        <v>117.02200000000001</v>
      </c>
      <c r="F94" s="127">
        <v>-2091.7800000000002</v>
      </c>
      <c r="G94" s="127"/>
      <c r="H94" s="127"/>
      <c r="I94" s="119">
        <v>2091.7800000000002</v>
      </c>
      <c r="J94" s="127"/>
      <c r="K94" s="118"/>
      <c r="L94" s="119"/>
      <c r="M94" s="118"/>
    </row>
    <row r="95" spans="1:13" x14ac:dyDescent="0.2">
      <c r="A95" s="24" t="s">
        <v>68</v>
      </c>
      <c r="B95" s="30" t="s">
        <v>90</v>
      </c>
      <c r="C95" s="198">
        <f>SUM(D95:M95)</f>
        <v>14076.273000000001</v>
      </c>
      <c r="D95" s="127">
        <f>4800+249.403+2496.433</f>
        <v>7545.8360000000002</v>
      </c>
      <c r="E95" s="127">
        <f>1470+48.633+486.804</f>
        <v>2005.4369999999999</v>
      </c>
      <c r="F95" s="127"/>
      <c r="G95" s="127"/>
      <c r="H95" s="127"/>
      <c r="I95" s="119">
        <v>4525</v>
      </c>
      <c r="J95" s="127"/>
      <c r="K95" s="118"/>
      <c r="L95" s="119"/>
      <c r="M95" s="118"/>
    </row>
    <row r="96" spans="1:13" x14ac:dyDescent="0.2">
      <c r="A96" s="24"/>
      <c r="B96" s="9"/>
      <c r="C96" s="126"/>
      <c r="D96" s="127"/>
      <c r="E96" s="127"/>
      <c r="F96" s="127"/>
      <c r="G96" s="127"/>
      <c r="H96" s="127"/>
      <c r="I96" s="119"/>
      <c r="J96" s="127"/>
      <c r="K96" s="118"/>
      <c r="L96" s="119"/>
      <c r="M96" s="118"/>
    </row>
    <row r="97" spans="1:13" x14ac:dyDescent="0.2">
      <c r="A97" s="41" t="s">
        <v>31</v>
      </c>
      <c r="B97" s="26" t="s">
        <v>82</v>
      </c>
      <c r="C97" s="128">
        <f>SUM(C91:C96)</f>
        <v>17808.753000000001</v>
      </c>
      <c r="D97" s="129">
        <f t="shared" ref="D97:M97" si="10">SUM(D91:D96)</f>
        <v>10422.688</v>
      </c>
      <c r="E97" s="130">
        <f t="shared" si="10"/>
        <v>2566.4250000000002</v>
      </c>
      <c r="F97" s="129">
        <f t="shared" si="10"/>
        <v>-1797.1400000000003</v>
      </c>
      <c r="G97" s="130">
        <f t="shared" si="10"/>
        <v>0</v>
      </c>
      <c r="H97" s="131">
        <f t="shared" si="10"/>
        <v>0</v>
      </c>
      <c r="I97" s="132">
        <f t="shared" si="10"/>
        <v>6616.7800000000007</v>
      </c>
      <c r="J97" s="130">
        <f t="shared" si="10"/>
        <v>0</v>
      </c>
      <c r="K97" s="134">
        <f t="shared" si="10"/>
        <v>0</v>
      </c>
      <c r="L97" s="132">
        <f t="shared" si="10"/>
        <v>0</v>
      </c>
      <c r="M97" s="134">
        <f t="shared" si="10"/>
        <v>0</v>
      </c>
    </row>
    <row r="98" spans="1:13" x14ac:dyDescent="0.2">
      <c r="A98" s="28"/>
      <c r="B98" s="27"/>
      <c r="C98" s="135"/>
      <c r="D98" s="136"/>
      <c r="E98" s="136"/>
      <c r="F98" s="136"/>
      <c r="G98" s="136"/>
      <c r="H98" s="136"/>
      <c r="I98" s="137"/>
      <c r="J98" s="136"/>
      <c r="K98" s="138"/>
      <c r="L98" s="137"/>
      <c r="M98" s="138"/>
    </row>
    <row r="99" spans="1:13" x14ac:dyDescent="0.2">
      <c r="A99" s="17" t="s">
        <v>33</v>
      </c>
      <c r="B99" s="33" t="s">
        <v>45</v>
      </c>
      <c r="C99" s="204">
        <f>SUM(D99:M99)</f>
        <v>6123.2160000000003</v>
      </c>
      <c r="D99" s="205">
        <v>52.9</v>
      </c>
      <c r="E99" s="206">
        <v>10.316000000000001</v>
      </c>
      <c r="F99" s="206">
        <f>6060</f>
        <v>6060</v>
      </c>
      <c r="G99" s="139"/>
      <c r="H99" s="139"/>
      <c r="I99" s="140"/>
      <c r="J99" s="139"/>
      <c r="K99" s="134"/>
      <c r="L99" s="132"/>
      <c r="M99" s="134"/>
    </row>
    <row r="100" spans="1:13" ht="13.5" thickBot="1" x14ac:dyDescent="0.25">
      <c r="A100" s="8"/>
      <c r="B100" s="34"/>
      <c r="C100" s="126"/>
      <c r="D100" s="127"/>
      <c r="E100" s="127"/>
      <c r="F100" s="127"/>
      <c r="G100" s="127"/>
      <c r="H100" s="127"/>
      <c r="I100" s="119"/>
      <c r="J100" s="127"/>
      <c r="K100" s="118"/>
      <c r="L100" s="119"/>
      <c r="M100" s="118"/>
    </row>
    <row r="101" spans="1:13" ht="22.5" thickBot="1" x14ac:dyDescent="0.25">
      <c r="A101" s="50" t="s">
        <v>75</v>
      </c>
      <c r="B101" s="46" t="s">
        <v>79</v>
      </c>
      <c r="C101" s="141">
        <f>C74+C89+C97+C99</f>
        <v>25991.603999999999</v>
      </c>
      <c r="D101" s="207">
        <f>D74+D89+D97+D99</f>
        <v>3977.252</v>
      </c>
      <c r="E101" s="142">
        <f>E74+E89+E97+E99</f>
        <v>1309.566</v>
      </c>
      <c r="F101" s="142">
        <f t="shared" ref="F101:M101" si="11">F74+F89+F97+F99</f>
        <v>14088.006000000001</v>
      </c>
      <c r="G101" s="142">
        <f t="shared" si="11"/>
        <v>0</v>
      </c>
      <c r="H101" s="142">
        <f t="shared" si="11"/>
        <v>0</v>
      </c>
      <c r="I101" s="143">
        <f t="shared" si="11"/>
        <v>6616.7800000000007</v>
      </c>
      <c r="J101" s="142">
        <f t="shared" si="11"/>
        <v>0</v>
      </c>
      <c r="K101" s="144">
        <f t="shared" si="11"/>
        <v>0</v>
      </c>
      <c r="L101" s="143">
        <f t="shared" si="11"/>
        <v>0</v>
      </c>
      <c r="M101" s="144">
        <f t="shared" si="11"/>
        <v>0</v>
      </c>
    </row>
    <row r="102" spans="1:13" x14ac:dyDescent="0.2">
      <c r="A102" s="15"/>
      <c r="B102" s="37"/>
      <c r="C102" s="145"/>
      <c r="D102" s="146"/>
      <c r="E102" s="146"/>
      <c r="F102" s="146"/>
      <c r="G102" s="146"/>
      <c r="H102" s="146"/>
      <c r="I102" s="147"/>
      <c r="J102" s="146"/>
      <c r="K102" s="148"/>
      <c r="L102" s="147"/>
      <c r="M102" s="148"/>
    </row>
    <row r="103" spans="1:13" x14ac:dyDescent="0.2">
      <c r="A103" s="42" t="s">
        <v>76</v>
      </c>
      <c r="B103" s="47" t="s">
        <v>77</v>
      </c>
      <c r="C103" s="208">
        <f>SUM(D103:M103)</f>
        <v>7112.9080000000004</v>
      </c>
      <c r="D103" s="209">
        <f>680+991.806</f>
        <v>1671.806</v>
      </c>
      <c r="E103" s="149">
        <f>132.6+193.402</f>
        <v>326.00199999999995</v>
      </c>
      <c r="F103" s="150">
        <f>63.5+5051.6</f>
        <v>5115.1000000000004</v>
      </c>
      <c r="G103" s="149"/>
      <c r="H103" s="151"/>
      <c r="I103" s="152"/>
      <c r="J103" s="153"/>
      <c r="K103" s="151"/>
      <c r="L103" s="152"/>
      <c r="M103" s="151"/>
    </row>
    <row r="104" spans="1:13" ht="13.5" thickBot="1" x14ac:dyDescent="0.25">
      <c r="A104" s="14"/>
      <c r="B104" s="48"/>
      <c r="C104" s="126"/>
      <c r="D104" s="127"/>
      <c r="E104" s="127"/>
      <c r="F104" s="127"/>
      <c r="G104" s="127"/>
      <c r="H104" s="127"/>
      <c r="I104" s="119"/>
      <c r="J104" s="127"/>
      <c r="K104" s="118"/>
      <c r="L104" s="119"/>
      <c r="M104" s="118"/>
    </row>
    <row r="105" spans="1:13" ht="13.5" thickBot="1" x14ac:dyDescent="0.25">
      <c r="A105" s="38" t="s">
        <v>78</v>
      </c>
      <c r="B105" s="49" t="s">
        <v>84</v>
      </c>
      <c r="C105" s="154">
        <f>C101+C103</f>
        <v>33104.512000000002</v>
      </c>
      <c r="D105" s="210">
        <f>D101+D103</f>
        <v>5649.058</v>
      </c>
      <c r="E105" s="211">
        <f>E101+E103</f>
        <v>1635.568</v>
      </c>
      <c r="F105" s="211">
        <f t="shared" ref="F105:H105" si="12">F101+F103</f>
        <v>19203.106</v>
      </c>
      <c r="G105" s="155">
        <f t="shared" si="12"/>
        <v>0</v>
      </c>
      <c r="H105" s="155">
        <f t="shared" si="12"/>
        <v>0</v>
      </c>
      <c r="I105" s="156">
        <f>I101+I103</f>
        <v>6616.7800000000007</v>
      </c>
      <c r="J105" s="155">
        <f t="shared" ref="J105:K105" si="13">J101+J103</f>
        <v>0</v>
      </c>
      <c r="K105" s="157">
        <f t="shared" si="13"/>
        <v>0</v>
      </c>
      <c r="L105" s="156">
        <f>L101+L103</f>
        <v>0</v>
      </c>
      <c r="M105" s="157">
        <f>M101+M103</f>
        <v>0</v>
      </c>
    </row>
  </sheetData>
  <mergeCells count="12">
    <mergeCell ref="L55:M55"/>
    <mergeCell ref="A58:M58"/>
    <mergeCell ref="A59:M59"/>
    <mergeCell ref="D62:K62"/>
    <mergeCell ref="D63:H63"/>
    <mergeCell ref="I63:K63"/>
    <mergeCell ref="L1:M1"/>
    <mergeCell ref="A4:M4"/>
    <mergeCell ref="D9:K9"/>
    <mergeCell ref="D10:H10"/>
    <mergeCell ref="I10:K10"/>
    <mergeCell ref="A6:M6"/>
  </mergeCells>
  <printOptions horizontalCentered="1" verticalCentered="1"/>
  <pageMargins left="7.874015748031496E-2" right="7.874015748031496E-2" top="0.70866141732283472" bottom="0.70866141732283472" header="0.19685039370078741" footer="0.15748031496062992"/>
  <pageSetup paperSize="8" orientation="landscape" r:id="rId1"/>
  <headerFooter alignWithMargins="0"/>
  <rowBreaks count="1" manualBreakCount="1"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5. sz. melléklet</vt:lpstr>
      <vt:lpstr>6.sz. melléklet</vt:lpstr>
      <vt:lpstr>'5. sz. melléklet'!Nyomtatási_terület</vt:lpstr>
      <vt:lpstr>'6.sz. melléklet'!Nyomtatási_terület</vt:lpstr>
    </vt:vector>
  </TitlesOfParts>
  <Company>Budapest 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</dc:creator>
  <cp:lastModifiedBy>Balog Lászlóné Zsuzsa</cp:lastModifiedBy>
  <cp:lastPrinted>2018-11-20T10:50:14Z</cp:lastPrinted>
  <dcterms:created xsi:type="dcterms:W3CDTF">2013-05-29T08:17:59Z</dcterms:created>
  <dcterms:modified xsi:type="dcterms:W3CDTF">2018-11-20T10:50:29Z</dcterms:modified>
</cp:coreProperties>
</file>