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enzugyi es Koltsegvetesi Osztaly\HUPENZU\2018\Rendelet módosítások\Harmadik mód_felülv\Leadott\"/>
    </mc:Choice>
  </mc:AlternateContent>
  <bookViews>
    <workbookView xWindow="0" yWindow="0" windowWidth="19200" windowHeight="10995" tabRatio="668"/>
  </bookViews>
  <sheets>
    <sheet name="1.sz.melléklet" sheetId="1" r:id="rId1"/>
    <sheet name="2.sz.melléklet" sheetId="2" r:id="rId2"/>
    <sheet name="3.sz.melléklet" sheetId="3" r:id="rId3"/>
    <sheet name="4.sz.melléklet" sheetId="4" r:id="rId4"/>
  </sheets>
  <definedNames>
    <definedName name="Excel_BuiltIn__FilterDatabase_2">'2.sz.melléklet'!$A$15:$AP$147</definedName>
    <definedName name="Excel_BuiltIn__FilterDatabase_3">#REF!</definedName>
    <definedName name="Excel_BuiltIn__FilterDatabase_3_3">'1.sz.melléklet'!$C$7:$W$17</definedName>
    <definedName name="_xlnm.Print_Titles" localSheetId="0">'1.sz.melléklet'!$7:$13</definedName>
    <definedName name="_xlnm.Print_Titles" localSheetId="1">'2.sz.melléklet'!$7:$14</definedName>
    <definedName name="_xlnm.Print_Titles" localSheetId="2">'3.sz.melléklet'!$7:$13</definedName>
    <definedName name="_xlnm.Print_Titles" localSheetId="3">'4.sz.melléklet'!$7:$14</definedName>
    <definedName name="_xlnm.Print_Area" localSheetId="0">'1.sz.melléklet'!$A$1:$W$153</definedName>
    <definedName name="_xlnm.Print_Area" localSheetId="1">'2.sz.melléklet'!$A$1:$Z$391</definedName>
    <definedName name="_xlnm.Print_Area" localSheetId="2">'3.sz.melléklet'!$A$1:$X$162</definedName>
    <definedName name="_xlnm.Print_Area" localSheetId="3">'4.sz.melléklet'!$A$1:$Y$194</definedName>
  </definedNames>
  <calcPr calcId="152511"/>
</workbook>
</file>

<file path=xl/calcChain.xml><?xml version="1.0" encoding="utf-8"?>
<calcChain xmlns="http://schemas.openxmlformats.org/spreadsheetml/2006/main">
  <c r="X375" i="2" l="1"/>
  <c r="Y375" i="2" s="1"/>
  <c r="R375" i="2"/>
  <c r="F384" i="2" l="1"/>
  <c r="L383" i="2"/>
  <c r="R383" i="2" s="1"/>
  <c r="Y383" i="2" s="1"/>
  <c r="X383" i="2"/>
  <c r="L382" i="2"/>
  <c r="H141" i="1"/>
  <c r="H139" i="1"/>
  <c r="F380" i="2"/>
  <c r="H137" i="1"/>
  <c r="F379" i="2"/>
  <c r="R379" i="2" s="1"/>
  <c r="X373" i="2"/>
  <c r="R373" i="2"/>
  <c r="X379" i="2"/>
  <c r="X380" i="2"/>
  <c r="X381" i="2"/>
  <c r="R380" i="2"/>
  <c r="R381" i="2"/>
  <c r="F378" i="2"/>
  <c r="L377" i="2"/>
  <c r="F377" i="2"/>
  <c r="F376" i="2"/>
  <c r="L376" i="2"/>
  <c r="F374" i="2"/>
  <c r="G374" i="2"/>
  <c r="J372" i="2"/>
  <c r="I372" i="2"/>
  <c r="F372" i="2"/>
  <c r="F371" i="2"/>
  <c r="F370" i="2"/>
  <c r="J369" i="2"/>
  <c r="F369" i="2"/>
  <c r="F367" i="2"/>
  <c r="F366" i="2"/>
  <c r="Z365" i="2"/>
  <c r="X365" i="2"/>
  <c r="Y380" i="2" l="1"/>
  <c r="Y373" i="2"/>
  <c r="Y381" i="2"/>
  <c r="Y379" i="2"/>
  <c r="X187" i="4" l="1"/>
  <c r="R187" i="4"/>
  <c r="F185" i="4"/>
  <c r="F184" i="4"/>
  <c r="Y187" i="4" l="1"/>
  <c r="F305" i="2"/>
  <c r="H118" i="1" l="1"/>
  <c r="Z301" i="2" l="1"/>
  <c r="D114" i="1"/>
  <c r="F299" i="2" l="1"/>
  <c r="D113" i="1" l="1"/>
  <c r="Z294" i="2"/>
  <c r="Z293" i="2"/>
  <c r="F293" i="2"/>
  <c r="Z292" i="2"/>
  <c r="K292" i="2"/>
  <c r="Z291" i="2"/>
  <c r="F291" i="2"/>
  <c r="F300" i="2"/>
  <c r="K300" i="2"/>
  <c r="K299" i="2"/>
  <c r="J112" i="1" l="1"/>
  <c r="K298" i="2"/>
  <c r="E297" i="2"/>
  <c r="F297" i="2"/>
  <c r="L296" i="2"/>
  <c r="F296" i="2"/>
  <c r="L295" i="2" l="1"/>
  <c r="F295" i="2"/>
  <c r="K290" i="2"/>
  <c r="H111" i="1"/>
  <c r="F289" i="2" l="1"/>
  <c r="L289" i="2"/>
  <c r="L288" i="2" l="1"/>
  <c r="F288" i="2"/>
  <c r="L287" i="2" l="1"/>
  <c r="M287" i="2"/>
  <c r="K287" i="2"/>
  <c r="L286" i="2"/>
  <c r="K286" i="2"/>
  <c r="K285" i="2" l="1"/>
  <c r="H110" i="1"/>
  <c r="M135" i="3" l="1"/>
  <c r="H135" i="3"/>
  <c r="X135" i="3"/>
  <c r="Z284" i="2"/>
  <c r="K284" i="2"/>
  <c r="M283" i="2" l="1"/>
  <c r="F283" i="2"/>
  <c r="L282" i="2"/>
  <c r="F282" i="2"/>
  <c r="L171" i="4" l="1"/>
  <c r="X134" i="3"/>
  <c r="Z281" i="2"/>
  <c r="K281" i="2"/>
  <c r="L280" i="2"/>
  <c r="F280" i="2"/>
  <c r="K279" i="2" l="1"/>
  <c r="F109" i="1"/>
  <c r="L278" i="2"/>
  <c r="F278" i="2"/>
  <c r="K277" i="2"/>
  <c r="J277" i="2"/>
  <c r="L276" i="2"/>
  <c r="F276" i="2"/>
  <c r="L170" i="4"/>
  <c r="X133" i="3"/>
  <c r="Z275" i="2"/>
  <c r="K275" i="2"/>
  <c r="L274" i="2"/>
  <c r="K274" i="2"/>
  <c r="F273" i="2"/>
  <c r="E273" i="2"/>
  <c r="D273" i="2"/>
  <c r="K272" i="2" l="1"/>
  <c r="J272" i="2"/>
  <c r="L271" i="2"/>
  <c r="F271" i="2"/>
  <c r="Q270" i="2"/>
  <c r="L270" i="2"/>
  <c r="L268" i="2"/>
  <c r="K268" i="2"/>
  <c r="X268" i="2"/>
  <c r="R268" i="2" l="1"/>
  <c r="Y268" i="2" s="1"/>
  <c r="Q267" i="2" l="1"/>
  <c r="K267" i="2"/>
  <c r="Q266" i="2"/>
  <c r="K266" i="2"/>
  <c r="X266" i="2" l="1"/>
  <c r="R266" i="2"/>
  <c r="Y266" i="2" l="1"/>
  <c r="F217" i="2" l="1"/>
  <c r="H70" i="1"/>
  <c r="U216" i="2"/>
  <c r="F216" i="2"/>
  <c r="X211" i="2" l="1"/>
  <c r="R211" i="2"/>
  <c r="Z211" i="2"/>
  <c r="Z210" i="2"/>
  <c r="Z209" i="2"/>
  <c r="D65" i="1"/>
  <c r="O65" i="1" s="1"/>
  <c r="X208" i="2"/>
  <c r="X209" i="2"/>
  <c r="X210" i="2"/>
  <c r="R208" i="2"/>
  <c r="R209" i="2"/>
  <c r="R210" i="2"/>
  <c r="Z208" i="2"/>
  <c r="U65" i="1"/>
  <c r="U66" i="1"/>
  <c r="U67" i="1"/>
  <c r="O66" i="1"/>
  <c r="W66" i="1" s="1"/>
  <c r="O67" i="1"/>
  <c r="Z207" i="2"/>
  <c r="K207" i="2"/>
  <c r="Z206" i="2"/>
  <c r="X206" i="2"/>
  <c r="X207" i="2"/>
  <c r="R207" i="2"/>
  <c r="K206" i="2"/>
  <c r="R206" i="2" s="1"/>
  <c r="Z205" i="2"/>
  <c r="X205" i="2"/>
  <c r="F205" i="2"/>
  <c r="R205" i="2" s="1"/>
  <c r="W67" i="1" l="1"/>
  <c r="Y206" i="2"/>
  <c r="Y207" i="2"/>
  <c r="Y211" i="2"/>
  <c r="Y210" i="2"/>
  <c r="W65" i="1"/>
  <c r="Y209" i="2"/>
  <c r="Y208" i="2"/>
  <c r="Y205" i="2"/>
  <c r="E84" i="4"/>
  <c r="D84" i="4"/>
  <c r="X65" i="3"/>
  <c r="U64" i="1"/>
  <c r="D64" i="1"/>
  <c r="O64" i="1" s="1"/>
  <c r="W64" i="1" l="1"/>
  <c r="K215" i="2"/>
  <c r="F69" i="1"/>
  <c r="X212" i="2" l="1"/>
  <c r="K212" i="2"/>
  <c r="R212" i="2" s="1"/>
  <c r="Y212" i="2" s="1"/>
  <c r="F214" i="2" l="1"/>
  <c r="J214" i="2"/>
  <c r="L213" i="2"/>
  <c r="F213" i="2"/>
  <c r="K204" i="2" l="1"/>
  <c r="F204" i="2"/>
  <c r="H63" i="1"/>
  <c r="J203" i="2"/>
  <c r="K203" i="2"/>
  <c r="I202" i="2"/>
  <c r="N202" i="2"/>
  <c r="F201" i="2"/>
  <c r="D201" i="2"/>
  <c r="L83" i="4"/>
  <c r="X64" i="3"/>
  <c r="Z200" i="2"/>
  <c r="K200" i="2"/>
  <c r="F82" i="4"/>
  <c r="X63" i="3"/>
  <c r="Z199" i="2"/>
  <c r="K199" i="2"/>
  <c r="J198" i="2" l="1"/>
  <c r="K198" i="2"/>
  <c r="F197" i="2"/>
  <c r="H62" i="1"/>
  <c r="X195" i="2" l="1"/>
  <c r="L195" i="2"/>
  <c r="F195" i="2"/>
  <c r="R195" i="2" s="1"/>
  <c r="K196" i="2"/>
  <c r="J196" i="2"/>
  <c r="Y195" i="2" l="1"/>
  <c r="F194" i="2"/>
  <c r="L194" i="2"/>
  <c r="X62" i="3"/>
  <c r="L62" i="3"/>
  <c r="Z193" i="2"/>
  <c r="K193" i="2"/>
  <c r="Z192" i="2" l="1"/>
  <c r="E192" i="2"/>
  <c r="D192" i="2"/>
  <c r="Z191" i="2"/>
  <c r="E191" i="2"/>
  <c r="D191" i="2"/>
  <c r="Z189" i="2"/>
  <c r="X189" i="2"/>
  <c r="F189" i="2"/>
  <c r="R189" i="2" s="1"/>
  <c r="Z186" i="2"/>
  <c r="X186" i="2"/>
  <c r="R186" i="2"/>
  <c r="K186" i="2"/>
  <c r="Z183" i="2"/>
  <c r="F183" i="2"/>
  <c r="R183" i="2" s="1"/>
  <c r="Z182" i="2"/>
  <c r="X182" i="2"/>
  <c r="X183" i="2"/>
  <c r="E182" i="2"/>
  <c r="D182" i="2"/>
  <c r="R182" i="2" l="1"/>
  <c r="Y182" i="2" s="1"/>
  <c r="Y189" i="2"/>
  <c r="Y183" i="2"/>
  <c r="Y186" i="2"/>
  <c r="L190" i="2"/>
  <c r="K190" i="2"/>
  <c r="F81" i="4"/>
  <c r="X61" i="3"/>
  <c r="Z188" i="2"/>
  <c r="K188" i="2"/>
  <c r="F80" i="4"/>
  <c r="X60" i="3"/>
  <c r="Z187" i="2"/>
  <c r="K187" i="2"/>
  <c r="L185" i="2"/>
  <c r="K61" i="1"/>
  <c r="L79" i="4"/>
  <c r="X59" i="3"/>
  <c r="Z184" i="2"/>
  <c r="K184" i="2"/>
  <c r="Z181" i="2" l="1"/>
  <c r="F181" i="2"/>
  <c r="F180" i="2" l="1"/>
  <c r="H60" i="1"/>
  <c r="F179" i="2" l="1"/>
  <c r="E179" i="2"/>
  <c r="D179" i="2"/>
  <c r="K178" i="2" l="1"/>
  <c r="I178" i="2"/>
  <c r="K177" i="2"/>
  <c r="H59" i="1"/>
  <c r="K175" i="2" l="1"/>
  <c r="X175" i="2"/>
  <c r="R175" i="2"/>
  <c r="E58" i="1"/>
  <c r="Y175" i="2" l="1"/>
  <c r="F78" i="4" l="1"/>
  <c r="D78" i="4"/>
  <c r="E78" i="4"/>
  <c r="X58" i="3"/>
  <c r="Z176" i="2"/>
  <c r="K176" i="2"/>
  <c r="X168" i="2" l="1"/>
  <c r="R168" i="2"/>
  <c r="Z168" i="2"/>
  <c r="U55" i="1"/>
  <c r="O55" i="1"/>
  <c r="W55" i="1" l="1"/>
  <c r="Y168" i="2"/>
  <c r="F96" i="4" l="1"/>
  <c r="E96" i="4"/>
  <c r="D96" i="4"/>
  <c r="F76" i="3"/>
  <c r="Z174" i="2" l="1"/>
  <c r="F174" i="2"/>
  <c r="Z172" i="2"/>
  <c r="X172" i="2"/>
  <c r="R172" i="2"/>
  <c r="Z167" i="2"/>
  <c r="U53" i="1"/>
  <c r="U54" i="1"/>
  <c r="O54" i="1"/>
  <c r="D53" i="1"/>
  <c r="O53" i="1" s="1"/>
  <c r="Z165" i="2"/>
  <c r="J165" i="2"/>
  <c r="R165" i="2" s="1"/>
  <c r="Z164" i="2"/>
  <c r="E164" i="2"/>
  <c r="D164" i="2"/>
  <c r="R164" i="2" s="1"/>
  <c r="Z163" i="2"/>
  <c r="E163" i="2"/>
  <c r="D163" i="2"/>
  <c r="R163" i="2" s="1"/>
  <c r="Z162" i="2"/>
  <c r="E162" i="2"/>
  <c r="D162" i="2"/>
  <c r="Z161" i="2"/>
  <c r="E161" i="2"/>
  <c r="D161" i="2"/>
  <c r="R161" i="2" s="1"/>
  <c r="R166" i="2"/>
  <c r="R167" i="2"/>
  <c r="X161" i="2"/>
  <c r="X162" i="2"/>
  <c r="X163" i="2"/>
  <c r="X164" i="2"/>
  <c r="X165" i="2"/>
  <c r="X166" i="2"/>
  <c r="X167" i="2"/>
  <c r="X159" i="2"/>
  <c r="J159" i="2"/>
  <c r="R159" i="2" s="1"/>
  <c r="Z159" i="2"/>
  <c r="Y165" i="2" l="1"/>
  <c r="R162" i="2"/>
  <c r="Y162" i="2" s="1"/>
  <c r="Y172" i="2"/>
  <c r="W54" i="1"/>
  <c r="W53" i="1"/>
  <c r="Y159" i="2"/>
  <c r="Y161" i="2"/>
  <c r="Y167" i="2"/>
  <c r="Y166" i="2"/>
  <c r="Y163" i="2"/>
  <c r="Y164" i="2"/>
  <c r="L170" i="2" l="1"/>
  <c r="F170" i="2"/>
  <c r="I173" i="2"/>
  <c r="F173" i="2"/>
  <c r="K171" i="2"/>
  <c r="F171" i="2"/>
  <c r="H56" i="1"/>
  <c r="K170" i="2"/>
  <c r="L169" i="2"/>
  <c r="K169" i="2"/>
  <c r="K160" i="2"/>
  <c r="J160" i="2"/>
  <c r="F76" i="4"/>
  <c r="X56" i="3"/>
  <c r="Z158" i="2"/>
  <c r="F158" i="2"/>
  <c r="J157" i="2" l="1"/>
  <c r="K157" i="2"/>
  <c r="Z154" i="2" l="1"/>
  <c r="K154" i="2"/>
  <c r="X155" i="2" l="1"/>
  <c r="K155" i="2"/>
  <c r="R155" i="2" s="1"/>
  <c r="X156" i="2"/>
  <c r="R156" i="2"/>
  <c r="Y156" i="2" s="1"/>
  <c r="Y155" i="2" l="1"/>
  <c r="H52" i="1"/>
  <c r="I51" i="1"/>
  <c r="F51" i="1"/>
  <c r="K104" i="2" l="1"/>
  <c r="F121" i="2"/>
  <c r="L132" i="2" l="1"/>
  <c r="M132" i="2"/>
  <c r="L148" i="2" l="1"/>
  <c r="F147" i="2"/>
  <c r="L147" i="2"/>
  <c r="L146" i="2"/>
  <c r="L145" i="2"/>
  <c r="L144" i="2"/>
  <c r="L143" i="2"/>
  <c r="L141" i="2"/>
  <c r="L140" i="2"/>
  <c r="F140" i="2"/>
  <c r="X140" i="2"/>
  <c r="F139" i="2"/>
  <c r="R139" i="2" s="1"/>
  <c r="X133" i="2"/>
  <c r="X134" i="2"/>
  <c r="X135" i="2"/>
  <c r="X136" i="2"/>
  <c r="X137" i="2"/>
  <c r="X138" i="2"/>
  <c r="X139" i="2"/>
  <c r="R133" i="2"/>
  <c r="R134" i="2"/>
  <c r="R135" i="2"/>
  <c r="R136" i="2"/>
  <c r="R137" i="2"/>
  <c r="R138" i="2"/>
  <c r="F132" i="2"/>
  <c r="Q132" i="2"/>
  <c r="F131" i="2"/>
  <c r="R131" i="2" s="1"/>
  <c r="Y131" i="2" s="1"/>
  <c r="X131" i="2"/>
  <c r="F130" i="2"/>
  <c r="L130" i="2"/>
  <c r="F129" i="2"/>
  <c r="L129" i="2"/>
  <c r="Y138" i="2" l="1"/>
  <c r="Y134" i="2"/>
  <c r="Y136" i="2"/>
  <c r="Y133" i="2"/>
  <c r="R140" i="2"/>
  <c r="Y140" i="2" s="1"/>
  <c r="Y135" i="2"/>
  <c r="Y137" i="2"/>
  <c r="Y139" i="2"/>
  <c r="M124" i="2" l="1"/>
  <c r="M123" i="2"/>
  <c r="L123" i="2"/>
  <c r="Q122" i="2"/>
  <c r="O122" i="2"/>
  <c r="G122" i="2"/>
  <c r="F122" i="2"/>
  <c r="J122" i="2"/>
  <c r="J120" i="2"/>
  <c r="E120" i="2"/>
  <c r="D120" i="2"/>
  <c r="F120" i="2"/>
  <c r="Q119" i="2"/>
  <c r="K119" i="2"/>
  <c r="F119" i="2"/>
  <c r="E119" i="2"/>
  <c r="R119" i="2" s="1"/>
  <c r="D119" i="2"/>
  <c r="X119" i="2"/>
  <c r="F118" i="2"/>
  <c r="F116" i="2"/>
  <c r="F115" i="2"/>
  <c r="Y119" i="2" l="1"/>
  <c r="N115" i="2" l="1"/>
  <c r="E115" i="2"/>
  <c r="D115" i="2"/>
  <c r="L114" i="2"/>
  <c r="F114" i="2"/>
  <c r="D114" i="2"/>
  <c r="F112" i="2"/>
  <c r="E112" i="2"/>
  <c r="D112" i="2"/>
  <c r="K110" i="2"/>
  <c r="Q110" i="2"/>
  <c r="J110" i="2"/>
  <c r="Q109" i="2"/>
  <c r="N109" i="2"/>
  <c r="K109" i="2"/>
  <c r="J109" i="2"/>
  <c r="F108" i="2"/>
  <c r="U106" i="2"/>
  <c r="F106" i="2"/>
  <c r="L67" i="4" l="1"/>
  <c r="F67" i="4"/>
  <c r="L66" i="4"/>
  <c r="F65" i="4"/>
  <c r="D65" i="4"/>
  <c r="L65" i="4"/>
  <c r="M65" i="4"/>
  <c r="F63" i="4"/>
  <c r="R63" i="4" s="1"/>
  <c r="Y63" i="4" s="1"/>
  <c r="X63" i="4"/>
  <c r="E62" i="4"/>
  <c r="D62" i="4"/>
  <c r="E60" i="4"/>
  <c r="D60" i="4"/>
  <c r="E59" i="4"/>
  <c r="D59" i="4"/>
  <c r="F59" i="4"/>
  <c r="F58" i="4"/>
  <c r="F57" i="4"/>
  <c r="O57" i="4"/>
  <c r="U33" i="3" l="1"/>
  <c r="H33" i="3"/>
  <c r="O33" i="3" s="1"/>
  <c r="X33" i="4"/>
  <c r="R33" i="4"/>
  <c r="F33" i="4"/>
  <c r="Y33" i="4" l="1"/>
  <c r="W33" i="3"/>
  <c r="F37" i="4"/>
  <c r="X34" i="4" l="1"/>
  <c r="E34" i="4"/>
  <c r="D34" i="4"/>
  <c r="R34" i="4" s="1"/>
  <c r="Y34" i="4" s="1"/>
  <c r="U34" i="3"/>
  <c r="F34" i="3"/>
  <c r="O34" i="3" s="1"/>
  <c r="W34" i="3" s="1"/>
  <c r="J37" i="4"/>
  <c r="I37" i="4"/>
  <c r="F36" i="4"/>
  <c r="H36" i="3"/>
  <c r="J55" i="2" l="1"/>
  <c r="I31" i="1"/>
  <c r="X51" i="2"/>
  <c r="X52" i="2"/>
  <c r="X53" i="2"/>
  <c r="L26" i="4"/>
  <c r="X25" i="3"/>
  <c r="H30" i="1"/>
  <c r="F53" i="2"/>
  <c r="R53" i="2" s="1"/>
  <c r="Z52" i="2"/>
  <c r="K52" i="2"/>
  <c r="R52" i="2" s="1"/>
  <c r="H29" i="1"/>
  <c r="K51" i="2"/>
  <c r="F51" i="2"/>
  <c r="R51" i="2" s="1"/>
  <c r="Y53" i="2" l="1"/>
  <c r="Y51" i="2"/>
  <c r="Y52" i="2"/>
  <c r="Z54" i="2"/>
  <c r="F54" i="2"/>
  <c r="F50" i="2"/>
  <c r="Z50" i="2"/>
  <c r="Z49" i="2"/>
  <c r="K49" i="2"/>
  <c r="V44" i="2" l="1"/>
  <c r="U27" i="1"/>
  <c r="O27" i="1"/>
  <c r="W27" i="1" l="1"/>
  <c r="F45" i="2"/>
  <c r="E45" i="2"/>
  <c r="X35" i="2" l="1"/>
  <c r="F35" i="2"/>
  <c r="E35" i="2"/>
  <c r="D35" i="2"/>
  <c r="R35" i="2" s="1"/>
  <c r="Y35" i="2" l="1"/>
  <c r="L25" i="4"/>
  <c r="X24" i="3"/>
  <c r="Z34" i="2"/>
  <c r="X34" i="2"/>
  <c r="L34" i="2"/>
  <c r="R34" i="2" s="1"/>
  <c r="Y34" i="2" l="1"/>
  <c r="D25" i="1"/>
  <c r="Z43" i="2"/>
  <c r="Z42" i="2"/>
  <c r="F42" i="2"/>
  <c r="U22" i="1"/>
  <c r="U23" i="1"/>
  <c r="O22" i="1"/>
  <c r="O23" i="1"/>
  <c r="X39" i="2"/>
  <c r="X40" i="2"/>
  <c r="R39" i="2"/>
  <c r="R40" i="2"/>
  <c r="Z40" i="2"/>
  <c r="Z39" i="2"/>
  <c r="X36" i="2"/>
  <c r="X37" i="2"/>
  <c r="Z37" i="2"/>
  <c r="F37" i="2"/>
  <c r="R37" i="2" s="1"/>
  <c r="Z36" i="2"/>
  <c r="F36" i="2"/>
  <c r="R36" i="2" s="1"/>
  <c r="W23" i="1" l="1"/>
  <c r="W22" i="1"/>
  <c r="Y40" i="2"/>
  <c r="Y39" i="2"/>
  <c r="Y37" i="2"/>
  <c r="Y36" i="2"/>
  <c r="U21" i="1"/>
  <c r="H21" i="1"/>
  <c r="D21" i="1"/>
  <c r="O21" i="1" l="1"/>
  <c r="W21" i="1"/>
  <c r="D24" i="1"/>
  <c r="Z41" i="2"/>
  <c r="Z38" i="2"/>
  <c r="F38" i="2"/>
  <c r="U22" i="3"/>
  <c r="U23" i="3"/>
  <c r="U24" i="3"/>
  <c r="U25" i="3"/>
  <c r="U26" i="3"/>
  <c r="O22" i="3"/>
  <c r="W22" i="3" s="1"/>
  <c r="O23" i="3"/>
  <c r="O24" i="3"/>
  <c r="W24" i="3" s="1"/>
  <c r="O25" i="3"/>
  <c r="O26" i="3"/>
  <c r="W26" i="3" s="1"/>
  <c r="X23" i="3"/>
  <c r="E24" i="4"/>
  <c r="D24" i="4"/>
  <c r="E23" i="4"/>
  <c r="D23" i="4"/>
  <c r="X22" i="3"/>
  <c r="W23" i="3" l="1"/>
  <c r="W25" i="3"/>
  <c r="D22" i="4"/>
  <c r="K33" i="2"/>
  <c r="J33" i="2"/>
  <c r="Z32" i="2"/>
  <c r="E32" i="2"/>
  <c r="D32" i="2"/>
  <c r="E22" i="4"/>
  <c r="X21" i="3"/>
  <c r="X20" i="3"/>
  <c r="B20" i="3"/>
  <c r="F21" i="4"/>
  <c r="Z31" i="2"/>
  <c r="K31" i="2"/>
  <c r="F31" i="2"/>
  <c r="N20" i="1" l="1"/>
  <c r="M30" i="2"/>
  <c r="K29" i="2"/>
  <c r="F29" i="2"/>
  <c r="H19" i="1"/>
  <c r="F18" i="1"/>
  <c r="K28" i="2"/>
  <c r="L27" i="2"/>
  <c r="K27" i="2"/>
  <c r="L26" i="2" l="1"/>
  <c r="K26" i="2"/>
  <c r="F26" i="2"/>
  <c r="L25" i="2"/>
  <c r="K25" i="2"/>
  <c r="J25" i="2"/>
  <c r="F25" i="2"/>
  <c r="E25" i="2"/>
  <c r="D25" i="2"/>
  <c r="K24" i="2"/>
  <c r="J24" i="2"/>
  <c r="F24" i="2"/>
  <c r="E24" i="2"/>
  <c r="D24" i="2"/>
  <c r="L23" i="2"/>
  <c r="F23" i="2"/>
  <c r="L18" i="2" l="1"/>
  <c r="M20" i="2"/>
  <c r="Z22" i="2"/>
  <c r="K22" i="2"/>
  <c r="F32" i="3"/>
  <c r="F32" i="4"/>
  <c r="E32" i="4"/>
  <c r="D32" i="4"/>
  <c r="E20" i="4"/>
  <c r="D20" i="4"/>
  <c r="F20" i="4"/>
  <c r="X19" i="3"/>
  <c r="Z21" i="2"/>
  <c r="K21" i="2"/>
  <c r="X18" i="3"/>
  <c r="F19" i="4"/>
  <c r="Z20" i="2"/>
  <c r="F17" i="1"/>
  <c r="K19" i="2"/>
  <c r="K18" i="2"/>
  <c r="U46" i="4" l="1"/>
  <c r="V46" i="4"/>
  <c r="W46" i="4"/>
  <c r="T46" i="4"/>
  <c r="N46" i="4"/>
  <c r="O46" i="4"/>
  <c r="P46" i="4"/>
  <c r="Q46" i="4"/>
  <c r="L46" i="4"/>
  <c r="M46" i="4"/>
  <c r="G46" i="4"/>
  <c r="H46" i="4"/>
  <c r="I46" i="4"/>
  <c r="J46" i="4"/>
  <c r="J49" i="4" s="1"/>
  <c r="K46" i="4"/>
  <c r="F46" i="4"/>
  <c r="E46" i="4"/>
  <c r="D46" i="4"/>
  <c r="X43" i="4"/>
  <c r="R43" i="4"/>
  <c r="Y43" i="4" s="1"/>
  <c r="R44" i="4"/>
  <c r="X44" i="4"/>
  <c r="X63" i="2"/>
  <c r="R63" i="2"/>
  <c r="U36" i="1"/>
  <c r="O36" i="1"/>
  <c r="W36" i="1" s="1"/>
  <c r="R89" i="2"/>
  <c r="X85" i="2"/>
  <c r="R85" i="2"/>
  <c r="X74" i="2"/>
  <c r="X75" i="2"/>
  <c r="X76" i="2"/>
  <c r="R74" i="2"/>
  <c r="R75" i="2"/>
  <c r="R76" i="2"/>
  <c r="X71" i="2"/>
  <c r="X72" i="2"/>
  <c r="R71" i="2"/>
  <c r="R72" i="2"/>
  <c r="X66" i="2"/>
  <c r="X67" i="2"/>
  <c r="R66" i="2"/>
  <c r="R67" i="2"/>
  <c r="H44" i="3"/>
  <c r="R27" i="4"/>
  <c r="X30" i="3"/>
  <c r="R73" i="2"/>
  <c r="X73" i="2"/>
  <c r="U37" i="1"/>
  <c r="O37" i="1"/>
  <c r="W37" i="1" s="1"/>
  <c r="R88" i="2"/>
  <c r="R86" i="2"/>
  <c r="U37" i="3"/>
  <c r="U38" i="3"/>
  <c r="U39" i="3"/>
  <c r="U40" i="3"/>
  <c r="U41" i="3"/>
  <c r="U42" i="3"/>
  <c r="O37" i="3"/>
  <c r="W37" i="3" s="1"/>
  <c r="O38" i="3"/>
  <c r="O39" i="3"/>
  <c r="O40" i="3"/>
  <c r="O41" i="3"/>
  <c r="O42" i="3"/>
  <c r="W42" i="3" s="1"/>
  <c r="O36" i="3"/>
  <c r="R70" i="2"/>
  <c r="R69" i="2"/>
  <c r="R68" i="2"/>
  <c r="R65" i="2"/>
  <c r="R59" i="2"/>
  <c r="R64" i="2"/>
  <c r="O34" i="1"/>
  <c r="R60" i="2"/>
  <c r="R58" i="2"/>
  <c r="R57" i="2"/>
  <c r="U32" i="1"/>
  <c r="W32" i="1" s="1"/>
  <c r="X51" i="4"/>
  <c r="R51" i="4"/>
  <c r="X101" i="2"/>
  <c r="R101" i="2"/>
  <c r="R65" i="4"/>
  <c r="F71" i="4"/>
  <c r="R126" i="2"/>
  <c r="R143" i="2"/>
  <c r="R144" i="2"/>
  <c r="R145" i="2"/>
  <c r="R146" i="2"/>
  <c r="R147" i="2"/>
  <c r="R148" i="2"/>
  <c r="R149" i="2"/>
  <c r="R142" i="2"/>
  <c r="R141" i="2"/>
  <c r="R132" i="2"/>
  <c r="R129" i="2"/>
  <c r="R128" i="2"/>
  <c r="R124" i="2"/>
  <c r="R123" i="2"/>
  <c r="L151" i="2"/>
  <c r="M151" i="2"/>
  <c r="R120" i="2"/>
  <c r="R118" i="2"/>
  <c r="X117" i="2"/>
  <c r="R117" i="2"/>
  <c r="R115" i="2"/>
  <c r="R114" i="2"/>
  <c r="R113" i="2"/>
  <c r="I151" i="2"/>
  <c r="F44" i="3"/>
  <c r="R32" i="4"/>
  <c r="O25" i="1"/>
  <c r="R56" i="2"/>
  <c r="E99" i="2"/>
  <c r="R21" i="4"/>
  <c r="U30" i="1"/>
  <c r="O30" i="1"/>
  <c r="X47" i="2"/>
  <c r="R47" i="2"/>
  <c r="R20" i="4"/>
  <c r="R31" i="2"/>
  <c r="U26" i="1"/>
  <c r="W26" i="1" s="1"/>
  <c r="O26" i="1"/>
  <c r="R30" i="2"/>
  <c r="R29" i="2"/>
  <c r="R28" i="2"/>
  <c r="U24" i="1"/>
  <c r="U25" i="1"/>
  <c r="O24" i="1"/>
  <c r="R26" i="2"/>
  <c r="X26" i="2"/>
  <c r="X27" i="2"/>
  <c r="X28" i="2"/>
  <c r="X29" i="2"/>
  <c r="X30" i="2"/>
  <c r="X31" i="2"/>
  <c r="R27" i="2"/>
  <c r="I46" i="1"/>
  <c r="R19" i="4"/>
  <c r="F30" i="4"/>
  <c r="R23" i="2"/>
  <c r="O20" i="1"/>
  <c r="W20" i="1" s="1"/>
  <c r="U20" i="1"/>
  <c r="U19" i="1"/>
  <c r="H46" i="1"/>
  <c r="Q99" i="2"/>
  <c r="R55" i="2"/>
  <c r="V99" i="2"/>
  <c r="R46" i="1"/>
  <c r="R49" i="2"/>
  <c r="X49" i="2"/>
  <c r="O28" i="1"/>
  <c r="R44" i="2"/>
  <c r="R43" i="2"/>
  <c r="R42" i="2"/>
  <c r="R38" i="2"/>
  <c r="R33" i="2"/>
  <c r="R32" i="2"/>
  <c r="R19" i="2"/>
  <c r="U29" i="1"/>
  <c r="O17" i="1"/>
  <c r="U18" i="1"/>
  <c r="O18" i="1"/>
  <c r="K46" i="1"/>
  <c r="U99" i="2"/>
  <c r="W99" i="2"/>
  <c r="T99" i="2"/>
  <c r="H99" i="2"/>
  <c r="I99" i="2"/>
  <c r="M99" i="2"/>
  <c r="N99" i="2"/>
  <c r="O99" i="2"/>
  <c r="P99" i="2"/>
  <c r="O32" i="3"/>
  <c r="R37" i="4"/>
  <c r="R38" i="4"/>
  <c r="R39" i="4"/>
  <c r="R40" i="4"/>
  <c r="R41" i="4"/>
  <c r="X36" i="4"/>
  <c r="X37" i="4"/>
  <c r="X38" i="4"/>
  <c r="X39" i="4"/>
  <c r="X40" i="4"/>
  <c r="X41" i="4"/>
  <c r="Y41" i="4" s="1"/>
  <c r="X42" i="4"/>
  <c r="R91" i="2"/>
  <c r="X22" i="4"/>
  <c r="X23" i="4"/>
  <c r="X24" i="4"/>
  <c r="X25" i="4"/>
  <c r="X26" i="4"/>
  <c r="X27" i="4"/>
  <c r="Y27" i="4" s="1"/>
  <c r="X28" i="4"/>
  <c r="R22" i="4"/>
  <c r="R23" i="4"/>
  <c r="R24" i="4"/>
  <c r="R25" i="4"/>
  <c r="R26" i="4"/>
  <c r="R28" i="4"/>
  <c r="O21" i="3"/>
  <c r="W21" i="3" s="1"/>
  <c r="O27" i="3"/>
  <c r="U21" i="3"/>
  <c r="U27" i="3"/>
  <c r="U18" i="3"/>
  <c r="U19" i="3"/>
  <c r="R82" i="2"/>
  <c r="R84" i="2"/>
  <c r="R90" i="2"/>
  <c r="R92" i="2"/>
  <c r="R93" i="2"/>
  <c r="R94" i="2"/>
  <c r="R95" i="2"/>
  <c r="R96" i="2"/>
  <c r="X82" i="2"/>
  <c r="X83" i="2"/>
  <c r="X84" i="2"/>
  <c r="X86" i="2"/>
  <c r="X87" i="2"/>
  <c r="X88" i="2"/>
  <c r="X89" i="2"/>
  <c r="X90" i="2"/>
  <c r="X91" i="2"/>
  <c r="X92" i="2"/>
  <c r="X93" i="2"/>
  <c r="X94" i="2"/>
  <c r="X95" i="2"/>
  <c r="X96" i="2"/>
  <c r="E30" i="4"/>
  <c r="E49" i="4" s="1"/>
  <c r="O29" i="1"/>
  <c r="W29" i="1" s="1"/>
  <c r="X24" i="2"/>
  <c r="X25" i="2"/>
  <c r="U28" i="1"/>
  <c r="R24" i="2"/>
  <c r="R25" i="2"/>
  <c r="X68" i="2"/>
  <c r="X69" i="2"/>
  <c r="X70" i="2"/>
  <c r="X57" i="2"/>
  <c r="X58" i="2"/>
  <c r="X59" i="2"/>
  <c r="X60" i="2"/>
  <c r="Y60" i="2" s="1"/>
  <c r="X61" i="2"/>
  <c r="X62" i="2"/>
  <c r="X64" i="2"/>
  <c r="X65" i="2"/>
  <c r="Y65" i="2" s="1"/>
  <c r="X77" i="2"/>
  <c r="X78" i="2"/>
  <c r="X79" i="2"/>
  <c r="X80" i="2"/>
  <c r="X55" i="2"/>
  <c r="X56" i="2"/>
  <c r="R61" i="2"/>
  <c r="R77" i="2"/>
  <c r="R79" i="2"/>
  <c r="O40" i="1"/>
  <c r="O41" i="1"/>
  <c r="O42" i="1"/>
  <c r="O43" i="1"/>
  <c r="U40" i="1"/>
  <c r="U41" i="1"/>
  <c r="W41" i="1" s="1"/>
  <c r="U42" i="1"/>
  <c r="U43" i="1"/>
  <c r="W43" i="1" s="1"/>
  <c r="U38" i="1"/>
  <c r="U39" i="1"/>
  <c r="U34" i="1"/>
  <c r="U35" i="1"/>
  <c r="O32" i="1"/>
  <c r="O33" i="1"/>
  <c r="O35" i="1"/>
  <c r="O38" i="1"/>
  <c r="O39" i="1"/>
  <c r="R54" i="2"/>
  <c r="R48" i="2"/>
  <c r="O31" i="1"/>
  <c r="R158" i="4"/>
  <c r="X158" i="4"/>
  <c r="R159" i="4"/>
  <c r="X159" i="4"/>
  <c r="U142" i="3"/>
  <c r="G145" i="3"/>
  <c r="F174" i="4"/>
  <c r="R172" i="4"/>
  <c r="G174" i="4"/>
  <c r="M177" i="4"/>
  <c r="O143" i="3"/>
  <c r="O141" i="3"/>
  <c r="D177" i="4"/>
  <c r="F177" i="4"/>
  <c r="X119" i="3"/>
  <c r="R156" i="4"/>
  <c r="F163" i="4"/>
  <c r="R121" i="4"/>
  <c r="Z387" i="2"/>
  <c r="W387" i="2"/>
  <c r="V387" i="2"/>
  <c r="U387" i="2"/>
  <c r="T387" i="2"/>
  <c r="Q387" i="2"/>
  <c r="P387" i="2"/>
  <c r="O387" i="2"/>
  <c r="N387" i="2"/>
  <c r="M387" i="2"/>
  <c r="J387" i="2"/>
  <c r="I387" i="2"/>
  <c r="H387" i="2"/>
  <c r="G387" i="2"/>
  <c r="D387" i="2"/>
  <c r="E387" i="2"/>
  <c r="R365" i="2"/>
  <c r="Y365" i="2" s="1"/>
  <c r="K387" i="2"/>
  <c r="L387" i="2"/>
  <c r="U135" i="1"/>
  <c r="O135" i="1"/>
  <c r="H149" i="1"/>
  <c r="D149" i="1"/>
  <c r="O128" i="1"/>
  <c r="O92" i="3"/>
  <c r="O93" i="3"/>
  <c r="U92" i="3"/>
  <c r="U93" i="3"/>
  <c r="X356" i="2"/>
  <c r="U103" i="3"/>
  <c r="O103" i="3"/>
  <c r="X139" i="4"/>
  <c r="R139" i="4"/>
  <c r="Y139" i="4" s="1"/>
  <c r="O102" i="3"/>
  <c r="X135" i="4"/>
  <c r="X136" i="4"/>
  <c r="X137" i="4"/>
  <c r="X138" i="4"/>
  <c r="R135" i="4"/>
  <c r="Y135" i="4" s="1"/>
  <c r="R136" i="4"/>
  <c r="Y136" i="4" s="1"/>
  <c r="R137" i="4"/>
  <c r="R138" i="4"/>
  <c r="F142" i="4"/>
  <c r="E142" i="4"/>
  <c r="U102" i="3"/>
  <c r="R134" i="4"/>
  <c r="X357" i="2"/>
  <c r="X355" i="2"/>
  <c r="O127" i="1"/>
  <c r="X123" i="4"/>
  <c r="X124" i="4"/>
  <c r="R123" i="4"/>
  <c r="R124" i="4"/>
  <c r="X97" i="3"/>
  <c r="X343" i="2"/>
  <c r="X344" i="2"/>
  <c r="X345" i="2"/>
  <c r="X346" i="2"/>
  <c r="X347" i="2"/>
  <c r="X348" i="2"/>
  <c r="X349" i="2"/>
  <c r="X350" i="2"/>
  <c r="G106" i="3"/>
  <c r="O100" i="3"/>
  <c r="R133" i="4"/>
  <c r="X133" i="4"/>
  <c r="X134" i="4"/>
  <c r="X341" i="2"/>
  <c r="X342" i="2"/>
  <c r="X351" i="2"/>
  <c r="X352" i="2"/>
  <c r="X353" i="2"/>
  <c r="X354" i="2"/>
  <c r="X358" i="2"/>
  <c r="X359" i="2"/>
  <c r="X360" i="2"/>
  <c r="O125" i="1"/>
  <c r="G131" i="1"/>
  <c r="I363" i="2"/>
  <c r="O122" i="1"/>
  <c r="X332" i="2"/>
  <c r="U119" i="1"/>
  <c r="U120" i="1"/>
  <c r="O120" i="1"/>
  <c r="O119" i="1"/>
  <c r="X330" i="2"/>
  <c r="X331" i="2"/>
  <c r="X317" i="2"/>
  <c r="O121" i="1"/>
  <c r="X329" i="2"/>
  <c r="X333" i="2"/>
  <c r="X334" i="2"/>
  <c r="X335" i="2"/>
  <c r="X336" i="2"/>
  <c r="X337" i="2"/>
  <c r="X338" i="2"/>
  <c r="X339" i="2"/>
  <c r="R120" i="4"/>
  <c r="X309" i="2"/>
  <c r="U115" i="1"/>
  <c r="O115" i="1"/>
  <c r="W115" i="1" s="1"/>
  <c r="X311" i="2"/>
  <c r="X312" i="2"/>
  <c r="X313" i="2"/>
  <c r="X314" i="2"/>
  <c r="X315" i="2"/>
  <c r="X316" i="2"/>
  <c r="O117" i="1"/>
  <c r="O118" i="1"/>
  <c r="X320" i="2"/>
  <c r="Y320" i="2" s="1"/>
  <c r="X321" i="2"/>
  <c r="X322" i="2"/>
  <c r="X323" i="2"/>
  <c r="X324" i="2"/>
  <c r="X325" i="2"/>
  <c r="X326" i="2"/>
  <c r="X327" i="2"/>
  <c r="X328" i="2"/>
  <c r="X340" i="2"/>
  <c r="O116" i="1"/>
  <c r="X302" i="2"/>
  <c r="X303" i="2"/>
  <c r="X304" i="2"/>
  <c r="X305" i="2"/>
  <c r="X307" i="2"/>
  <c r="X308" i="2"/>
  <c r="X310" i="2"/>
  <c r="X318" i="2"/>
  <c r="Y308" i="2"/>
  <c r="R305" i="2"/>
  <c r="R304" i="2"/>
  <c r="R302" i="2"/>
  <c r="R301" i="2"/>
  <c r="O113" i="1"/>
  <c r="R300" i="2"/>
  <c r="R299" i="2"/>
  <c r="Q363" i="2"/>
  <c r="R295" i="2"/>
  <c r="R294" i="2"/>
  <c r="R293" i="2"/>
  <c r="R292" i="2"/>
  <c r="R282" i="2"/>
  <c r="D363" i="2"/>
  <c r="X281" i="2"/>
  <c r="X282" i="2"/>
  <c r="R281" i="2"/>
  <c r="R291" i="2"/>
  <c r="R290" i="2"/>
  <c r="G363" i="2"/>
  <c r="R289" i="2"/>
  <c r="R288" i="2"/>
  <c r="R287" i="2"/>
  <c r="R286" i="2"/>
  <c r="O112" i="1"/>
  <c r="K131" i="1"/>
  <c r="R284" i="2"/>
  <c r="R283" i="2"/>
  <c r="R280" i="2"/>
  <c r="R279" i="2"/>
  <c r="R275" i="2"/>
  <c r="R274" i="2"/>
  <c r="R273" i="2"/>
  <c r="O110" i="1"/>
  <c r="R272" i="2"/>
  <c r="R271" i="2"/>
  <c r="O109" i="1"/>
  <c r="R270" i="2"/>
  <c r="R269" i="2"/>
  <c r="R267" i="2"/>
  <c r="F94" i="4"/>
  <c r="R76" i="4"/>
  <c r="E94" i="4"/>
  <c r="R102" i="4"/>
  <c r="O60" i="1"/>
  <c r="R215" i="2"/>
  <c r="D94" i="4"/>
  <c r="J112" i="4"/>
  <c r="R100" i="4"/>
  <c r="I112" i="4"/>
  <c r="R99" i="4"/>
  <c r="O76" i="3"/>
  <c r="O82" i="3" s="1"/>
  <c r="R98" i="4"/>
  <c r="M112" i="4"/>
  <c r="X96" i="4"/>
  <c r="R96" i="4"/>
  <c r="X194" i="2"/>
  <c r="R194" i="2"/>
  <c r="R191" i="2"/>
  <c r="E253" i="2"/>
  <c r="R184" i="2"/>
  <c r="R200" i="2"/>
  <c r="R199" i="2"/>
  <c r="R198" i="2"/>
  <c r="X198" i="2"/>
  <c r="X199" i="2"/>
  <c r="X200" i="2"/>
  <c r="X188" i="2"/>
  <c r="X197" i="2"/>
  <c r="X190" i="2"/>
  <c r="R190" i="2"/>
  <c r="I253" i="2"/>
  <c r="R178" i="2"/>
  <c r="O59" i="1"/>
  <c r="R176" i="2"/>
  <c r="N93" i="1"/>
  <c r="R174" i="2"/>
  <c r="G253" i="2"/>
  <c r="O56" i="1"/>
  <c r="U56" i="1"/>
  <c r="U57" i="1"/>
  <c r="U58" i="1"/>
  <c r="U59" i="1"/>
  <c r="O52" i="1"/>
  <c r="G93" i="1"/>
  <c r="U52" i="1"/>
  <c r="R170" i="2"/>
  <c r="R169" i="2"/>
  <c r="X169" i="2"/>
  <c r="X170" i="2"/>
  <c r="X171" i="2"/>
  <c r="X173" i="2"/>
  <c r="X174" i="2"/>
  <c r="X176" i="2"/>
  <c r="X177" i="2"/>
  <c r="X178" i="2"/>
  <c r="X179" i="2"/>
  <c r="X180" i="2"/>
  <c r="X181" i="2"/>
  <c r="R158" i="2"/>
  <c r="O51" i="1"/>
  <c r="X157" i="2"/>
  <c r="R157" i="2"/>
  <c r="O61" i="1"/>
  <c r="R213" i="2"/>
  <c r="R204" i="2"/>
  <c r="X193" i="2"/>
  <c r="R193" i="2"/>
  <c r="R197" i="2"/>
  <c r="Y197" i="2" s="1"/>
  <c r="X201" i="2"/>
  <c r="R201" i="2"/>
  <c r="R202" i="2"/>
  <c r="R196" i="2"/>
  <c r="R192" i="2"/>
  <c r="X187" i="2"/>
  <c r="D253" i="2"/>
  <c r="R185" i="2"/>
  <c r="R154" i="2"/>
  <c r="X54" i="4"/>
  <c r="X192" i="4"/>
  <c r="X188" i="4"/>
  <c r="X186" i="4"/>
  <c r="X185" i="4"/>
  <c r="X184" i="4"/>
  <c r="X183" i="4"/>
  <c r="X172" i="4"/>
  <c r="Y172" i="4" s="1"/>
  <c r="X171" i="4"/>
  <c r="X170" i="4"/>
  <c r="X157" i="4"/>
  <c r="X156" i="4"/>
  <c r="X150" i="4"/>
  <c r="X149" i="4"/>
  <c r="X148" i="4"/>
  <c r="X132" i="4"/>
  <c r="X131" i="4"/>
  <c r="X122" i="4"/>
  <c r="X121" i="4"/>
  <c r="X120" i="4"/>
  <c r="X115" i="4"/>
  <c r="X114" i="4"/>
  <c r="X113" i="4"/>
  <c r="X108" i="4"/>
  <c r="X107" i="4"/>
  <c r="X106" i="4"/>
  <c r="X105" i="4"/>
  <c r="X104" i="4"/>
  <c r="X103" i="4"/>
  <c r="X102" i="4"/>
  <c r="X101" i="4"/>
  <c r="X100" i="4"/>
  <c r="X99" i="4"/>
  <c r="X98" i="4"/>
  <c r="X97" i="4"/>
  <c r="X90" i="4"/>
  <c r="X89" i="4"/>
  <c r="X88" i="4"/>
  <c r="X87" i="4"/>
  <c r="X86" i="4"/>
  <c r="X85" i="4"/>
  <c r="X84" i="4"/>
  <c r="X83" i="4"/>
  <c r="X82" i="4"/>
  <c r="Y82" i="4" s="1"/>
  <c r="X81" i="4"/>
  <c r="X80" i="4"/>
  <c r="X79" i="4"/>
  <c r="X78" i="4"/>
  <c r="X77" i="4"/>
  <c r="X76" i="4"/>
  <c r="X69" i="4"/>
  <c r="X68" i="4"/>
  <c r="X67" i="4"/>
  <c r="X66" i="4"/>
  <c r="X65" i="4"/>
  <c r="X64" i="4"/>
  <c r="X62" i="4"/>
  <c r="X61" i="4"/>
  <c r="X60" i="4"/>
  <c r="X59" i="4"/>
  <c r="X58" i="4"/>
  <c r="X57" i="4"/>
  <c r="X56" i="4"/>
  <c r="X55" i="4"/>
  <c r="X35" i="4"/>
  <c r="X32" i="4"/>
  <c r="X21" i="4"/>
  <c r="X20" i="4"/>
  <c r="X19" i="4"/>
  <c r="X18" i="4"/>
  <c r="X15" i="4"/>
  <c r="R192" i="4"/>
  <c r="R188" i="4"/>
  <c r="R186" i="4"/>
  <c r="R185" i="4"/>
  <c r="R184" i="4"/>
  <c r="R183" i="4"/>
  <c r="R171" i="4"/>
  <c r="R157" i="4"/>
  <c r="R150" i="4"/>
  <c r="R149" i="4"/>
  <c r="R148" i="4"/>
  <c r="Y147" i="4"/>
  <c r="R132" i="4"/>
  <c r="R131" i="4"/>
  <c r="R122" i="4"/>
  <c r="R115" i="4"/>
  <c r="R114" i="4"/>
  <c r="R113" i="4"/>
  <c r="R108" i="4"/>
  <c r="Y108" i="4" s="1"/>
  <c r="R107" i="4"/>
  <c r="R106" i="4"/>
  <c r="R105" i="4"/>
  <c r="R104" i="4"/>
  <c r="Y104" i="4" s="1"/>
  <c r="R103" i="4"/>
  <c r="R101" i="4"/>
  <c r="R90" i="4"/>
  <c r="R89" i="4"/>
  <c r="R88" i="4"/>
  <c r="R87" i="4"/>
  <c r="R86" i="4"/>
  <c r="R85" i="4"/>
  <c r="Y85" i="4" s="1"/>
  <c r="R84" i="4"/>
  <c r="R83" i="4"/>
  <c r="R82" i="4"/>
  <c r="R81" i="4"/>
  <c r="R80" i="4"/>
  <c r="R79" i="4"/>
  <c r="R78" i="4"/>
  <c r="R77" i="4"/>
  <c r="Y77" i="4" s="1"/>
  <c r="R69" i="4"/>
  <c r="R64" i="4"/>
  <c r="R62" i="4"/>
  <c r="R60" i="4"/>
  <c r="R57" i="4"/>
  <c r="R56" i="4"/>
  <c r="R55" i="4"/>
  <c r="R54" i="4"/>
  <c r="Y54" i="4" s="1"/>
  <c r="R42" i="4"/>
  <c r="R35" i="4"/>
  <c r="R18" i="4"/>
  <c r="R15" i="4"/>
  <c r="X389" i="2"/>
  <c r="X385" i="2"/>
  <c r="X384" i="2"/>
  <c r="X382" i="2"/>
  <c r="X378" i="2"/>
  <c r="X377" i="2"/>
  <c r="X376" i="2"/>
  <c r="X374" i="2"/>
  <c r="X372" i="2"/>
  <c r="X371" i="2"/>
  <c r="X370" i="2"/>
  <c r="X369" i="2"/>
  <c r="X368" i="2"/>
  <c r="X367" i="2"/>
  <c r="X366" i="2"/>
  <c r="X364" i="2"/>
  <c r="X319" i="2"/>
  <c r="X301" i="2"/>
  <c r="X300" i="2"/>
  <c r="Y300" i="2" s="1"/>
  <c r="X299" i="2"/>
  <c r="X298" i="2"/>
  <c r="X297" i="2"/>
  <c r="X296" i="2"/>
  <c r="X295" i="2"/>
  <c r="X294" i="2"/>
  <c r="X293" i="2"/>
  <c r="X292" i="2"/>
  <c r="X291" i="2"/>
  <c r="X290" i="2"/>
  <c r="X289" i="2"/>
  <c r="X288" i="2"/>
  <c r="X287" i="2"/>
  <c r="X286" i="2"/>
  <c r="X285" i="2"/>
  <c r="X284" i="2"/>
  <c r="X283" i="2"/>
  <c r="X280" i="2"/>
  <c r="X279" i="2"/>
  <c r="X278" i="2"/>
  <c r="X277" i="2"/>
  <c r="X276" i="2"/>
  <c r="X275" i="2"/>
  <c r="X274" i="2"/>
  <c r="X273" i="2"/>
  <c r="X272" i="2"/>
  <c r="X271" i="2"/>
  <c r="X270" i="2"/>
  <c r="X269" i="2"/>
  <c r="X267" i="2"/>
  <c r="X261" i="2"/>
  <c r="X260" i="2"/>
  <c r="X259" i="2"/>
  <c r="X258" i="2"/>
  <c r="X257" i="2"/>
  <c r="X256" i="2"/>
  <c r="X255" i="2"/>
  <c r="X254" i="2"/>
  <c r="X252" i="2"/>
  <c r="X251" i="2"/>
  <c r="X250" i="2"/>
  <c r="X249" i="2"/>
  <c r="X248" i="2"/>
  <c r="X247" i="2"/>
  <c r="X246" i="2"/>
  <c r="X245" i="2"/>
  <c r="X244" i="2"/>
  <c r="X243" i="2"/>
  <c r="X242" i="2"/>
  <c r="X241" i="2"/>
  <c r="X240" i="2"/>
  <c r="X239" i="2"/>
  <c r="X238" i="2"/>
  <c r="X237" i="2"/>
  <c r="X236" i="2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04" i="2"/>
  <c r="X203" i="2"/>
  <c r="X202" i="2"/>
  <c r="X196" i="2"/>
  <c r="X191" i="2"/>
  <c r="X185" i="2"/>
  <c r="X184" i="2"/>
  <c r="X160" i="2"/>
  <c r="X158" i="2"/>
  <c r="X154" i="2"/>
  <c r="X149" i="2"/>
  <c r="X148" i="2"/>
  <c r="Y148" i="2" s="1"/>
  <c r="X147" i="2"/>
  <c r="X146" i="2"/>
  <c r="X145" i="2"/>
  <c r="X144" i="2"/>
  <c r="Y144" i="2" s="1"/>
  <c r="X143" i="2"/>
  <c r="X142" i="2"/>
  <c r="X141" i="2"/>
  <c r="X132" i="2"/>
  <c r="X130" i="2"/>
  <c r="X129" i="2"/>
  <c r="X128" i="2"/>
  <c r="X127" i="2"/>
  <c r="X126" i="2"/>
  <c r="X125" i="2"/>
  <c r="X124" i="2"/>
  <c r="X123" i="2"/>
  <c r="Y123" i="2" s="1"/>
  <c r="X122" i="2"/>
  <c r="X121" i="2"/>
  <c r="X120" i="2"/>
  <c r="X118" i="2"/>
  <c r="Y118" i="2" s="1"/>
  <c r="X116" i="2"/>
  <c r="X115" i="2"/>
  <c r="X114" i="2"/>
  <c r="Y114" i="2" s="1"/>
  <c r="X113" i="2"/>
  <c r="X112" i="2"/>
  <c r="X111" i="2"/>
  <c r="X110" i="2"/>
  <c r="X109" i="2"/>
  <c r="X108" i="2"/>
  <c r="X107" i="2"/>
  <c r="X106" i="2"/>
  <c r="X105" i="2"/>
  <c r="X104" i="2"/>
  <c r="X97" i="2"/>
  <c r="X81" i="2"/>
  <c r="X54" i="2"/>
  <c r="X50" i="2"/>
  <c r="X48" i="2"/>
  <c r="X46" i="2"/>
  <c r="X45" i="2"/>
  <c r="X44" i="2"/>
  <c r="X43" i="2"/>
  <c r="X42" i="2"/>
  <c r="X41" i="2"/>
  <c r="X38" i="2"/>
  <c r="X33" i="2"/>
  <c r="X32" i="2"/>
  <c r="X23" i="2"/>
  <c r="X22" i="2"/>
  <c r="X21" i="2"/>
  <c r="X20" i="2"/>
  <c r="X19" i="2"/>
  <c r="Y19" i="2" s="1"/>
  <c r="X18" i="2"/>
  <c r="R389" i="2"/>
  <c r="Y389" i="2" s="1"/>
  <c r="R385" i="2"/>
  <c r="R384" i="2"/>
  <c r="R382" i="2"/>
  <c r="R378" i="2"/>
  <c r="R377" i="2"/>
  <c r="R376" i="2"/>
  <c r="R374" i="2"/>
  <c r="R372" i="2"/>
  <c r="R371" i="2"/>
  <c r="R370" i="2"/>
  <c r="R369" i="2"/>
  <c r="R368" i="2"/>
  <c r="R367" i="2"/>
  <c r="R366" i="2"/>
  <c r="R364" i="2"/>
  <c r="R261" i="2"/>
  <c r="R260" i="2"/>
  <c r="R259" i="2"/>
  <c r="R258" i="2"/>
  <c r="R257" i="2"/>
  <c r="R256" i="2"/>
  <c r="R255" i="2"/>
  <c r="R254" i="2"/>
  <c r="R252" i="2"/>
  <c r="R251" i="2"/>
  <c r="R250" i="2"/>
  <c r="R249" i="2"/>
  <c r="R248" i="2"/>
  <c r="R247" i="2"/>
  <c r="R246" i="2"/>
  <c r="R245" i="2"/>
  <c r="R244" i="2"/>
  <c r="R243" i="2"/>
  <c r="R242" i="2"/>
  <c r="R241" i="2"/>
  <c r="R240" i="2"/>
  <c r="R239" i="2"/>
  <c r="R238" i="2"/>
  <c r="R237" i="2"/>
  <c r="R236" i="2"/>
  <c r="R235" i="2"/>
  <c r="R234" i="2"/>
  <c r="R233" i="2"/>
  <c r="R232" i="2"/>
  <c r="R231" i="2"/>
  <c r="R230" i="2"/>
  <c r="R229" i="2"/>
  <c r="R228" i="2"/>
  <c r="R227" i="2"/>
  <c r="R226" i="2"/>
  <c r="R225" i="2"/>
  <c r="R224" i="2"/>
  <c r="R223" i="2"/>
  <c r="R222" i="2"/>
  <c r="R221" i="2"/>
  <c r="R220" i="2"/>
  <c r="R219" i="2"/>
  <c r="R218" i="2"/>
  <c r="R217" i="2"/>
  <c r="R216" i="2"/>
  <c r="R203" i="2"/>
  <c r="R127" i="2"/>
  <c r="R125" i="2"/>
  <c r="R111" i="2"/>
  <c r="R109" i="2"/>
  <c r="R107" i="2"/>
  <c r="R105" i="2"/>
  <c r="R97" i="2"/>
  <c r="R81" i="2"/>
  <c r="R50" i="2"/>
  <c r="R46" i="2"/>
  <c r="R45" i="2"/>
  <c r="R41" i="2"/>
  <c r="R15" i="2"/>
  <c r="X15" i="2"/>
  <c r="K151" i="2"/>
  <c r="R104" i="2"/>
  <c r="U49" i="3"/>
  <c r="U48" i="1"/>
  <c r="W48" i="1" s="1"/>
  <c r="R122" i="2"/>
  <c r="G151" i="2"/>
  <c r="E151" i="2"/>
  <c r="R116" i="2"/>
  <c r="R108" i="2"/>
  <c r="R67" i="4"/>
  <c r="R66" i="4"/>
  <c r="M71" i="4"/>
  <c r="R61" i="4"/>
  <c r="E71" i="4"/>
  <c r="R59" i="4"/>
  <c r="R20" i="2"/>
  <c r="U151" i="2"/>
  <c r="V151" i="2"/>
  <c r="U17" i="2"/>
  <c r="V17" i="2"/>
  <c r="T190" i="4"/>
  <c r="U190" i="4"/>
  <c r="T177" i="4"/>
  <c r="U177" i="4"/>
  <c r="T174" i="4"/>
  <c r="U174" i="4"/>
  <c r="T163" i="4"/>
  <c r="U163" i="4"/>
  <c r="T154" i="4"/>
  <c r="U154" i="4"/>
  <c r="T71" i="4"/>
  <c r="U71" i="4"/>
  <c r="T94" i="4"/>
  <c r="U94" i="4"/>
  <c r="T112" i="4"/>
  <c r="U112" i="4"/>
  <c r="T129" i="4"/>
  <c r="U129" i="4"/>
  <c r="T142" i="4"/>
  <c r="U142" i="4"/>
  <c r="T30" i="4"/>
  <c r="U30" i="4"/>
  <c r="U49" i="4" s="1"/>
  <c r="T17" i="4"/>
  <c r="U17" i="4"/>
  <c r="U363" i="2"/>
  <c r="V363" i="2"/>
  <c r="U262" i="2"/>
  <c r="V262" i="2"/>
  <c r="U253" i="2"/>
  <c r="W15" i="3"/>
  <c r="U160" i="3"/>
  <c r="U156" i="3"/>
  <c r="U155" i="3"/>
  <c r="U154" i="3"/>
  <c r="U153" i="3"/>
  <c r="U152" i="3"/>
  <c r="U151" i="3"/>
  <c r="U143" i="3"/>
  <c r="U141" i="3"/>
  <c r="U136" i="3"/>
  <c r="U135" i="3"/>
  <c r="U134" i="3"/>
  <c r="U133" i="3"/>
  <c r="U124" i="3"/>
  <c r="U123" i="3"/>
  <c r="U122" i="3"/>
  <c r="U121" i="3"/>
  <c r="U116" i="3"/>
  <c r="U115" i="3"/>
  <c r="U114" i="3"/>
  <c r="U113" i="3"/>
  <c r="U112" i="3"/>
  <c r="U101" i="3"/>
  <c r="U100" i="3"/>
  <c r="U99" i="3"/>
  <c r="U91" i="3"/>
  <c r="U90" i="3"/>
  <c r="U89" i="3"/>
  <c r="U84" i="3"/>
  <c r="W84" i="3" s="1"/>
  <c r="U78" i="3"/>
  <c r="U77" i="3"/>
  <c r="U76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1" i="3"/>
  <c r="U36" i="3"/>
  <c r="W36" i="3" s="1"/>
  <c r="U35" i="3"/>
  <c r="U32" i="3"/>
  <c r="U28" i="3"/>
  <c r="U20" i="3"/>
  <c r="O17" i="3"/>
  <c r="Q16" i="3"/>
  <c r="R16" i="3"/>
  <c r="S16" i="3"/>
  <c r="U14" i="3"/>
  <c r="U16" i="3" s="1"/>
  <c r="O160" i="3"/>
  <c r="O156" i="3"/>
  <c r="O155" i="3"/>
  <c r="O154" i="3"/>
  <c r="O153" i="3"/>
  <c r="O152" i="3"/>
  <c r="O151" i="3"/>
  <c r="O140" i="3"/>
  <c r="O136" i="3"/>
  <c r="O135" i="3"/>
  <c r="O134" i="3"/>
  <c r="O133" i="3"/>
  <c r="O124" i="3"/>
  <c r="O123" i="3"/>
  <c r="O122" i="3"/>
  <c r="O116" i="3"/>
  <c r="W116" i="3" s="1"/>
  <c r="O115" i="3"/>
  <c r="O114" i="3"/>
  <c r="O113" i="3"/>
  <c r="O112" i="3"/>
  <c r="W112" i="3" s="1"/>
  <c r="O99" i="3"/>
  <c r="O91" i="3"/>
  <c r="W91" i="3" s="1"/>
  <c r="O90" i="3"/>
  <c r="O89" i="3"/>
  <c r="O84" i="3"/>
  <c r="O78" i="3"/>
  <c r="W78" i="3" s="1"/>
  <c r="O77" i="3"/>
  <c r="O71" i="3"/>
  <c r="O70" i="3"/>
  <c r="O69" i="3"/>
  <c r="O68" i="3"/>
  <c r="W68" i="3" s="1"/>
  <c r="O67" i="3"/>
  <c r="O66" i="3"/>
  <c r="O65" i="3"/>
  <c r="W65" i="3" s="1"/>
  <c r="O64" i="3"/>
  <c r="W64" i="3" s="1"/>
  <c r="O63" i="3"/>
  <c r="O62" i="3"/>
  <c r="O61" i="3"/>
  <c r="O60" i="3"/>
  <c r="W60" i="3" s="1"/>
  <c r="O59" i="3"/>
  <c r="O58" i="3"/>
  <c r="O57" i="3"/>
  <c r="W57" i="3" s="1"/>
  <c r="O56" i="3"/>
  <c r="W56" i="3" s="1"/>
  <c r="O51" i="3"/>
  <c r="O49" i="3"/>
  <c r="O28" i="3"/>
  <c r="O20" i="3"/>
  <c r="O19" i="3"/>
  <c r="O18" i="3"/>
  <c r="O14" i="3"/>
  <c r="O16" i="3" s="1"/>
  <c r="U151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3" i="1"/>
  <c r="U110" i="1"/>
  <c r="U128" i="1"/>
  <c r="U127" i="1"/>
  <c r="U126" i="1"/>
  <c r="U125" i="1"/>
  <c r="U124" i="1"/>
  <c r="U123" i="1"/>
  <c r="U122" i="1"/>
  <c r="W122" i="1" s="1"/>
  <c r="U121" i="1"/>
  <c r="U117" i="1"/>
  <c r="U118" i="1"/>
  <c r="U116" i="1"/>
  <c r="U114" i="1"/>
  <c r="U113" i="1"/>
  <c r="U112" i="1"/>
  <c r="U111" i="1"/>
  <c r="U109" i="1"/>
  <c r="U108" i="1"/>
  <c r="U104" i="1"/>
  <c r="U103" i="1"/>
  <c r="U102" i="1"/>
  <c r="U101" i="1"/>
  <c r="U100" i="1"/>
  <c r="U99" i="1"/>
  <c r="U98" i="1"/>
  <c r="U97" i="1"/>
  <c r="U96" i="1"/>
  <c r="U95" i="1"/>
  <c r="U94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3" i="1"/>
  <c r="U62" i="1"/>
  <c r="U61" i="1"/>
  <c r="W61" i="1" s="1"/>
  <c r="U60" i="1"/>
  <c r="U51" i="1"/>
  <c r="U44" i="1"/>
  <c r="U31" i="1"/>
  <c r="W31" i="1" s="1"/>
  <c r="U17" i="1"/>
  <c r="O140" i="1"/>
  <c r="O141" i="1"/>
  <c r="O142" i="1"/>
  <c r="O143" i="1"/>
  <c r="O151" i="1"/>
  <c r="O147" i="1"/>
  <c r="O146" i="1"/>
  <c r="W146" i="1" s="1"/>
  <c r="O145" i="1"/>
  <c r="W145" i="1" s="1"/>
  <c r="O144" i="1"/>
  <c r="O139" i="1"/>
  <c r="O138" i="1"/>
  <c r="W138" i="1" s="1"/>
  <c r="O137" i="1"/>
  <c r="O136" i="1"/>
  <c r="O104" i="1"/>
  <c r="O103" i="1"/>
  <c r="O102" i="1"/>
  <c r="O101" i="1"/>
  <c r="O100" i="1"/>
  <c r="W100" i="1" s="1"/>
  <c r="O99" i="1"/>
  <c r="O98" i="1"/>
  <c r="O97" i="1"/>
  <c r="O96" i="1"/>
  <c r="O95" i="1"/>
  <c r="O94" i="1"/>
  <c r="O91" i="1"/>
  <c r="O90" i="1"/>
  <c r="W90" i="1" s="1"/>
  <c r="O89" i="1"/>
  <c r="O88" i="1"/>
  <c r="O87" i="1"/>
  <c r="W87" i="1" s="1"/>
  <c r="O86" i="1"/>
  <c r="O85" i="1"/>
  <c r="O84" i="1"/>
  <c r="O83" i="1"/>
  <c r="O82" i="1"/>
  <c r="O81" i="1"/>
  <c r="O80" i="1"/>
  <c r="O79" i="1"/>
  <c r="O78" i="1"/>
  <c r="W78" i="1" s="1"/>
  <c r="O77" i="1"/>
  <c r="O76" i="1"/>
  <c r="O75" i="1"/>
  <c r="O74" i="1"/>
  <c r="W74" i="1" s="1"/>
  <c r="O73" i="1"/>
  <c r="O72" i="1"/>
  <c r="O71" i="1"/>
  <c r="O70" i="1"/>
  <c r="W70" i="1" s="1"/>
  <c r="O69" i="1"/>
  <c r="O68" i="1"/>
  <c r="O63" i="1"/>
  <c r="O62" i="1"/>
  <c r="W62" i="1" s="1"/>
  <c r="O44" i="1"/>
  <c r="W92" i="1"/>
  <c r="W15" i="1"/>
  <c r="U14" i="1"/>
  <c r="U16" i="1" s="1"/>
  <c r="O14" i="1"/>
  <c r="L149" i="1"/>
  <c r="E149" i="1"/>
  <c r="Y16" i="2"/>
  <c r="M149" i="1"/>
  <c r="I149" i="1"/>
  <c r="J149" i="1"/>
  <c r="G149" i="1"/>
  <c r="F190" i="4"/>
  <c r="O174" i="4"/>
  <c r="E174" i="4"/>
  <c r="D174" i="4"/>
  <c r="W177" i="4"/>
  <c r="V177" i="4"/>
  <c r="Q177" i="4"/>
  <c r="P177" i="4"/>
  <c r="K177" i="4"/>
  <c r="J177" i="4"/>
  <c r="I177" i="4"/>
  <c r="H177" i="4"/>
  <c r="G177" i="4"/>
  <c r="G180" i="4" s="1"/>
  <c r="E177" i="4"/>
  <c r="O177" i="4"/>
  <c r="W174" i="4"/>
  <c r="V174" i="4"/>
  <c r="Q174" i="4"/>
  <c r="P174" i="4"/>
  <c r="P180" i="4" s="1"/>
  <c r="N174" i="4"/>
  <c r="M174" i="4"/>
  <c r="L174" i="4"/>
  <c r="K174" i="4"/>
  <c r="J174" i="4"/>
  <c r="I174" i="4"/>
  <c r="H174" i="4"/>
  <c r="X145" i="3"/>
  <c r="T145" i="3"/>
  <c r="S145" i="3"/>
  <c r="R145" i="3"/>
  <c r="Q145" i="3"/>
  <c r="N145" i="3"/>
  <c r="M145" i="3"/>
  <c r="L145" i="3"/>
  <c r="K145" i="3"/>
  <c r="J145" i="3"/>
  <c r="I145" i="3"/>
  <c r="H145" i="3"/>
  <c r="F145" i="3"/>
  <c r="D145" i="3"/>
  <c r="E145" i="3"/>
  <c r="T139" i="3"/>
  <c r="S139" i="3"/>
  <c r="R139" i="3"/>
  <c r="Q139" i="3"/>
  <c r="N139" i="3"/>
  <c r="M139" i="3"/>
  <c r="L139" i="3"/>
  <c r="K139" i="3"/>
  <c r="J139" i="3"/>
  <c r="I139" i="3"/>
  <c r="H139" i="3"/>
  <c r="G139" i="3"/>
  <c r="F139" i="3"/>
  <c r="E139" i="3"/>
  <c r="D139" i="3"/>
  <c r="X126" i="3"/>
  <c r="G126" i="3"/>
  <c r="E126" i="3"/>
  <c r="D126" i="3"/>
  <c r="D163" i="4"/>
  <c r="D17" i="2"/>
  <c r="D262" i="2"/>
  <c r="E17" i="2"/>
  <c r="E262" i="2"/>
  <c r="F17" i="2"/>
  <c r="F262" i="2"/>
  <c r="G17" i="2"/>
  <c r="G262" i="2"/>
  <c r="H17" i="2"/>
  <c r="H151" i="2"/>
  <c r="H262" i="2"/>
  <c r="I17" i="2"/>
  <c r="I262" i="2"/>
  <c r="J17" i="2"/>
  <c r="J262" i="2"/>
  <c r="K17" i="2"/>
  <c r="K262" i="2"/>
  <c r="L17" i="2"/>
  <c r="L262" i="2"/>
  <c r="M17" i="2"/>
  <c r="M262" i="2"/>
  <c r="N17" i="2"/>
  <c r="N253" i="2"/>
  <c r="N262" i="2"/>
  <c r="O17" i="2"/>
  <c r="O262" i="2"/>
  <c r="P17" i="2"/>
  <c r="P151" i="2"/>
  <c r="P253" i="2"/>
  <c r="P262" i="2"/>
  <c r="P363" i="2"/>
  <c r="Q17" i="2"/>
  <c r="Q151" i="2"/>
  <c r="Q262" i="2"/>
  <c r="T17" i="2"/>
  <c r="T103" i="2" s="1"/>
  <c r="T151" i="2"/>
  <c r="T262" i="2"/>
  <c r="W17" i="2"/>
  <c r="W151" i="2"/>
  <c r="W253" i="2"/>
  <c r="W262" i="2"/>
  <c r="W363" i="2"/>
  <c r="Z17" i="2"/>
  <c r="Z151" i="2"/>
  <c r="Z262" i="2"/>
  <c r="F154" i="4"/>
  <c r="F119" i="3"/>
  <c r="O163" i="4"/>
  <c r="Q17" i="4"/>
  <c r="Q30" i="4"/>
  <c r="Q71" i="4"/>
  <c r="Q94" i="4"/>
  <c r="Q112" i="4"/>
  <c r="Q129" i="4"/>
  <c r="Q142" i="4"/>
  <c r="Q154" i="4"/>
  <c r="Q163" i="4"/>
  <c r="Q190" i="4"/>
  <c r="V17" i="4"/>
  <c r="V30" i="4"/>
  <c r="V71" i="4"/>
  <c r="V94" i="4"/>
  <c r="V116" i="4" s="1"/>
  <c r="V112" i="4"/>
  <c r="V129" i="4"/>
  <c r="V142" i="4"/>
  <c r="V154" i="4"/>
  <c r="V166" i="4" s="1"/>
  <c r="V163" i="4"/>
  <c r="V190" i="4"/>
  <c r="W17" i="4"/>
  <c r="W30" i="4"/>
  <c r="W71" i="4"/>
  <c r="W94" i="4"/>
  <c r="W112" i="4"/>
  <c r="W129" i="4"/>
  <c r="W142" i="4"/>
  <c r="W154" i="4"/>
  <c r="W163" i="4"/>
  <c r="W190" i="4"/>
  <c r="D17" i="4"/>
  <c r="E17" i="4"/>
  <c r="F17" i="4"/>
  <c r="G17" i="4"/>
  <c r="G30" i="4"/>
  <c r="G71" i="4"/>
  <c r="G94" i="4"/>
  <c r="G112" i="4"/>
  <c r="H17" i="4"/>
  <c r="H30" i="4"/>
  <c r="H71" i="4"/>
  <c r="H94" i="4"/>
  <c r="H116" i="4" s="1"/>
  <c r="H112" i="4"/>
  <c r="I17" i="4"/>
  <c r="I30" i="4"/>
  <c r="I49" i="4" s="1"/>
  <c r="I71" i="4"/>
  <c r="I94" i="4"/>
  <c r="J17" i="4"/>
  <c r="J94" i="4"/>
  <c r="K17" i="4"/>
  <c r="K30" i="4"/>
  <c r="K49" i="4" s="1"/>
  <c r="K71" i="4"/>
  <c r="K94" i="4"/>
  <c r="K116" i="4" s="1"/>
  <c r="K112" i="4"/>
  <c r="L17" i="4"/>
  <c r="L30" i="4"/>
  <c r="L94" i="4"/>
  <c r="M17" i="4"/>
  <c r="M30" i="4"/>
  <c r="M49" i="4" s="1"/>
  <c r="M94" i="4"/>
  <c r="N17" i="4"/>
  <c r="N30" i="4"/>
  <c r="N71" i="4"/>
  <c r="N94" i="4"/>
  <c r="N112" i="4"/>
  <c r="O17" i="4"/>
  <c r="O30" i="4"/>
  <c r="O49" i="4" s="1"/>
  <c r="O71" i="4"/>
  <c r="O94" i="4"/>
  <c r="O112" i="4"/>
  <c r="P17" i="4"/>
  <c r="P30" i="4"/>
  <c r="P71" i="4"/>
  <c r="P94" i="4"/>
  <c r="P112" i="4"/>
  <c r="D142" i="4"/>
  <c r="F129" i="4"/>
  <c r="G129" i="4"/>
  <c r="G142" i="4"/>
  <c r="H129" i="4"/>
  <c r="H142" i="4"/>
  <c r="I129" i="4"/>
  <c r="I142" i="4"/>
  <c r="J129" i="4"/>
  <c r="J142" i="4"/>
  <c r="J144" i="4" s="1"/>
  <c r="K129" i="4"/>
  <c r="K142" i="4"/>
  <c r="L129" i="4"/>
  <c r="L142" i="4"/>
  <c r="L144" i="4" s="1"/>
  <c r="M129" i="4"/>
  <c r="M142" i="4"/>
  <c r="N129" i="4"/>
  <c r="N142" i="4"/>
  <c r="N144" i="4" s="1"/>
  <c r="O129" i="4"/>
  <c r="O142" i="4"/>
  <c r="P129" i="4"/>
  <c r="P142" i="4"/>
  <c r="G154" i="4"/>
  <c r="H154" i="4"/>
  <c r="I154" i="4"/>
  <c r="J154" i="4"/>
  <c r="K154" i="4"/>
  <c r="L154" i="4"/>
  <c r="M154" i="4"/>
  <c r="N154" i="4"/>
  <c r="O154" i="4"/>
  <c r="P154" i="4"/>
  <c r="G163" i="4"/>
  <c r="H163" i="4"/>
  <c r="I163" i="4"/>
  <c r="I166" i="4" s="1"/>
  <c r="J163" i="4"/>
  <c r="K163" i="4"/>
  <c r="L163" i="4"/>
  <c r="M163" i="4"/>
  <c r="P163" i="4"/>
  <c r="K190" i="4"/>
  <c r="L190" i="4"/>
  <c r="M190" i="4"/>
  <c r="N190" i="4"/>
  <c r="O190" i="4"/>
  <c r="P190" i="4"/>
  <c r="E190" i="4"/>
  <c r="G190" i="4"/>
  <c r="H190" i="4"/>
  <c r="I190" i="4"/>
  <c r="J190" i="4"/>
  <c r="D190" i="4"/>
  <c r="E16" i="3"/>
  <c r="E30" i="3"/>
  <c r="E44" i="3"/>
  <c r="E74" i="3"/>
  <c r="E82" i="3"/>
  <c r="E97" i="3"/>
  <c r="F16" i="3"/>
  <c r="F30" i="3"/>
  <c r="F74" i="3"/>
  <c r="F97" i="3"/>
  <c r="D16" i="3"/>
  <c r="D30" i="3"/>
  <c r="D46" i="3" s="1"/>
  <c r="D74" i="3"/>
  <c r="D82" i="3"/>
  <c r="D97" i="3"/>
  <c r="D106" i="3"/>
  <c r="D119" i="3"/>
  <c r="G16" i="3"/>
  <c r="G30" i="3"/>
  <c r="G44" i="3"/>
  <c r="G74" i="3"/>
  <c r="G82" i="3"/>
  <c r="G97" i="3"/>
  <c r="G109" i="3" s="1"/>
  <c r="G119" i="3"/>
  <c r="H16" i="3"/>
  <c r="H30" i="3"/>
  <c r="H74" i="3"/>
  <c r="H82" i="3"/>
  <c r="H97" i="3"/>
  <c r="H119" i="3"/>
  <c r="H126" i="3"/>
  <c r="I16" i="3"/>
  <c r="I30" i="3"/>
  <c r="I44" i="3"/>
  <c r="I74" i="3"/>
  <c r="I82" i="3"/>
  <c r="I97" i="3"/>
  <c r="I106" i="3"/>
  <c r="I119" i="3"/>
  <c r="I126" i="3"/>
  <c r="J16" i="3"/>
  <c r="J30" i="3"/>
  <c r="J44" i="3"/>
  <c r="J74" i="3"/>
  <c r="J82" i="3"/>
  <c r="J97" i="3"/>
  <c r="J106" i="3"/>
  <c r="J109" i="3" s="1"/>
  <c r="J119" i="3"/>
  <c r="J126" i="3"/>
  <c r="K16" i="3"/>
  <c r="K30" i="3"/>
  <c r="K44" i="3"/>
  <c r="K74" i="3"/>
  <c r="K82" i="3"/>
  <c r="K97" i="3"/>
  <c r="K106" i="3"/>
  <c r="K119" i="3"/>
  <c r="K126" i="3"/>
  <c r="L16" i="3"/>
  <c r="L30" i="3"/>
  <c r="L44" i="3"/>
  <c r="L74" i="3"/>
  <c r="L82" i="3"/>
  <c r="L97" i="3"/>
  <c r="L106" i="3"/>
  <c r="L119" i="3"/>
  <c r="L126" i="3"/>
  <c r="M16" i="3"/>
  <c r="M30" i="3"/>
  <c r="M44" i="3"/>
  <c r="M74" i="3"/>
  <c r="M82" i="3"/>
  <c r="M97" i="3"/>
  <c r="M106" i="3"/>
  <c r="M119" i="3"/>
  <c r="M126" i="3"/>
  <c r="N16" i="3"/>
  <c r="N30" i="3"/>
  <c r="N44" i="3"/>
  <c r="N74" i="3"/>
  <c r="N82" i="3"/>
  <c r="N97" i="3"/>
  <c r="N106" i="3"/>
  <c r="N119" i="3"/>
  <c r="Q46" i="3"/>
  <c r="Q74" i="3"/>
  <c r="Q82" i="3"/>
  <c r="Q97" i="3"/>
  <c r="Q106" i="3"/>
  <c r="Q119" i="3"/>
  <c r="Q126" i="3"/>
  <c r="R46" i="3"/>
  <c r="R74" i="3"/>
  <c r="R82" i="3"/>
  <c r="R97" i="3"/>
  <c r="R106" i="3"/>
  <c r="R119" i="3"/>
  <c r="R126" i="3"/>
  <c r="S30" i="3"/>
  <c r="S44" i="3"/>
  <c r="S74" i="3"/>
  <c r="S82" i="3"/>
  <c r="S97" i="3"/>
  <c r="S106" i="3"/>
  <c r="S119" i="3"/>
  <c r="S126" i="3"/>
  <c r="T16" i="3"/>
  <c r="T30" i="3"/>
  <c r="T44" i="3"/>
  <c r="T74" i="3"/>
  <c r="T82" i="3"/>
  <c r="T97" i="3"/>
  <c r="T106" i="3"/>
  <c r="T119" i="3"/>
  <c r="T126" i="3"/>
  <c r="D158" i="3"/>
  <c r="E158" i="3"/>
  <c r="F158" i="3"/>
  <c r="G158" i="3"/>
  <c r="H158" i="3"/>
  <c r="I158" i="3"/>
  <c r="J158" i="3"/>
  <c r="K158" i="3"/>
  <c r="L158" i="3"/>
  <c r="M158" i="3"/>
  <c r="N158" i="3"/>
  <c r="Q158" i="3"/>
  <c r="R158" i="3"/>
  <c r="S158" i="3"/>
  <c r="T158" i="3"/>
  <c r="X16" i="3"/>
  <c r="X44" i="3"/>
  <c r="X82" i="3"/>
  <c r="X106" i="3"/>
  <c r="X158" i="3"/>
  <c r="S131" i="1"/>
  <c r="N131" i="1"/>
  <c r="T131" i="1"/>
  <c r="S16" i="1"/>
  <c r="S46" i="1"/>
  <c r="S93" i="1"/>
  <c r="M16" i="1"/>
  <c r="M46" i="1"/>
  <c r="M47" i="1" s="1"/>
  <c r="M49" i="1" s="1"/>
  <c r="M50" i="1" s="1"/>
  <c r="M93" i="1"/>
  <c r="M105" i="1"/>
  <c r="N16" i="1"/>
  <c r="N46" i="1"/>
  <c r="N105" i="1"/>
  <c r="R131" i="1"/>
  <c r="R16" i="1"/>
  <c r="R93" i="1"/>
  <c r="R105" i="1"/>
  <c r="T16" i="1"/>
  <c r="T46" i="1"/>
  <c r="T93" i="1"/>
  <c r="T105" i="1"/>
  <c r="E16" i="1"/>
  <c r="E46" i="1"/>
  <c r="E93" i="1"/>
  <c r="E105" i="1"/>
  <c r="F16" i="1"/>
  <c r="F46" i="1"/>
  <c r="F93" i="1"/>
  <c r="F105" i="1"/>
  <c r="L16" i="1"/>
  <c r="L46" i="1"/>
  <c r="L93" i="1"/>
  <c r="L105" i="1"/>
  <c r="J16" i="1"/>
  <c r="J46" i="1"/>
  <c r="J105" i="1"/>
  <c r="D16" i="1"/>
  <c r="D105" i="1"/>
  <c r="G16" i="1"/>
  <c r="G46" i="1"/>
  <c r="G105" i="1"/>
  <c r="H16" i="1"/>
  <c r="H105" i="1"/>
  <c r="I16" i="1"/>
  <c r="I105" i="1"/>
  <c r="K16" i="1"/>
  <c r="K47" i="1" s="1"/>
  <c r="K49" i="1" s="1"/>
  <c r="K50" i="1" s="1"/>
  <c r="K105" i="1"/>
  <c r="Q16" i="1"/>
  <c r="Q47" i="1" s="1"/>
  <c r="Q49" i="1" s="1"/>
  <c r="Q50" i="1" s="1"/>
  <c r="Q106" i="1" s="1"/>
  <c r="Q107" i="1" s="1"/>
  <c r="Q46" i="1"/>
  <c r="Q93" i="1"/>
  <c r="Q105" i="1"/>
  <c r="Q131" i="1"/>
  <c r="W96" i="3"/>
  <c r="Y16" i="4"/>
  <c r="K149" i="1"/>
  <c r="N149" i="1"/>
  <c r="R149" i="1"/>
  <c r="T149" i="1"/>
  <c r="W107" i="3"/>
  <c r="I449" i="3"/>
  <c r="I441" i="1"/>
  <c r="E154" i="4"/>
  <c r="O253" i="2"/>
  <c r="N177" i="4"/>
  <c r="N180" i="4" s="1"/>
  <c r="D154" i="4"/>
  <c r="D166" i="4" s="1"/>
  <c r="N163" i="4"/>
  <c r="D129" i="4"/>
  <c r="D144" i="4" s="1"/>
  <c r="O363" i="2"/>
  <c r="N151" i="2"/>
  <c r="T363" i="2"/>
  <c r="T253" i="2"/>
  <c r="O151" i="2"/>
  <c r="M131" i="1"/>
  <c r="E119" i="3"/>
  <c r="N126" i="3"/>
  <c r="E106" i="3"/>
  <c r="X74" i="3"/>
  <c r="Q149" i="1"/>
  <c r="F149" i="1"/>
  <c r="E131" i="1"/>
  <c r="S149" i="1"/>
  <c r="V253" i="2"/>
  <c r="X192" i="2"/>
  <c r="L112" i="4"/>
  <c r="D112" i="4"/>
  <c r="D116" i="4" s="1"/>
  <c r="R58" i="4"/>
  <c r="D71" i="4"/>
  <c r="E112" i="4"/>
  <c r="E116" i="4" s="1"/>
  <c r="F82" i="3"/>
  <c r="F86" i="3" s="1"/>
  <c r="R97" i="4"/>
  <c r="F112" i="4"/>
  <c r="R171" i="2"/>
  <c r="O58" i="1"/>
  <c r="O114" i="1"/>
  <c r="W114" i="1" s="1"/>
  <c r="O133" i="1"/>
  <c r="K93" i="1"/>
  <c r="O123" i="1"/>
  <c r="O126" i="1"/>
  <c r="L131" i="1"/>
  <c r="D131" i="1"/>
  <c r="I93" i="1"/>
  <c r="F131" i="1"/>
  <c r="O124" i="1"/>
  <c r="W124" i="1" s="1"/>
  <c r="J131" i="1"/>
  <c r="I131" i="1"/>
  <c r="J93" i="1"/>
  <c r="H93" i="1"/>
  <c r="D93" i="1"/>
  <c r="O57" i="1"/>
  <c r="H131" i="1"/>
  <c r="O111" i="1"/>
  <c r="O108" i="1"/>
  <c r="E129" i="4"/>
  <c r="R181" i="2"/>
  <c r="M363" i="2"/>
  <c r="R278" i="2"/>
  <c r="R298" i="2"/>
  <c r="R277" i="2"/>
  <c r="J363" i="2"/>
  <c r="M253" i="2"/>
  <c r="R303" i="2"/>
  <c r="R180" i="2"/>
  <c r="D151" i="2"/>
  <c r="Z253" i="2"/>
  <c r="R160" i="2"/>
  <c r="R179" i="2"/>
  <c r="R188" i="2"/>
  <c r="R296" i="2"/>
  <c r="Y296" i="2" s="1"/>
  <c r="J253" i="2"/>
  <c r="R173" i="2"/>
  <c r="Q253" i="2"/>
  <c r="R177" i="2"/>
  <c r="R297" i="2"/>
  <c r="R187" i="2"/>
  <c r="K253" i="2"/>
  <c r="K363" i="2"/>
  <c r="R285" i="2"/>
  <c r="R110" i="2"/>
  <c r="H253" i="2"/>
  <c r="R214" i="2"/>
  <c r="F253" i="2"/>
  <c r="F387" i="2"/>
  <c r="F363" i="2"/>
  <c r="L363" i="2"/>
  <c r="N363" i="2"/>
  <c r="E363" i="2"/>
  <c r="H363" i="2"/>
  <c r="Z363" i="2"/>
  <c r="R112" i="2"/>
  <c r="L253" i="2"/>
  <c r="R276" i="2"/>
  <c r="F106" i="3"/>
  <c r="H106" i="3"/>
  <c r="X139" i="3"/>
  <c r="F126" i="3"/>
  <c r="F129" i="3" s="1"/>
  <c r="O121" i="3"/>
  <c r="O142" i="3"/>
  <c r="R170" i="4"/>
  <c r="E163" i="4"/>
  <c r="Y160" i="4"/>
  <c r="L177" i="4"/>
  <c r="Y161" i="4"/>
  <c r="Y155" i="4"/>
  <c r="W69" i="3"/>
  <c r="O101" i="3"/>
  <c r="Y152" i="4"/>
  <c r="R83" i="2"/>
  <c r="D30" i="4"/>
  <c r="U33" i="1"/>
  <c r="O35" i="3"/>
  <c r="N49" i="4"/>
  <c r="R68" i="4"/>
  <c r="T116" i="4"/>
  <c r="R36" i="4"/>
  <c r="L71" i="4"/>
  <c r="G99" i="2"/>
  <c r="R106" i="2"/>
  <c r="R130" i="2"/>
  <c r="R22" i="2"/>
  <c r="R62" i="2"/>
  <c r="Y74" i="2"/>
  <c r="R80" i="2"/>
  <c r="J99" i="2"/>
  <c r="O19" i="1"/>
  <c r="W19" i="1" s="1"/>
  <c r="W52" i="1"/>
  <c r="W42" i="1"/>
  <c r="D46" i="1"/>
  <c r="D47" i="1" s="1"/>
  <c r="D49" i="1" s="1"/>
  <c r="D50" i="1" s="1"/>
  <c r="Y30" i="2"/>
  <c r="D99" i="2"/>
  <c r="K99" i="2"/>
  <c r="R121" i="2"/>
  <c r="R21" i="2"/>
  <c r="R18" i="2"/>
  <c r="J151" i="2"/>
  <c r="R78" i="2"/>
  <c r="F99" i="2"/>
  <c r="Y55" i="2"/>
  <c r="R87" i="2"/>
  <c r="F151" i="2"/>
  <c r="L99" i="2"/>
  <c r="Z99" i="2"/>
  <c r="Y46" i="2" l="1"/>
  <c r="Y369" i="2"/>
  <c r="Y374" i="2"/>
  <c r="Y382" i="2"/>
  <c r="P166" i="4"/>
  <c r="V49" i="4"/>
  <c r="F144" i="4"/>
  <c r="Y122" i="4"/>
  <c r="M116" i="4"/>
  <c r="H180" i="4"/>
  <c r="Y78" i="4"/>
  <c r="Y86" i="4"/>
  <c r="Y149" i="4"/>
  <c r="Y105" i="4"/>
  <c r="Y158" i="4"/>
  <c r="Y68" i="4"/>
  <c r="I116" i="4"/>
  <c r="D180" i="4"/>
  <c r="R112" i="4"/>
  <c r="Y112" i="4" s="1"/>
  <c r="U116" i="4"/>
  <c r="U166" i="4"/>
  <c r="Y60" i="4"/>
  <c r="X112" i="4"/>
  <c r="L116" i="4"/>
  <c r="M180" i="4"/>
  <c r="T49" i="4"/>
  <c r="N116" i="4"/>
  <c r="L180" i="4"/>
  <c r="Y106" i="4"/>
  <c r="Y114" i="4"/>
  <c r="K166" i="4"/>
  <c r="G166" i="4"/>
  <c r="F116" i="4"/>
  <c r="W166" i="4"/>
  <c r="V144" i="4"/>
  <c r="Q166" i="4"/>
  <c r="V180" i="4"/>
  <c r="Y24" i="4"/>
  <c r="Y97" i="4"/>
  <c r="H144" i="4"/>
  <c r="G49" i="4"/>
  <c r="G53" i="4" s="1"/>
  <c r="G73" i="4" s="1"/>
  <c r="G74" i="4" s="1"/>
  <c r="J180" i="4"/>
  <c r="Y79" i="4"/>
  <c r="Y83" i="4"/>
  <c r="Y101" i="4"/>
  <c r="Y184" i="4"/>
  <c r="Y28" i="4"/>
  <c r="P116" i="4"/>
  <c r="W116" i="4"/>
  <c r="Q116" i="4"/>
  <c r="Y170" i="4"/>
  <c r="P49" i="4"/>
  <c r="J116" i="4"/>
  <c r="W49" i="4"/>
  <c r="W53" i="4" s="1"/>
  <c r="W73" i="4" s="1"/>
  <c r="W74" i="4" s="1"/>
  <c r="T166" i="4"/>
  <c r="X177" i="4"/>
  <c r="Y42" i="4"/>
  <c r="Y185" i="4"/>
  <c r="Y156" i="4"/>
  <c r="F109" i="3"/>
  <c r="W67" i="3"/>
  <c r="E148" i="3"/>
  <c r="M148" i="3"/>
  <c r="S148" i="3"/>
  <c r="W101" i="3"/>
  <c r="X148" i="3"/>
  <c r="K46" i="3"/>
  <c r="K47" i="3" s="1"/>
  <c r="K53" i="3" s="1"/>
  <c r="K54" i="3" s="1"/>
  <c r="J46" i="3"/>
  <c r="J47" i="3" s="1"/>
  <c r="J53" i="3" s="1"/>
  <c r="J54" i="3" s="1"/>
  <c r="U82" i="3"/>
  <c r="T86" i="3"/>
  <c r="W113" i="3"/>
  <c r="U119" i="3"/>
  <c r="W141" i="3"/>
  <c r="W102" i="3"/>
  <c r="W58" i="3"/>
  <c r="W62" i="3"/>
  <c r="W66" i="3"/>
  <c r="W121" i="3"/>
  <c r="W19" i="3"/>
  <c r="W99" i="3"/>
  <c r="X109" i="3"/>
  <c r="Q86" i="3"/>
  <c r="L86" i="3"/>
  <c r="Y80" i="2"/>
  <c r="Y366" i="2"/>
  <c r="Y370" i="2"/>
  <c r="Y376" i="2"/>
  <c r="Y384" i="2"/>
  <c r="T152" i="2"/>
  <c r="T153" i="2" s="1"/>
  <c r="Y345" i="2"/>
  <c r="Y298" i="2"/>
  <c r="Z103" i="2"/>
  <c r="Z152" i="2" s="1"/>
  <c r="Z153" i="2" s="1"/>
  <c r="Y316" i="2"/>
  <c r="Y354" i="2"/>
  <c r="W111" i="1"/>
  <c r="W94" i="1"/>
  <c r="Y180" i="2"/>
  <c r="Y357" i="2"/>
  <c r="Y192" i="2"/>
  <c r="Y335" i="2"/>
  <c r="Y347" i="2"/>
  <c r="Y317" i="2"/>
  <c r="Y59" i="4"/>
  <c r="Y150" i="4"/>
  <c r="Y124" i="4"/>
  <c r="Y58" i="4"/>
  <c r="Y132" i="4"/>
  <c r="Y69" i="4"/>
  <c r="Y103" i="4"/>
  <c r="Y107" i="4"/>
  <c r="Y115" i="4"/>
  <c r="Y98" i="4"/>
  <c r="Y44" i="4"/>
  <c r="Y186" i="4"/>
  <c r="W141" i="1"/>
  <c r="W153" i="3"/>
  <c r="W160" i="3"/>
  <c r="W119" i="1"/>
  <c r="W127" i="1"/>
  <c r="W120" i="1"/>
  <c r="W154" i="3"/>
  <c r="Y309" i="2"/>
  <c r="Y349" i="2"/>
  <c r="Y355" i="2"/>
  <c r="Q153" i="1"/>
  <c r="W136" i="3"/>
  <c r="W117" i="1"/>
  <c r="W109" i="1"/>
  <c r="Y173" i="2"/>
  <c r="Y337" i="2"/>
  <c r="Y303" i="2"/>
  <c r="Y280" i="2"/>
  <c r="Y313" i="2"/>
  <c r="Y339" i="2"/>
  <c r="Y297" i="2"/>
  <c r="Y278" i="2"/>
  <c r="Y307" i="2"/>
  <c r="Y273" i="2"/>
  <c r="Y291" i="2"/>
  <c r="Y295" i="2"/>
  <c r="Y85" i="2"/>
  <c r="Y277" i="2"/>
  <c r="Y322" i="2"/>
  <c r="O116" i="4"/>
  <c r="Y157" i="4"/>
  <c r="Y102" i="4"/>
  <c r="Y148" i="4"/>
  <c r="Y131" i="4"/>
  <c r="Y113" i="4"/>
  <c r="Y96" i="4"/>
  <c r="R163" i="4"/>
  <c r="X174" i="4"/>
  <c r="W180" i="4"/>
  <c r="R142" i="4"/>
  <c r="R190" i="4"/>
  <c r="X190" i="4"/>
  <c r="X129" i="4"/>
  <c r="Y129" i="4" s="1"/>
  <c r="R129" i="4"/>
  <c r="F166" i="4"/>
  <c r="K180" i="4"/>
  <c r="R177" i="4"/>
  <c r="N166" i="4"/>
  <c r="O166" i="4"/>
  <c r="J86" i="3"/>
  <c r="X86" i="3"/>
  <c r="I86" i="3"/>
  <c r="W77" i="3"/>
  <c r="X129" i="3"/>
  <c r="Q109" i="3"/>
  <c r="J129" i="3"/>
  <c r="W115" i="3"/>
  <c r="H109" i="3"/>
  <c r="W152" i="3"/>
  <c r="S109" i="3"/>
  <c r="K109" i="3"/>
  <c r="U106" i="3"/>
  <c r="O119" i="3"/>
  <c r="J148" i="3"/>
  <c r="N148" i="3"/>
  <c r="T148" i="3"/>
  <c r="W114" i="3"/>
  <c r="W123" i="3"/>
  <c r="W135" i="3"/>
  <c r="W156" i="3"/>
  <c r="W90" i="3"/>
  <c r="E129" i="3"/>
  <c r="W103" i="3"/>
  <c r="Y341" i="2"/>
  <c r="Y255" i="2"/>
  <c r="L103" i="2"/>
  <c r="L152" i="2" s="1"/>
  <c r="L153" i="2" s="1"/>
  <c r="J103" i="2"/>
  <c r="J152" i="2" s="1"/>
  <c r="J153" i="2" s="1"/>
  <c r="J263" i="2" s="1"/>
  <c r="J264" i="2" s="1"/>
  <c r="J391" i="2" s="1"/>
  <c r="Y276" i="2"/>
  <c r="Y259" i="2"/>
  <c r="Y287" i="2"/>
  <c r="Y321" i="2"/>
  <c r="Y312" i="2"/>
  <c r="Y224" i="2"/>
  <c r="Y244" i="2"/>
  <c r="Y113" i="2"/>
  <c r="W118" i="1"/>
  <c r="W57" i="1"/>
  <c r="W123" i="1"/>
  <c r="T47" i="1"/>
  <c r="T49" i="1" s="1"/>
  <c r="T50" i="1" s="1"/>
  <c r="T106" i="1" s="1"/>
  <c r="T107" i="1" s="1"/>
  <c r="T153" i="1" s="1"/>
  <c r="W140" i="1"/>
  <c r="W69" i="1"/>
  <c r="W73" i="1"/>
  <c r="W77" i="1"/>
  <c r="W81" i="1"/>
  <c r="W85" i="1"/>
  <c r="W89" i="1"/>
  <c r="W95" i="1"/>
  <c r="W99" i="1"/>
  <c r="W103" i="1"/>
  <c r="W143" i="1"/>
  <c r="W121" i="1"/>
  <c r="W125" i="1"/>
  <c r="W59" i="1"/>
  <c r="W56" i="1"/>
  <c r="O131" i="1"/>
  <c r="Y219" i="2"/>
  <c r="Y243" i="2"/>
  <c r="Y251" i="2"/>
  <c r="Y246" i="2"/>
  <c r="Y201" i="2"/>
  <c r="Y329" i="2"/>
  <c r="Y227" i="2"/>
  <c r="Y256" i="2"/>
  <c r="Y260" i="2"/>
  <c r="Y344" i="2"/>
  <c r="Y350" i="2"/>
  <c r="Y348" i="2"/>
  <c r="Y372" i="2"/>
  <c r="Y323" i="2"/>
  <c r="Y319" i="2"/>
  <c r="T263" i="2"/>
  <c r="T264" i="2" s="1"/>
  <c r="T391" i="2" s="1"/>
  <c r="Y385" i="2"/>
  <c r="Y267" i="2"/>
  <c r="Y326" i="2"/>
  <c r="Y328" i="2"/>
  <c r="Y360" i="2"/>
  <c r="Y234" i="2"/>
  <c r="Y169" i="2"/>
  <c r="W58" i="1"/>
  <c r="Y185" i="2"/>
  <c r="Y199" i="2"/>
  <c r="Y91" i="2"/>
  <c r="W63" i="3"/>
  <c r="Y97" i="2"/>
  <c r="Y196" i="2"/>
  <c r="Y213" i="2"/>
  <c r="Y203" i="2"/>
  <c r="Y223" i="2"/>
  <c r="Y231" i="2"/>
  <c r="Y235" i="2"/>
  <c r="Y239" i="2"/>
  <c r="Y247" i="2"/>
  <c r="R86" i="3"/>
  <c r="Y214" i="2"/>
  <c r="Y218" i="2"/>
  <c r="Y222" i="2"/>
  <c r="Y226" i="2"/>
  <c r="Y230" i="2"/>
  <c r="Y238" i="2"/>
  <c r="Y242" i="2"/>
  <c r="Y250" i="2"/>
  <c r="Y204" i="2"/>
  <c r="X94" i="4"/>
  <c r="Y81" i="4"/>
  <c r="R94" i="4"/>
  <c r="Y237" i="2"/>
  <c r="Y177" i="2"/>
  <c r="Y184" i="2"/>
  <c r="W38" i="1"/>
  <c r="W72" i="1"/>
  <c r="W33" i="1"/>
  <c r="W76" i="1"/>
  <c r="W80" i="1"/>
  <c r="W84" i="1"/>
  <c r="W88" i="1"/>
  <c r="U93" i="1"/>
  <c r="W91" i="1"/>
  <c r="Y160" i="2"/>
  <c r="Y217" i="2"/>
  <c r="Y221" i="2"/>
  <c r="Y225" i="2"/>
  <c r="Y229" i="2"/>
  <c r="Y233" i="2"/>
  <c r="Y241" i="2"/>
  <c r="Y245" i="2"/>
  <c r="Y176" i="2"/>
  <c r="Y181" i="2"/>
  <c r="Y171" i="2"/>
  <c r="Y41" i="2"/>
  <c r="Y170" i="2"/>
  <c r="Y76" i="4"/>
  <c r="Y157" i="2"/>
  <c r="X253" i="2"/>
  <c r="Z263" i="2"/>
  <c r="Z264" i="2" s="1"/>
  <c r="Z391" i="2" s="1"/>
  <c r="K53" i="4"/>
  <c r="K73" i="4" s="1"/>
  <c r="K74" i="4" s="1"/>
  <c r="K117" i="4" s="1"/>
  <c r="K118" i="4" s="1"/>
  <c r="N53" i="4"/>
  <c r="N73" i="4" s="1"/>
  <c r="N74" i="4" s="1"/>
  <c r="N117" i="4" s="1"/>
  <c r="N118" i="4" s="1"/>
  <c r="N145" i="4" s="1"/>
  <c r="N146" i="4" s="1"/>
  <c r="N167" i="4" s="1"/>
  <c r="N168" i="4" s="1"/>
  <c r="N181" i="4" s="1"/>
  <c r="N194" i="4" s="1"/>
  <c r="X17" i="4"/>
  <c r="X71" i="4"/>
  <c r="Y55" i="4"/>
  <c r="H49" i="4"/>
  <c r="H53" i="4" s="1"/>
  <c r="H73" i="4" s="1"/>
  <c r="H74" i="4" s="1"/>
  <c r="H117" i="4" s="1"/>
  <c r="H118" i="4" s="1"/>
  <c r="H145" i="4" s="1"/>
  <c r="H146" i="4" s="1"/>
  <c r="Y64" i="4"/>
  <c r="X154" i="4"/>
  <c r="O144" i="4"/>
  <c r="M144" i="4"/>
  <c r="K144" i="4"/>
  <c r="G144" i="4"/>
  <c r="E180" i="4"/>
  <c r="U144" i="4"/>
  <c r="U180" i="4"/>
  <c r="Y171" i="4"/>
  <c r="Y192" i="4"/>
  <c r="Y123" i="4"/>
  <c r="E144" i="4"/>
  <c r="J166" i="4"/>
  <c r="I180" i="4"/>
  <c r="T180" i="4"/>
  <c r="Y183" i="4"/>
  <c r="Y188" i="4"/>
  <c r="R154" i="4"/>
  <c r="E166" i="4"/>
  <c r="W144" i="4"/>
  <c r="Q144" i="4"/>
  <c r="Y133" i="4"/>
  <c r="Y137" i="4"/>
  <c r="H166" i="4"/>
  <c r="Q180" i="4"/>
  <c r="T144" i="4"/>
  <c r="Y99" i="4"/>
  <c r="Y120" i="4"/>
  <c r="Y121" i="4"/>
  <c r="I144" i="4"/>
  <c r="X142" i="4"/>
  <c r="O180" i="4"/>
  <c r="Y134" i="4"/>
  <c r="Y100" i="4"/>
  <c r="Y138" i="4"/>
  <c r="L166" i="4"/>
  <c r="P144" i="4"/>
  <c r="G116" i="4"/>
  <c r="F180" i="4"/>
  <c r="W28" i="3"/>
  <c r="Q47" i="3"/>
  <c r="Q53" i="3" s="1"/>
  <c r="Q54" i="3" s="1"/>
  <c r="Q87" i="3" s="1"/>
  <c r="Q88" i="3" s="1"/>
  <c r="W27" i="3"/>
  <c r="W51" i="3"/>
  <c r="W151" i="3"/>
  <c r="W155" i="3"/>
  <c r="O158" i="3"/>
  <c r="N109" i="3"/>
  <c r="F148" i="3"/>
  <c r="U145" i="3"/>
  <c r="S129" i="3"/>
  <c r="L109" i="3"/>
  <c r="K148" i="3"/>
  <c r="W89" i="3"/>
  <c r="U158" i="3"/>
  <c r="N129" i="3"/>
  <c r="G129" i="3"/>
  <c r="D109" i="3"/>
  <c r="H148" i="3"/>
  <c r="L148" i="3"/>
  <c r="R148" i="3"/>
  <c r="U97" i="3"/>
  <c r="W100" i="3"/>
  <c r="U126" i="3"/>
  <c r="R109" i="3"/>
  <c r="M109" i="3"/>
  <c r="E109" i="3"/>
  <c r="T109" i="3"/>
  <c r="W59" i="3"/>
  <c r="W133" i="3"/>
  <c r="D148" i="3"/>
  <c r="U74" i="3"/>
  <c r="U86" i="3" s="1"/>
  <c r="I103" i="2"/>
  <c r="Y67" i="2"/>
  <c r="Y72" i="2"/>
  <c r="P103" i="2"/>
  <c r="P152" i="2" s="1"/>
  <c r="P153" i="2" s="1"/>
  <c r="P263" i="2" s="1"/>
  <c r="P264" i="2" s="1"/>
  <c r="P391" i="2" s="1"/>
  <c r="Y120" i="2"/>
  <c r="Y124" i="2"/>
  <c r="Y141" i="2"/>
  <c r="Y79" i="2"/>
  <c r="Y61" i="2"/>
  <c r="W103" i="2"/>
  <c r="W152" i="2" s="1"/>
  <c r="W153" i="2" s="1"/>
  <c r="W263" i="2" s="1"/>
  <c r="W264" i="2" s="1"/>
  <c r="W391" i="2" s="1"/>
  <c r="Y115" i="2"/>
  <c r="Y371" i="2"/>
  <c r="Y377" i="2"/>
  <c r="Y358" i="2"/>
  <c r="Y367" i="2"/>
  <c r="Y340" i="2"/>
  <c r="Y352" i="2"/>
  <c r="Y356" i="2"/>
  <c r="X363" i="2"/>
  <c r="Y274" i="2"/>
  <c r="Y292" i="2"/>
  <c r="Y281" i="2"/>
  <c r="Y305" i="2"/>
  <c r="Y285" i="2"/>
  <c r="Y301" i="2"/>
  <c r="Y279" i="2"/>
  <c r="Y310" i="2"/>
  <c r="Y286" i="2"/>
  <c r="Y342" i="2"/>
  <c r="R262" i="2"/>
  <c r="Y216" i="2"/>
  <c r="Y220" i="2"/>
  <c r="Y240" i="2"/>
  <c r="Y248" i="2"/>
  <c r="Y252" i="2"/>
  <c r="Y257" i="2"/>
  <c r="Y261" i="2"/>
  <c r="Y378" i="2"/>
  <c r="Y178" i="2"/>
  <c r="Y191" i="2"/>
  <c r="Y270" i="2"/>
  <c r="Y284" i="2"/>
  <c r="Y327" i="2"/>
  <c r="Y330" i="2"/>
  <c r="Y351" i="2"/>
  <c r="Y187" i="2"/>
  <c r="Y294" i="2"/>
  <c r="Y315" i="2"/>
  <c r="Y325" i="2"/>
  <c r="Y336" i="2"/>
  <c r="Y343" i="2"/>
  <c r="R363" i="2"/>
  <c r="Y190" i="2"/>
  <c r="Y282" i="2"/>
  <c r="Y359" i="2"/>
  <c r="W39" i="1"/>
  <c r="W40" i="1"/>
  <c r="W112" i="1"/>
  <c r="W142" i="1"/>
  <c r="U149" i="1"/>
  <c r="W108" i="1"/>
  <c r="W135" i="1"/>
  <c r="W98" i="1"/>
  <c r="U105" i="1"/>
  <c r="O93" i="1"/>
  <c r="W79" i="1"/>
  <c r="W83" i="1"/>
  <c r="W97" i="1"/>
  <c r="W101" i="1"/>
  <c r="W139" i="1"/>
  <c r="W147" i="1"/>
  <c r="W60" i="1"/>
  <c r="D106" i="1"/>
  <c r="D107" i="1" s="1"/>
  <c r="D153" i="1" s="1"/>
  <c r="O149" i="1"/>
  <c r="W126" i="1"/>
  <c r="W133" i="1"/>
  <c r="W82" i="3"/>
  <c r="O126" i="3"/>
  <c r="O129" i="3" s="1"/>
  <c r="O106" i="3"/>
  <c r="Q129" i="3"/>
  <c r="N86" i="3"/>
  <c r="K129" i="3"/>
  <c r="H86" i="3"/>
  <c r="G148" i="3"/>
  <c r="O139" i="3"/>
  <c r="W76" i="3"/>
  <c r="T129" i="3"/>
  <c r="S86" i="3"/>
  <c r="R129" i="3"/>
  <c r="M129" i="3"/>
  <c r="M86" i="3"/>
  <c r="K86" i="3"/>
  <c r="G86" i="3"/>
  <c r="E86" i="3"/>
  <c r="Q148" i="3"/>
  <c r="W61" i="3"/>
  <c r="W93" i="3"/>
  <c r="W40" i="3"/>
  <c r="W14" i="3"/>
  <c r="W16" i="3" s="1"/>
  <c r="L129" i="3"/>
  <c r="I109" i="3"/>
  <c r="D129" i="3"/>
  <c r="D86" i="3"/>
  <c r="I148" i="3"/>
  <c r="W122" i="3"/>
  <c r="W134" i="3"/>
  <c r="R47" i="3"/>
  <c r="R53" i="3" s="1"/>
  <c r="R54" i="3" s="1"/>
  <c r="W124" i="3"/>
  <c r="W39" i="3"/>
  <c r="S46" i="3"/>
  <c r="S47" i="3" s="1"/>
  <c r="S53" i="3" s="1"/>
  <c r="S54" i="3" s="1"/>
  <c r="S110" i="3" s="1"/>
  <c r="S111" i="3" s="1"/>
  <c r="M46" i="3"/>
  <c r="E46" i="3"/>
  <c r="T46" i="3"/>
  <c r="T47" i="3" s="1"/>
  <c r="T53" i="3" s="1"/>
  <c r="T54" i="3" s="1"/>
  <c r="N46" i="3"/>
  <c r="N47" i="3" s="1"/>
  <c r="N53" i="3" s="1"/>
  <c r="N54" i="3" s="1"/>
  <c r="N87" i="3" s="1"/>
  <c r="N88" i="3" s="1"/>
  <c r="F46" i="3"/>
  <c r="I46" i="3"/>
  <c r="I47" i="3" s="1"/>
  <c r="I53" i="3" s="1"/>
  <c r="I54" i="3" s="1"/>
  <c r="W38" i="3"/>
  <c r="W41" i="3"/>
  <c r="W35" i="1"/>
  <c r="W44" i="1"/>
  <c r="I152" i="2"/>
  <c r="I153" i="2" s="1"/>
  <c r="I263" i="2" s="1"/>
  <c r="I264" i="2" s="1"/>
  <c r="I391" i="2" s="1"/>
  <c r="Y149" i="2"/>
  <c r="Y101" i="2"/>
  <c r="Y96" i="2"/>
  <c r="Y64" i="2"/>
  <c r="Y69" i="2"/>
  <c r="Y86" i="2"/>
  <c r="Y76" i="2"/>
  <c r="Y87" i="2"/>
  <c r="O103" i="2"/>
  <c r="O152" i="2" s="1"/>
  <c r="O153" i="2" s="1"/>
  <c r="O263" i="2" s="1"/>
  <c r="O264" i="2" s="1"/>
  <c r="O391" i="2" s="1"/>
  <c r="H103" i="2"/>
  <c r="H152" i="2" s="1"/>
  <c r="H153" i="2" s="1"/>
  <c r="H263" i="2" s="1"/>
  <c r="H264" i="2" s="1"/>
  <c r="H391" i="2" s="1"/>
  <c r="Y132" i="2"/>
  <c r="Y145" i="2"/>
  <c r="Y57" i="2"/>
  <c r="Y20" i="2"/>
  <c r="Y77" i="2"/>
  <c r="Y49" i="2"/>
  <c r="Y26" i="2"/>
  <c r="Y93" i="2"/>
  <c r="Y62" i="2"/>
  <c r="Y83" i="2"/>
  <c r="Y81" i="2"/>
  <c r="Y126" i="2"/>
  <c r="Y78" i="2"/>
  <c r="Y110" i="2"/>
  <c r="W49" i="3"/>
  <c r="Y80" i="4"/>
  <c r="Y84" i="4"/>
  <c r="Y61" i="4"/>
  <c r="Y39" i="4"/>
  <c r="W35" i="3"/>
  <c r="Y87" i="4"/>
  <c r="Y88" i="4"/>
  <c r="Y23" i="4"/>
  <c r="Y36" i="4"/>
  <c r="Y37" i="4"/>
  <c r="Y56" i="4"/>
  <c r="Y18" i="4"/>
  <c r="Y26" i="4"/>
  <c r="Y22" i="4"/>
  <c r="Y66" i="4"/>
  <c r="Y35" i="4"/>
  <c r="Y89" i="4"/>
  <c r="Y25" i="4"/>
  <c r="Y21" i="4"/>
  <c r="Y32" i="4"/>
  <c r="Y67" i="4"/>
  <c r="Y57" i="4"/>
  <c r="Y90" i="4"/>
  <c r="O30" i="3"/>
  <c r="J53" i="4"/>
  <c r="J73" i="4" s="1"/>
  <c r="J74" i="4" s="1"/>
  <c r="X46" i="4"/>
  <c r="Q49" i="4"/>
  <c r="Y38" i="4"/>
  <c r="Y24" i="2"/>
  <c r="Y25" i="2"/>
  <c r="Y50" i="2"/>
  <c r="G47" i="1"/>
  <c r="G49" i="1" s="1"/>
  <c r="G50" i="1" s="1"/>
  <c r="G106" i="1" s="1"/>
  <c r="G107" i="1" s="1"/>
  <c r="G153" i="1" s="1"/>
  <c r="J47" i="1"/>
  <c r="J49" i="1" s="1"/>
  <c r="J50" i="1" s="1"/>
  <c r="J106" i="1" s="1"/>
  <c r="J107" i="1" s="1"/>
  <c r="J153" i="1" s="1"/>
  <c r="E47" i="1"/>
  <c r="E49" i="1" s="1"/>
  <c r="E50" i="1" s="1"/>
  <c r="E106" i="1" s="1"/>
  <c r="E107" i="1" s="1"/>
  <c r="E153" i="1" s="1"/>
  <c r="W63" i="1"/>
  <c r="W71" i="1"/>
  <c r="W82" i="1"/>
  <c r="W86" i="1"/>
  <c r="W25" i="1"/>
  <c r="S153" i="1"/>
  <c r="W75" i="1"/>
  <c r="W96" i="1"/>
  <c r="W102" i="1"/>
  <c r="W136" i="1"/>
  <c r="W144" i="1"/>
  <c r="U131" i="1"/>
  <c r="M106" i="1"/>
  <c r="M107" i="1" s="1"/>
  <c r="M153" i="1" s="1"/>
  <c r="W151" i="1"/>
  <c r="R47" i="1"/>
  <c r="R49" i="1" s="1"/>
  <c r="R50" i="1" s="1"/>
  <c r="R106" i="1" s="1"/>
  <c r="R107" i="1" s="1"/>
  <c r="R153" i="1" s="1"/>
  <c r="U46" i="1"/>
  <c r="U47" i="1" s="1"/>
  <c r="U49" i="1" s="1"/>
  <c r="U50" i="1" s="1"/>
  <c r="Y109" i="2"/>
  <c r="L263" i="2"/>
  <c r="L264" i="2" s="1"/>
  <c r="L391" i="2" s="1"/>
  <c r="R387" i="2"/>
  <c r="Y188" i="2"/>
  <c r="X262" i="2"/>
  <c r="Y228" i="2"/>
  <c r="Y154" i="2"/>
  <c r="Y258" i="2"/>
  <c r="Y158" i="2"/>
  <c r="Y174" i="2"/>
  <c r="Y200" i="2"/>
  <c r="Y215" i="2"/>
  <c r="Y304" i="2"/>
  <c r="Y311" i="2"/>
  <c r="Y334" i="2"/>
  <c r="Y353" i="2"/>
  <c r="Y346" i="2"/>
  <c r="Y47" i="2"/>
  <c r="Y73" i="2"/>
  <c r="Y179" i="2"/>
  <c r="Y368" i="2"/>
  <c r="Y111" i="2"/>
  <c r="Y121" i="2"/>
  <c r="Y125" i="2"/>
  <c r="Y288" i="2"/>
  <c r="Y318" i="2"/>
  <c r="Y314" i="2"/>
  <c r="Y333" i="2"/>
  <c r="Y331" i="2"/>
  <c r="Y48" i="2"/>
  <c r="Y95" i="2"/>
  <c r="Y90" i="2"/>
  <c r="Y32" i="2"/>
  <c r="Y66" i="2"/>
  <c r="Y71" i="2"/>
  <c r="Y75" i="2"/>
  <c r="G103" i="2"/>
  <c r="G152" i="2" s="1"/>
  <c r="G153" i="2" s="1"/>
  <c r="G263" i="2" s="1"/>
  <c r="G264" i="2" s="1"/>
  <c r="G391" i="2" s="1"/>
  <c r="Y232" i="2"/>
  <c r="Y236" i="2"/>
  <c r="Y38" i="2"/>
  <c r="Y130" i="2"/>
  <c r="Y193" i="2"/>
  <c r="Y198" i="2"/>
  <c r="Y269" i="2"/>
  <c r="Y272" i="2"/>
  <c r="Y275" i="2"/>
  <c r="Y289" i="2"/>
  <c r="Y332" i="2"/>
  <c r="Y338" i="2"/>
  <c r="Y94" i="2"/>
  <c r="Y84" i="2"/>
  <c r="Y27" i="2"/>
  <c r="Y56" i="2"/>
  <c r="Y68" i="2"/>
  <c r="N103" i="2"/>
  <c r="N152" i="2" s="1"/>
  <c r="N153" i="2" s="1"/>
  <c r="N263" i="2" s="1"/>
  <c r="N264" i="2" s="1"/>
  <c r="N391" i="2" s="1"/>
  <c r="V103" i="2"/>
  <c r="V152" i="2" s="1"/>
  <c r="Y21" i="2"/>
  <c r="Y107" i="2"/>
  <c r="Y43" i="2"/>
  <c r="Y23" i="2"/>
  <c r="W30" i="1"/>
  <c r="Y18" i="2"/>
  <c r="Y22" i="2"/>
  <c r="Y112" i="2"/>
  <c r="Y108" i="2"/>
  <c r="Y45" i="2"/>
  <c r="Y44" i="2"/>
  <c r="Y29" i="2"/>
  <c r="Y31" i="2"/>
  <c r="X99" i="2"/>
  <c r="Y127" i="2"/>
  <c r="W24" i="1"/>
  <c r="Y33" i="2"/>
  <c r="Y92" i="2"/>
  <c r="U30" i="3"/>
  <c r="W18" i="3"/>
  <c r="N47" i="1"/>
  <c r="N49" i="1" s="1"/>
  <c r="N50" i="1" s="1"/>
  <c r="N106" i="1" s="1"/>
  <c r="N107" i="1" s="1"/>
  <c r="N153" i="1" s="1"/>
  <c r="K103" i="2"/>
  <c r="K152" i="2" s="1"/>
  <c r="K153" i="2" s="1"/>
  <c r="K263" i="2" s="1"/>
  <c r="K264" i="2" s="1"/>
  <c r="K391" i="2" s="1"/>
  <c r="F103" i="2"/>
  <c r="F152" i="2" s="1"/>
  <c r="F153" i="2" s="1"/>
  <c r="F263" i="2" s="1"/>
  <c r="F264" i="2" s="1"/>
  <c r="F391" i="2" s="1"/>
  <c r="D103" i="2"/>
  <c r="D152" i="2" s="1"/>
  <c r="D153" i="2" s="1"/>
  <c r="D263" i="2" s="1"/>
  <c r="D264" i="2" s="1"/>
  <c r="O53" i="4"/>
  <c r="O73" i="4" s="1"/>
  <c r="O74" i="4" s="1"/>
  <c r="P53" i="4"/>
  <c r="P73" i="4" s="1"/>
  <c r="P74" i="4" s="1"/>
  <c r="P117" i="4" s="1"/>
  <c r="P118" i="4" s="1"/>
  <c r="R17" i="4"/>
  <c r="D47" i="3"/>
  <c r="D53" i="3" s="1"/>
  <c r="D54" i="3" s="1"/>
  <c r="E47" i="3"/>
  <c r="E53" i="3" s="1"/>
  <c r="E54" i="3" s="1"/>
  <c r="W142" i="3"/>
  <c r="O145" i="3"/>
  <c r="W92" i="3"/>
  <c r="O97" i="3"/>
  <c r="I129" i="3"/>
  <c r="H129" i="3"/>
  <c r="O105" i="1"/>
  <c r="R174" i="4"/>
  <c r="M166" i="4"/>
  <c r="W70" i="3"/>
  <c r="O74" i="3"/>
  <c r="K106" i="1"/>
  <c r="K107" i="1" s="1"/>
  <c r="K153" i="1" s="1"/>
  <c r="L47" i="1"/>
  <c r="L49" i="1" s="1"/>
  <c r="L50" i="1" s="1"/>
  <c r="L106" i="1" s="1"/>
  <c r="L107" i="1" s="1"/>
  <c r="L153" i="1" s="1"/>
  <c r="F47" i="1"/>
  <c r="F49" i="1" s="1"/>
  <c r="F50" i="1" s="1"/>
  <c r="F106" i="1" s="1"/>
  <c r="F107" i="1" s="1"/>
  <c r="F153" i="1" s="1"/>
  <c r="W137" i="1"/>
  <c r="X163" i="4"/>
  <c r="Y249" i="2"/>
  <c r="Y254" i="2"/>
  <c r="M47" i="3"/>
  <c r="M53" i="3" s="1"/>
  <c r="M54" i="3" s="1"/>
  <c r="L46" i="3"/>
  <c r="L47" i="3" s="1"/>
  <c r="L53" i="3" s="1"/>
  <c r="L54" i="3" s="1"/>
  <c r="G46" i="3"/>
  <c r="G47" i="3" s="1"/>
  <c r="G53" i="3" s="1"/>
  <c r="G54" i="3" s="1"/>
  <c r="F47" i="3"/>
  <c r="F53" i="3" s="1"/>
  <c r="F54" i="3" s="1"/>
  <c r="F87" i="3" s="1"/>
  <c r="F88" i="3" s="1"/>
  <c r="V53" i="4"/>
  <c r="V73" i="4" s="1"/>
  <c r="V74" i="4" s="1"/>
  <c r="V117" i="4" s="1"/>
  <c r="V118" i="4" s="1"/>
  <c r="W68" i="1"/>
  <c r="W20" i="3"/>
  <c r="U139" i="3"/>
  <c r="Y293" i="2"/>
  <c r="Y146" i="2"/>
  <c r="S47" i="1"/>
  <c r="S49" i="1" s="1"/>
  <c r="S50" i="1" s="1"/>
  <c r="S106" i="1" s="1"/>
  <c r="M53" i="4"/>
  <c r="M73" i="4" s="1"/>
  <c r="M74" i="4" s="1"/>
  <c r="M117" i="4" s="1"/>
  <c r="M118" i="4" s="1"/>
  <c r="I53" i="4"/>
  <c r="I73" i="4" s="1"/>
  <c r="I74" i="4" s="1"/>
  <c r="I117" i="4" s="1"/>
  <c r="I118" i="4" s="1"/>
  <c r="Q53" i="4"/>
  <c r="Q73" i="4" s="1"/>
  <c r="Q74" i="4" s="1"/>
  <c r="X151" i="2"/>
  <c r="Y122" i="2"/>
  <c r="Y15" i="2"/>
  <c r="Y17" i="2" s="1"/>
  <c r="Y106" i="2"/>
  <c r="R253" i="2"/>
  <c r="Y194" i="2"/>
  <c r="W110" i="1"/>
  <c r="Y283" i="2"/>
  <c r="Y299" i="2"/>
  <c r="W116" i="1"/>
  <c r="W128" i="1"/>
  <c r="X46" i="3"/>
  <c r="X47" i="3" s="1"/>
  <c r="X53" i="3" s="1"/>
  <c r="X54" i="3" s="1"/>
  <c r="U44" i="3"/>
  <c r="U46" i="3" s="1"/>
  <c r="U47" i="3" s="1"/>
  <c r="U53" i="4"/>
  <c r="U73" i="4" s="1"/>
  <c r="U74" i="4" s="1"/>
  <c r="U117" i="4" s="1"/>
  <c r="U118" i="4" s="1"/>
  <c r="U145" i="4" s="1"/>
  <c r="U146" i="4" s="1"/>
  <c r="U167" i="4" s="1"/>
  <c r="U168" i="4" s="1"/>
  <c r="Y116" i="2"/>
  <c r="Y202" i="2"/>
  <c r="Y302" i="2"/>
  <c r="W143" i="3"/>
  <c r="Y40" i="4"/>
  <c r="W17" i="1"/>
  <c r="U103" i="2"/>
  <c r="X387" i="2"/>
  <c r="W51" i="1"/>
  <c r="Y271" i="2"/>
  <c r="Y290" i="2"/>
  <c r="W113" i="1"/>
  <c r="Y324" i="2"/>
  <c r="Y159" i="4"/>
  <c r="Y147" i="2"/>
  <c r="Y70" i="2"/>
  <c r="Y15" i="4"/>
  <c r="Y17" i="4" s="1"/>
  <c r="W18" i="1"/>
  <c r="Y42" i="2"/>
  <c r="Y19" i="4"/>
  <c r="Y117" i="2"/>
  <c r="R151" i="2"/>
  <c r="Y128" i="2"/>
  <c r="Y142" i="2"/>
  <c r="Y65" i="4"/>
  <c r="H46" i="3"/>
  <c r="H47" i="3" s="1"/>
  <c r="H53" i="3" s="1"/>
  <c r="H54" i="3" s="1"/>
  <c r="R46" i="4"/>
  <c r="Y54" i="2"/>
  <c r="Y28" i="2"/>
  <c r="Y20" i="4"/>
  <c r="E103" i="2"/>
  <c r="E152" i="2" s="1"/>
  <c r="E153" i="2" s="1"/>
  <c r="E263" i="2" s="1"/>
  <c r="E264" i="2" s="1"/>
  <c r="E391" i="2" s="1"/>
  <c r="Y129" i="2"/>
  <c r="Y143" i="2"/>
  <c r="Y51" i="4"/>
  <c r="Y58" i="2"/>
  <c r="Y59" i="2"/>
  <c r="Y88" i="2"/>
  <c r="Y89" i="2"/>
  <c r="Y63" i="2"/>
  <c r="L49" i="4"/>
  <c r="L53" i="4" s="1"/>
  <c r="L73" i="4" s="1"/>
  <c r="L74" i="4" s="1"/>
  <c r="L117" i="4" s="1"/>
  <c r="L118" i="4" s="1"/>
  <c r="L145" i="4" s="1"/>
  <c r="L146" i="4" s="1"/>
  <c r="Y62" i="4"/>
  <c r="Y82" i="2"/>
  <c r="W32" i="3"/>
  <c r="M103" i="2"/>
  <c r="M152" i="2" s="1"/>
  <c r="M153" i="2" s="1"/>
  <c r="M263" i="2" s="1"/>
  <c r="M264" i="2" s="1"/>
  <c r="M391" i="2" s="1"/>
  <c r="W28" i="1"/>
  <c r="F49" i="4"/>
  <c r="F53" i="4" s="1"/>
  <c r="F73" i="4" s="1"/>
  <c r="F74" i="4" s="1"/>
  <c r="F117" i="4" s="1"/>
  <c r="F118" i="4" s="1"/>
  <c r="W34" i="1"/>
  <c r="R71" i="4"/>
  <c r="D49" i="4"/>
  <c r="D53" i="4" s="1"/>
  <c r="D73" i="4" s="1"/>
  <c r="D74" i="4" s="1"/>
  <c r="D117" i="4" s="1"/>
  <c r="X30" i="4"/>
  <c r="R30" i="4"/>
  <c r="E53" i="4"/>
  <c r="E73" i="4" s="1"/>
  <c r="O44" i="3"/>
  <c r="Y104" i="2"/>
  <c r="Y105" i="2"/>
  <c r="R99" i="2"/>
  <c r="Q103" i="2"/>
  <c r="Q152" i="2" s="1"/>
  <c r="Q153" i="2" s="1"/>
  <c r="Q263" i="2" s="1"/>
  <c r="Q264" i="2" s="1"/>
  <c r="Q391" i="2" s="1"/>
  <c r="I47" i="1"/>
  <c r="I49" i="1" s="1"/>
  <c r="I50" i="1" s="1"/>
  <c r="I106" i="1" s="1"/>
  <c r="I107" i="1" s="1"/>
  <c r="I153" i="1" s="1"/>
  <c r="O46" i="1"/>
  <c r="H47" i="1"/>
  <c r="H49" i="1" s="1"/>
  <c r="H50" i="1" s="1"/>
  <c r="H106" i="1" s="1"/>
  <c r="H107" i="1" s="1"/>
  <c r="H153" i="1" s="1"/>
  <c r="W14" i="1"/>
  <c r="W16" i="1" s="1"/>
  <c r="O16" i="1"/>
  <c r="X116" i="4" l="1"/>
  <c r="F145" i="4"/>
  <c r="F146" i="4" s="1"/>
  <c r="F167" i="4" s="1"/>
  <c r="F168" i="4" s="1"/>
  <c r="Q117" i="4"/>
  <c r="Q118" i="4" s="1"/>
  <c r="R166" i="4"/>
  <c r="X144" i="4"/>
  <c r="X49" i="4"/>
  <c r="X166" i="4"/>
  <c r="T53" i="4"/>
  <c r="T73" i="4" s="1"/>
  <c r="T74" i="4" s="1"/>
  <c r="T117" i="4" s="1"/>
  <c r="X180" i="4"/>
  <c r="O117" i="4"/>
  <c r="O118" i="4" s="1"/>
  <c r="O145" i="4" s="1"/>
  <c r="O146" i="4" s="1"/>
  <c r="O167" i="4" s="1"/>
  <c r="O168" i="4" s="1"/>
  <c r="O181" i="4" s="1"/>
  <c r="O194" i="4" s="1"/>
  <c r="W117" i="4"/>
  <c r="W118" i="4" s="1"/>
  <c r="W145" i="4" s="1"/>
  <c r="W146" i="4" s="1"/>
  <c r="W167" i="4" s="1"/>
  <c r="W168" i="4" s="1"/>
  <c r="W181" i="4" s="1"/>
  <c r="W194" i="4" s="1"/>
  <c r="Y174" i="4"/>
  <c r="Y71" i="4"/>
  <c r="L167" i="4"/>
  <c r="L168" i="4" s="1"/>
  <c r="L181" i="4" s="1"/>
  <c r="L194" i="4" s="1"/>
  <c r="V145" i="4"/>
  <c r="V146" i="4" s="1"/>
  <c r="V167" i="4" s="1"/>
  <c r="V168" i="4" s="1"/>
  <c r="V181" i="4" s="1"/>
  <c r="V194" i="4" s="1"/>
  <c r="M145" i="4"/>
  <c r="M146" i="4" s="1"/>
  <c r="J117" i="4"/>
  <c r="J118" i="4" s="1"/>
  <c r="J145" i="4" s="1"/>
  <c r="J146" i="4" s="1"/>
  <c r="J167" i="4" s="1"/>
  <c r="J168" i="4" s="1"/>
  <c r="J181" i="4" s="1"/>
  <c r="J194" i="4" s="1"/>
  <c r="R116" i="4"/>
  <c r="Y116" i="4" s="1"/>
  <c r="Y142" i="4"/>
  <c r="Y177" i="4"/>
  <c r="L87" i="3"/>
  <c r="L88" i="3" s="1"/>
  <c r="Q110" i="3"/>
  <c r="Q111" i="3" s="1"/>
  <c r="J110" i="3"/>
  <c r="J111" i="3" s="1"/>
  <c r="J130" i="3" s="1"/>
  <c r="U129" i="3"/>
  <c r="U148" i="3"/>
  <c r="X110" i="3"/>
  <c r="W106" i="3"/>
  <c r="W119" i="3"/>
  <c r="R110" i="3"/>
  <c r="R111" i="3" s="1"/>
  <c r="R130" i="3" s="1"/>
  <c r="R131" i="3" s="1"/>
  <c r="R149" i="3" s="1"/>
  <c r="R87" i="3"/>
  <c r="R88" i="3" s="1"/>
  <c r="Y163" i="4"/>
  <c r="Y166" i="4"/>
  <c r="W158" i="3"/>
  <c r="W131" i="1"/>
  <c r="Y154" i="4"/>
  <c r="H167" i="4"/>
  <c r="H168" i="4" s="1"/>
  <c r="H181" i="4" s="1"/>
  <c r="H194" i="4" s="1"/>
  <c r="K145" i="4"/>
  <c r="K146" i="4" s="1"/>
  <c r="K167" i="4" s="1"/>
  <c r="K168" i="4" s="1"/>
  <c r="K181" i="4" s="1"/>
  <c r="K194" i="4" s="1"/>
  <c r="Y190" i="4"/>
  <c r="F181" i="4"/>
  <c r="F194" i="4" s="1"/>
  <c r="I145" i="4"/>
  <c r="I146" i="4" s="1"/>
  <c r="I167" i="4" s="1"/>
  <c r="I168" i="4" s="1"/>
  <c r="I181" i="4" s="1"/>
  <c r="I194" i="4" s="1"/>
  <c r="W97" i="3"/>
  <c r="U109" i="3"/>
  <c r="K110" i="3"/>
  <c r="K111" i="3" s="1"/>
  <c r="K130" i="3" s="1"/>
  <c r="K162" i="3" s="1"/>
  <c r="Q130" i="3"/>
  <c r="Q162" i="3" s="1"/>
  <c r="Y363" i="2"/>
  <c r="Y253" i="2"/>
  <c r="G117" i="4"/>
  <c r="G118" i="4" s="1"/>
  <c r="Y94" i="4"/>
  <c r="U106" i="1"/>
  <c r="U107" i="1" s="1"/>
  <c r="U153" i="1" s="1"/>
  <c r="W93" i="1"/>
  <c r="U181" i="4"/>
  <c r="U194" i="4" s="1"/>
  <c r="Q145" i="4"/>
  <c r="Q146" i="4" s="1"/>
  <c r="Q167" i="4" s="1"/>
  <c r="Q168" i="4" s="1"/>
  <c r="Q181" i="4" s="1"/>
  <c r="Q194" i="4" s="1"/>
  <c r="P145" i="4"/>
  <c r="P146" i="4" s="1"/>
  <c r="P167" i="4" s="1"/>
  <c r="P168" i="4" s="1"/>
  <c r="P181" i="4" s="1"/>
  <c r="P194" i="4" s="1"/>
  <c r="R180" i="4"/>
  <c r="Y180" i="4" s="1"/>
  <c r="G145" i="4"/>
  <c r="G146" i="4" s="1"/>
  <c r="G167" i="4" s="1"/>
  <c r="G168" i="4" s="1"/>
  <c r="G181" i="4" s="1"/>
  <c r="G194" i="4" s="1"/>
  <c r="M167" i="4"/>
  <c r="M168" i="4" s="1"/>
  <c r="M181" i="4" s="1"/>
  <c r="M194" i="4" s="1"/>
  <c r="R144" i="4"/>
  <c r="Y144" i="4" s="1"/>
  <c r="J87" i="3"/>
  <c r="J88" i="3" s="1"/>
  <c r="T110" i="3"/>
  <c r="T111" i="3" s="1"/>
  <c r="T130" i="3" s="1"/>
  <c r="T162" i="3" s="1"/>
  <c r="W145" i="3"/>
  <c r="S130" i="3"/>
  <c r="S162" i="3" s="1"/>
  <c r="S87" i="3"/>
  <c r="S88" i="3" s="1"/>
  <c r="W139" i="3"/>
  <c r="W126" i="3"/>
  <c r="X103" i="2"/>
  <c r="Y387" i="2"/>
  <c r="Y262" i="2"/>
  <c r="W149" i="1"/>
  <c r="W105" i="1"/>
  <c r="N110" i="3"/>
  <c r="N111" i="3" s="1"/>
  <c r="N130" i="3" s="1"/>
  <c r="N131" i="3" s="1"/>
  <c r="N149" i="3" s="1"/>
  <c r="O109" i="3"/>
  <c r="T87" i="3"/>
  <c r="T88" i="3" s="1"/>
  <c r="G87" i="3"/>
  <c r="G88" i="3" s="1"/>
  <c r="O148" i="3"/>
  <c r="H110" i="3"/>
  <c r="H111" i="3" s="1"/>
  <c r="H130" i="3" s="1"/>
  <c r="H162" i="3" s="1"/>
  <c r="M110" i="3"/>
  <c r="M111" i="3" s="1"/>
  <c r="M130" i="3" s="1"/>
  <c r="M131" i="3" s="1"/>
  <c r="M149" i="3" s="1"/>
  <c r="W30" i="3"/>
  <c r="I110" i="3"/>
  <c r="I111" i="3" s="1"/>
  <c r="I130" i="3" s="1"/>
  <c r="I87" i="3"/>
  <c r="I88" i="3" s="1"/>
  <c r="Y151" i="2"/>
  <c r="AA151" i="2" s="1"/>
  <c r="Y46" i="4"/>
  <c r="M87" i="3"/>
  <c r="M88" i="3" s="1"/>
  <c r="U152" i="2"/>
  <c r="U153" i="2" s="1"/>
  <c r="U263" i="2" s="1"/>
  <c r="U264" i="2" s="1"/>
  <c r="U391" i="2" s="1"/>
  <c r="Y99" i="2"/>
  <c r="F110" i="3"/>
  <c r="F111" i="3" s="1"/>
  <c r="F130" i="3" s="1"/>
  <c r="F162" i="3" s="1"/>
  <c r="R49" i="4"/>
  <c r="Y49" i="4" s="1"/>
  <c r="W46" i="1"/>
  <c r="X87" i="3"/>
  <c r="X88" i="3" s="1"/>
  <c r="D110" i="3"/>
  <c r="D111" i="3" s="1"/>
  <c r="D130" i="3" s="1"/>
  <c r="D87" i="3"/>
  <c r="D88" i="3" s="1"/>
  <c r="E110" i="3"/>
  <c r="E111" i="3" s="1"/>
  <c r="E130" i="3" s="1"/>
  <c r="E87" i="3"/>
  <c r="E88" i="3" s="1"/>
  <c r="G110" i="3"/>
  <c r="G111" i="3" s="1"/>
  <c r="G130" i="3" s="1"/>
  <c r="G162" i="3" s="1"/>
  <c r="K87" i="3"/>
  <c r="K88" i="3" s="1"/>
  <c r="W74" i="3"/>
  <c r="W86" i="3" s="1"/>
  <c r="O86" i="3"/>
  <c r="Q131" i="3"/>
  <c r="Q149" i="3" s="1"/>
  <c r="R103" i="2"/>
  <c r="H87" i="3"/>
  <c r="H88" i="3" s="1"/>
  <c r="J131" i="3"/>
  <c r="J149" i="3" s="1"/>
  <c r="J162" i="3"/>
  <c r="R53" i="4"/>
  <c r="E74" i="4"/>
  <c r="R73" i="4"/>
  <c r="Y30" i="4"/>
  <c r="X74" i="4"/>
  <c r="D118" i="4"/>
  <c r="L110" i="3"/>
  <c r="L111" i="3" s="1"/>
  <c r="L130" i="3" s="1"/>
  <c r="L131" i="3" s="1"/>
  <c r="L149" i="3" s="1"/>
  <c r="W44" i="3"/>
  <c r="O46" i="3"/>
  <c r="O47" i="3" s="1"/>
  <c r="O53" i="3" s="1"/>
  <c r="O54" i="3" s="1"/>
  <c r="X130" i="3"/>
  <c r="X111" i="3"/>
  <c r="U53" i="3"/>
  <c r="U54" i="3" s="1"/>
  <c r="R263" i="2"/>
  <c r="R153" i="2"/>
  <c r="R152" i="2"/>
  <c r="V153" i="2"/>
  <c r="R264" i="2"/>
  <c r="D391" i="2"/>
  <c r="O47" i="1"/>
  <c r="O49" i="1" s="1"/>
  <c r="X73" i="4" l="1"/>
  <c r="X53" i="4"/>
  <c r="Y53" i="4" s="1"/>
  <c r="W129" i="3"/>
  <c r="W109" i="3"/>
  <c r="W148" i="3"/>
  <c r="Y73" i="4"/>
  <c r="N162" i="3"/>
  <c r="K131" i="3"/>
  <c r="K149" i="3" s="1"/>
  <c r="Y103" i="2"/>
  <c r="AB103" i="2" s="1"/>
  <c r="M162" i="3"/>
  <c r="T131" i="3"/>
  <c r="T149" i="3" s="1"/>
  <c r="R162" i="3"/>
  <c r="S131" i="3"/>
  <c r="S149" i="3" s="1"/>
  <c r="H131" i="3"/>
  <c r="H149" i="3" s="1"/>
  <c r="W46" i="3"/>
  <c r="I131" i="3"/>
  <c r="I149" i="3" s="1"/>
  <c r="I162" i="3"/>
  <c r="G131" i="3"/>
  <c r="G149" i="3" s="1"/>
  <c r="L162" i="3"/>
  <c r="X152" i="2"/>
  <c r="Y152" i="2" s="1"/>
  <c r="AB152" i="2" s="1"/>
  <c r="F131" i="3"/>
  <c r="F149" i="3" s="1"/>
  <c r="W47" i="3"/>
  <c r="W53" i="3" s="1"/>
  <c r="D162" i="3"/>
  <c r="D131" i="3"/>
  <c r="D149" i="3" s="1"/>
  <c r="E162" i="3"/>
  <c r="E131" i="3"/>
  <c r="E149" i="3" s="1"/>
  <c r="T118" i="4"/>
  <c r="X117" i="4"/>
  <c r="E117" i="4"/>
  <c r="R74" i="4"/>
  <c r="Y74" i="4" s="1"/>
  <c r="D145" i="4"/>
  <c r="O110" i="3"/>
  <c r="O111" i="3" s="1"/>
  <c r="O130" i="3" s="1"/>
  <c r="O87" i="3"/>
  <c r="O88" i="3" s="1"/>
  <c r="X131" i="3"/>
  <c r="X149" i="3" s="1"/>
  <c r="X162" i="3" s="1"/>
  <c r="W54" i="3"/>
  <c r="U110" i="3"/>
  <c r="U111" i="3" s="1"/>
  <c r="U87" i="3"/>
  <c r="U88" i="3" s="1"/>
  <c r="V263" i="2"/>
  <c r="X153" i="2"/>
  <c r="Y153" i="2" s="1"/>
  <c r="R391" i="2"/>
  <c r="W47" i="1"/>
  <c r="W49" i="1"/>
  <c r="O50" i="1"/>
  <c r="E118" i="4" l="1"/>
  <c r="R117" i="4"/>
  <c r="Y117" i="4" s="1"/>
  <c r="T145" i="4"/>
  <c r="X118" i="4"/>
  <c r="D146" i="4"/>
  <c r="W88" i="3"/>
  <c r="O131" i="3"/>
  <c r="O149" i="3" s="1"/>
  <c r="O162" i="3"/>
  <c r="U130" i="3"/>
  <c r="W111" i="3"/>
  <c r="W110" i="3"/>
  <c r="W87" i="3"/>
  <c r="V264" i="2"/>
  <c r="X263" i="2"/>
  <c r="Y263" i="2" s="1"/>
  <c r="AB263" i="2" s="1"/>
  <c r="W50" i="1"/>
  <c r="W106" i="1" s="1"/>
  <c r="O106" i="1"/>
  <c r="O107" i="1" s="1"/>
  <c r="T146" i="4" l="1"/>
  <c r="X145" i="4"/>
  <c r="E145" i="4"/>
  <c r="R118" i="4"/>
  <c r="Y118" i="4" s="1"/>
  <c r="D167" i="4"/>
  <c r="U162" i="3"/>
  <c r="U131" i="3"/>
  <c r="U149" i="3" s="1"/>
  <c r="W130" i="3"/>
  <c r="V391" i="2"/>
  <c r="X264" i="2"/>
  <c r="O153" i="1"/>
  <c r="W107" i="1"/>
  <c r="W153" i="1" s="1"/>
  <c r="E146" i="4" l="1"/>
  <c r="R145" i="4"/>
  <c r="Y145" i="4" s="1"/>
  <c r="T167" i="4"/>
  <c r="X146" i="4"/>
  <c r="D168" i="4"/>
  <c r="W131" i="3"/>
  <c r="W149" i="3" s="1"/>
  <c r="W162" i="3" s="1"/>
  <c r="Y162" i="3" s="1"/>
  <c r="X391" i="2"/>
  <c r="Y264" i="2"/>
  <c r="Y391" i="2" s="1"/>
  <c r="AB391" i="2" s="1"/>
  <c r="T168" i="4" l="1"/>
  <c r="X167" i="4"/>
  <c r="E167" i="4"/>
  <c r="R146" i="4"/>
  <c r="Y146" i="4" s="1"/>
  <c r="D181" i="4"/>
  <c r="Y149" i="3" l="1"/>
  <c r="E168" i="4"/>
  <c r="R167" i="4"/>
  <c r="Y167" i="4" s="1"/>
  <c r="Z167" i="4" s="1"/>
  <c r="T181" i="4"/>
  <c r="X168" i="4"/>
  <c r="D194" i="4"/>
  <c r="T194" i="4" l="1"/>
  <c r="X181" i="4"/>
  <c r="E181" i="4"/>
  <c r="R168" i="4"/>
  <c r="Y168" i="4" s="1"/>
  <c r="E194" i="4" l="1"/>
  <c r="R181" i="4"/>
  <c r="Y181" i="4" s="1"/>
  <c r="X194" i="4"/>
  <c r="R194" i="4" l="1"/>
  <c r="Y194" i="4" s="1"/>
</calcChain>
</file>

<file path=xl/sharedStrings.xml><?xml version="1.0" encoding="utf-8"?>
<sst xmlns="http://schemas.openxmlformats.org/spreadsheetml/2006/main" count="1276" uniqueCount="553">
  <si>
    <t>K I M U T A T Á S</t>
  </si>
  <si>
    <t>ezer Ft-ban</t>
  </si>
  <si>
    <t xml:space="preserve"> </t>
  </si>
  <si>
    <t>Szöveges indoklás a</t>
  </si>
  <si>
    <t>Egyéb</t>
  </si>
  <si>
    <t>Működési</t>
  </si>
  <si>
    <t>Felhalmozási</t>
  </si>
  <si>
    <t>Bevételek</t>
  </si>
  <si>
    <t>Ssz.</t>
  </si>
  <si>
    <t>forrás származására és a kiadás</t>
  </si>
  <si>
    <t>bevételek</t>
  </si>
  <si>
    <t>célú</t>
  </si>
  <si>
    <t>összesen</t>
  </si>
  <si>
    <t>felhasználási  jogcimére</t>
  </si>
  <si>
    <t>visszatérül.</t>
  </si>
  <si>
    <t>működési</t>
  </si>
  <si>
    <t>bevételei</t>
  </si>
  <si>
    <t>pénzeszköz</t>
  </si>
  <si>
    <t>Érvényes előirányzatok:</t>
  </si>
  <si>
    <t>Módosítás</t>
  </si>
  <si>
    <t>Felülvizsgálat</t>
  </si>
  <si>
    <t>010</t>
  </si>
  <si>
    <t>180</t>
  </si>
  <si>
    <t>Felülvizsgálati módosítások összesen:</t>
  </si>
  <si>
    <t>K I A D Á S O K</t>
  </si>
  <si>
    <t>Ellátottak</t>
  </si>
  <si>
    <t>Intézmény-</t>
  </si>
  <si>
    <t>Kiadások</t>
  </si>
  <si>
    <t>Személyi</t>
  </si>
  <si>
    <t>Munkaadót</t>
  </si>
  <si>
    <t xml:space="preserve">Dologi </t>
  </si>
  <si>
    <t>pénzbeli</t>
  </si>
  <si>
    <t>kiadások</t>
  </si>
  <si>
    <t>kölcsönök</t>
  </si>
  <si>
    <t>Tartalékok</t>
  </si>
  <si>
    <t>finan-</t>
  </si>
  <si>
    <t>juttatás</t>
  </si>
  <si>
    <t>juttatásai</t>
  </si>
  <si>
    <t>nyújtása</t>
  </si>
  <si>
    <t>kiadásai</t>
  </si>
  <si>
    <t>szírozás</t>
  </si>
  <si>
    <t>járulékok</t>
  </si>
  <si>
    <t>támogatás</t>
  </si>
  <si>
    <t>028</t>
  </si>
  <si>
    <t>034</t>
  </si>
  <si>
    <t>Vonal alattiak</t>
  </si>
  <si>
    <t>019</t>
  </si>
  <si>
    <t>1</t>
  </si>
  <si>
    <t>001</t>
  </si>
  <si>
    <t>Eredeti előirányzatok:</t>
  </si>
  <si>
    <t>Kerekítés miatt</t>
  </si>
  <si>
    <t>002</t>
  </si>
  <si>
    <t>150</t>
  </si>
  <si>
    <t>190</t>
  </si>
  <si>
    <t>terhelő</t>
  </si>
  <si>
    <t>Szociális adó</t>
  </si>
  <si>
    <t>támogatások</t>
  </si>
  <si>
    <t>1/H-1</t>
  </si>
  <si>
    <t>003</t>
  </si>
  <si>
    <t>Előző évi maradvány átvétel</t>
  </si>
  <si>
    <t>FELÜGYELETI HATÁSKÖRŰ MÓDOSÍTÁSOK</t>
  </si>
  <si>
    <t>SAJÁT HATÁSKÖRŰ MÓDOSÍTÁSOK</t>
  </si>
  <si>
    <t>A</t>
  </si>
  <si>
    <t>B</t>
  </si>
  <si>
    <t>Módosítások összesen (A+B)</t>
  </si>
  <si>
    <t>H151</t>
  </si>
  <si>
    <t>1. sz. melléklet</t>
  </si>
  <si>
    <t>2. sz. melléklet</t>
  </si>
  <si>
    <t>3. sz. melléklet</t>
  </si>
  <si>
    <t>4. sz. melléklet</t>
  </si>
  <si>
    <t>belülről</t>
  </si>
  <si>
    <t>átvett</t>
  </si>
  <si>
    <t>Felhal-</t>
  </si>
  <si>
    <t>mozási</t>
  </si>
  <si>
    <t>felhalm.</t>
  </si>
  <si>
    <t>első</t>
  </si>
  <si>
    <t>Csak szöveges módosítás volt</t>
  </si>
  <si>
    <t>Csak szöveges módosítás volt!</t>
  </si>
  <si>
    <t xml:space="preserve">Irányító </t>
  </si>
  <si>
    <t>szervtől</t>
  </si>
  <si>
    <t>kapott</t>
  </si>
  <si>
    <t>H090</t>
  </si>
  <si>
    <t>H180</t>
  </si>
  <si>
    <t>…</t>
  </si>
  <si>
    <t>418</t>
  </si>
  <si>
    <t>419</t>
  </si>
  <si>
    <t>utólag feladásnál</t>
  </si>
  <si>
    <t>Műk. célú támogatások áht-n belülről</t>
  </si>
  <si>
    <t>Önkorm.</t>
  </si>
  <si>
    <t>Elvonások</t>
  </si>
  <si>
    <t>Egyéb műk.c.</t>
  </si>
  <si>
    <t xml:space="preserve">és </t>
  </si>
  <si>
    <t>támogatása</t>
  </si>
  <si>
    <t>befizetések</t>
  </si>
  <si>
    <t>áht-n</t>
  </si>
  <si>
    <t>Felh.c.tám.áht-n belülről</t>
  </si>
  <si>
    <t>Felh.c.átvett pénzeszközök</t>
  </si>
  <si>
    <t>Közhatalmi</t>
  </si>
  <si>
    <t>Egyéb felh.c.</t>
  </si>
  <si>
    <t>Felh.c.</t>
  </si>
  <si>
    <t>támogatások,</t>
  </si>
  <si>
    <t>önk-i</t>
  </si>
  <si>
    <t>célú átvett</t>
  </si>
  <si>
    <t>Költség-</t>
  </si>
  <si>
    <t>vetési</t>
  </si>
  <si>
    <t>Finanszírozási bevételek</t>
  </si>
  <si>
    <t xml:space="preserve">Belföldi </t>
  </si>
  <si>
    <t>Előző év</t>
  </si>
  <si>
    <t>érték-</t>
  </si>
  <si>
    <t>költségv-i</t>
  </si>
  <si>
    <t>papírok</t>
  </si>
  <si>
    <t>maradvány</t>
  </si>
  <si>
    <t>igénybevét.</t>
  </si>
  <si>
    <t>(3+…+13)</t>
  </si>
  <si>
    <t>Finan-</t>
  </si>
  <si>
    <t>szírozási</t>
  </si>
  <si>
    <t>(15+18)</t>
  </si>
  <si>
    <t>(14 + 19)</t>
  </si>
  <si>
    <t>Módosított előirányzatok</t>
  </si>
  <si>
    <t>Felh.c.vtérít.</t>
  </si>
  <si>
    <t>Lakás-</t>
  </si>
  <si>
    <t>Hosszú lej.</t>
  </si>
  <si>
    <t>Belföldi</t>
  </si>
  <si>
    <t>Beruházások</t>
  </si>
  <si>
    <t>Felújítások</t>
  </si>
  <si>
    <t>felhalm.célú</t>
  </si>
  <si>
    <t>tám.,kölcsön</t>
  </si>
  <si>
    <t>hitelek,</t>
  </si>
  <si>
    <t xml:space="preserve"> kölcsönök</t>
  </si>
  <si>
    <t>belülre</t>
  </si>
  <si>
    <t>kívülre</t>
  </si>
  <si>
    <t>áht-n belülre</t>
  </si>
  <si>
    <t>áht-n kívülre</t>
  </si>
  <si>
    <t>törlesztése</t>
  </si>
  <si>
    <t>Működési költségvetési kiadások</t>
  </si>
  <si>
    <t>Felhalmozási költségvetési kiadások</t>
  </si>
  <si>
    <t>Finanszírozási kiadások</t>
  </si>
  <si>
    <t>Első</t>
  </si>
  <si>
    <t>(3+16)</t>
  </si>
  <si>
    <t>(18+21)</t>
  </si>
  <si>
    <t>(17+22)</t>
  </si>
  <si>
    <t>Szoc. adó</t>
  </si>
  <si>
    <t>Második</t>
  </si>
  <si>
    <t>harmadik</t>
  </si>
  <si>
    <t>Harmadik</t>
  </si>
  <si>
    <t>Szept. 30.</t>
  </si>
  <si>
    <t>Működtetett intézmények többletbevétele</t>
  </si>
  <si>
    <t>Okt.31.</t>
  </si>
  <si>
    <t>negyedik</t>
  </si>
  <si>
    <t>nov.30.</t>
  </si>
  <si>
    <t>Okt. 31.</t>
  </si>
  <si>
    <t>ötödik</t>
  </si>
  <si>
    <t>finanszí-</t>
  </si>
  <si>
    <t>rozási</t>
  </si>
  <si>
    <t>EIM-1</t>
  </si>
  <si>
    <t>K1</t>
  </si>
  <si>
    <t>K2</t>
  </si>
  <si>
    <t>K3</t>
  </si>
  <si>
    <t>K4</t>
  </si>
  <si>
    <t>K502</t>
  </si>
  <si>
    <t>K506</t>
  </si>
  <si>
    <t>K512</t>
  </si>
  <si>
    <t>K513</t>
  </si>
  <si>
    <t>K6</t>
  </si>
  <si>
    <t>K7</t>
  </si>
  <si>
    <t>K84</t>
  </si>
  <si>
    <t>K86</t>
  </si>
  <si>
    <t>K87</t>
  </si>
  <si>
    <t>K89</t>
  </si>
  <si>
    <t>K9111</t>
  </si>
  <si>
    <t>K912</t>
  </si>
  <si>
    <t>K915</t>
  </si>
  <si>
    <t>K916</t>
  </si>
  <si>
    <t>B11</t>
  </si>
  <si>
    <t>B12</t>
  </si>
  <si>
    <t>B16</t>
  </si>
  <si>
    <t>B3</t>
  </si>
  <si>
    <t>B4</t>
  </si>
  <si>
    <t>B6</t>
  </si>
  <si>
    <t>B21</t>
  </si>
  <si>
    <t>B25</t>
  </si>
  <si>
    <t>B5</t>
  </si>
  <si>
    <t>B74</t>
  </si>
  <si>
    <t>B75</t>
  </si>
  <si>
    <t>B812</t>
  </si>
  <si>
    <t>B813</t>
  </si>
  <si>
    <t>B816</t>
  </si>
  <si>
    <t>B817</t>
  </si>
  <si>
    <t>055</t>
  </si>
  <si>
    <t xml:space="preserve">Maradvány </t>
  </si>
  <si>
    <t>Maradvány</t>
  </si>
  <si>
    <t>Maradvánnyal módosított előirányzatok</t>
  </si>
  <si>
    <t>ÁHT-n</t>
  </si>
  <si>
    <t>belüli meg-</t>
  </si>
  <si>
    <t>előlegezések</t>
  </si>
  <si>
    <t>kapott előleg</t>
  </si>
  <si>
    <t>előlegezés</t>
  </si>
  <si>
    <t>visszafiz.</t>
  </si>
  <si>
    <t>EIM-H-3
EIM-4</t>
  </si>
  <si>
    <t>EIM-H-5
EIM-5</t>
  </si>
  <si>
    <t>EIM-3</t>
  </si>
  <si>
    <t>Ördögárok u.-Nagyrét u.körforg.eng.és kivit.terv</t>
  </si>
  <si>
    <t>Európai Mobilitási Hét - Autómentes Nap</t>
  </si>
  <si>
    <t>EIM-4</t>
  </si>
  <si>
    <t>Frankel Leó út 5. átalakítási munkák</t>
  </si>
  <si>
    <t>EIM-5</t>
  </si>
  <si>
    <t>Országgyűlési képviselő v.saját keret</t>
  </si>
  <si>
    <t>EIM-H-4</t>
  </si>
  <si>
    <t>Országgyűlési képviselő választás - központi keret</t>
  </si>
  <si>
    <t>EIM-6</t>
  </si>
  <si>
    <t>Eü.Szolg. - 2017. évi támogatás visszavonása</t>
  </si>
  <si>
    <t>EIM-7</t>
  </si>
  <si>
    <t>EIM-8</t>
  </si>
  <si>
    <t>EIM-9</t>
  </si>
  <si>
    <t>EIM-10</t>
  </si>
  <si>
    <t>Szoftver felhasználati jog megváltása</t>
  </si>
  <si>
    <t>FIDESZ Frakciókeret</t>
  </si>
  <si>
    <t>KDNP Frakciókeret</t>
  </si>
  <si>
    <t>Kerületünk az otthonznk Frakciókeret</t>
  </si>
  <si>
    <t>EIM-11</t>
  </si>
  <si>
    <t>Uszoda - földgáz csatlakozási szerz.</t>
  </si>
  <si>
    <t>EIM-13</t>
  </si>
  <si>
    <t xml:space="preserve">Bursa Hungarica-visszautalt fel nem haszn. ösztöndíj </t>
  </si>
  <si>
    <t>EIM-14</t>
  </si>
  <si>
    <t>Bursa Hungarica-visszautalt fel nem használt ösztöndíj</t>
  </si>
  <si>
    <t>Várakozóhely megváltás</t>
  </si>
  <si>
    <t>EIM-15</t>
  </si>
  <si>
    <t>El nem végzett munkák ellenértéke Széher út 16.</t>
  </si>
  <si>
    <t>EIM-16</t>
  </si>
  <si>
    <t>EU-s adatvédelmi rendeletre felkészülés</t>
  </si>
  <si>
    <t>EIM-H-9
EIM-16</t>
  </si>
  <si>
    <t>EIM-H-10
EIM-17</t>
  </si>
  <si>
    <t>Állampolgársági eskütételeken versmondás</t>
  </si>
  <si>
    <t>EIM-17</t>
  </si>
  <si>
    <t>EIM-18</t>
  </si>
  <si>
    <t>Polgármesteri Keret felhasználása</t>
  </si>
  <si>
    <t>2017. december havi bérkompenzáció</t>
  </si>
  <si>
    <t>EIM-H-11
EIM-23</t>
  </si>
  <si>
    <t>EIM-H-12
EIM-24</t>
  </si>
  <si>
    <t>2018. évi bérkompenzáció</t>
  </si>
  <si>
    <t>EIM-23</t>
  </si>
  <si>
    <t>PH - 2017. december havi bérkompenzáció</t>
  </si>
  <si>
    <t>EIM-24</t>
  </si>
  <si>
    <t>PH - 2018. évi bérkompenzáció</t>
  </si>
  <si>
    <t>EIM-22</t>
  </si>
  <si>
    <t>Bevétel átcsoportosítás</t>
  </si>
  <si>
    <t>Intézmények - 2017. december havi bérkompenzáció</t>
  </si>
  <si>
    <t>Eü. Szolg. - 2017. december havi bérkompenzáció</t>
  </si>
  <si>
    <t>Intézmények - Bérkompenzáció 2018.</t>
  </si>
  <si>
    <t xml:space="preserve">Eü. Szolg. - Bérkompenzáció 2018. </t>
  </si>
  <si>
    <t>EIM-25</t>
  </si>
  <si>
    <t>EIM-26</t>
  </si>
  <si>
    <t>Intézmények - Szociális ágazati pótlék 2018. 01. hó</t>
  </si>
  <si>
    <t>Intézmények-Szociális ágazati pótlék 2018. 02-03. hó</t>
  </si>
  <si>
    <t>Intézmények-Szoc.ágazati pótlék 2018.02-03. hó</t>
  </si>
  <si>
    <t>EIM-19</t>
  </si>
  <si>
    <t>Központi ügyfélszolg.tervezés, művezetés</t>
  </si>
  <si>
    <t>EIM-H-13
EIM-19</t>
  </si>
  <si>
    <t>EIM-20</t>
  </si>
  <si>
    <t>Musica Sacra közreműködőinek vendéglátás</t>
  </si>
  <si>
    <t>Előző évi maradvány visszafizetése</t>
  </si>
  <si>
    <t>EIM-29</t>
  </si>
  <si>
    <t>Állategészségügyi kiadások átcsoportosítása</t>
  </si>
  <si>
    <t>EIM-30</t>
  </si>
  <si>
    <t>EIM-31</t>
  </si>
  <si>
    <t>Államkötvény beváltás, kincstárjegy vásárlás</t>
  </si>
  <si>
    <t>EIM-32</t>
  </si>
  <si>
    <t>EIM-33</t>
  </si>
  <si>
    <t xml:space="preserve"> Polgármesteri Keret felhasználása</t>
  </si>
  <si>
    <t>Tanulmányterv és koncepcióterv</t>
  </si>
  <si>
    <t>EIM-36</t>
  </si>
  <si>
    <t>Önállóan működő intézmények karbantartási munkái</t>
  </si>
  <si>
    <t>EIM-38</t>
  </si>
  <si>
    <t>Int. fin.  - Szászorszép Óvoda dologi kiadások</t>
  </si>
  <si>
    <t>EIM-42</t>
  </si>
  <si>
    <t>Int.fin. - III. Gondozási Központ dologi kiadások</t>
  </si>
  <si>
    <t>EIM-39</t>
  </si>
  <si>
    <t>EIM-40</t>
  </si>
  <si>
    <t>PH-új irodák kial. tervezése és kivitelezése</t>
  </si>
  <si>
    <t>EIM-41</t>
  </si>
  <si>
    <t>EIM-H-15
EIM-40</t>
  </si>
  <si>
    <t>HungaroControll Zrt-től támogatás</t>
  </si>
  <si>
    <t>EIM-43</t>
  </si>
  <si>
    <t>EIM-H-20</t>
  </si>
  <si>
    <t>EIM-H-21</t>
  </si>
  <si>
    <t>Bécsi út 17-21. biztosító által fiz.kártérítés</t>
  </si>
  <si>
    <t>EIM-H-22</t>
  </si>
  <si>
    <t>Választás saját keret átcsoportosítás</t>
  </si>
  <si>
    <t>EIM-H-19</t>
  </si>
  <si>
    <t>Közfoglalkozás támogatása</t>
  </si>
  <si>
    <t>EIM-H-14</t>
  </si>
  <si>
    <t>Használt készlet értékesítése</t>
  </si>
  <si>
    <t>Kommunikációs eszk-k beszerzése</t>
  </si>
  <si>
    <t>EIM-45</t>
  </si>
  <si>
    <t>EIM-46</t>
  </si>
  <si>
    <t>EIM-47</t>
  </si>
  <si>
    <t>Lakásépítési kölcsön folyósítása</t>
  </si>
  <si>
    <t>Sikeresen pályázott HAVARIA keret maradv.</t>
  </si>
  <si>
    <t>8010</t>
  </si>
  <si>
    <t>8020</t>
  </si>
  <si>
    <t>8021</t>
  </si>
  <si>
    <t>8022</t>
  </si>
  <si>
    <t>8051</t>
  </si>
  <si>
    <t>8070</t>
  </si>
  <si>
    <t>8101</t>
  </si>
  <si>
    <t>8401</t>
  </si>
  <si>
    <t>8402</t>
  </si>
  <si>
    <t>9000</t>
  </si>
  <si>
    <t>9010</t>
  </si>
  <si>
    <t>9024</t>
  </si>
  <si>
    <t>9025</t>
  </si>
  <si>
    <t>9026</t>
  </si>
  <si>
    <t>9032</t>
  </si>
  <si>
    <t>9035</t>
  </si>
  <si>
    <t>9052</t>
  </si>
  <si>
    <t>9054</t>
  </si>
  <si>
    <t>9060</t>
  </si>
  <si>
    <t>9070</t>
  </si>
  <si>
    <t>9080</t>
  </si>
  <si>
    <t>9090</t>
  </si>
  <si>
    <t>9085</t>
  </si>
  <si>
    <t>Frankel Leó u 5. átalakítási munkák</t>
  </si>
  <si>
    <t>EIM-51</t>
  </si>
  <si>
    <t>EIM-53</t>
  </si>
  <si>
    <t>Előző évben adott, fel nem haszn.tám.visszafiz.</t>
  </si>
  <si>
    <t>EIM-50</t>
  </si>
  <si>
    <t>Int.fin.- Szemlőhegy Óvoda vizesblokk</t>
  </si>
  <si>
    <t>EIM-58</t>
  </si>
  <si>
    <t>II.ker.ingatlan-nyilvántartási térkép felhasználási joga</t>
  </si>
  <si>
    <t>EIM-59</t>
  </si>
  <si>
    <t>EIM-H-26
EIM-59</t>
  </si>
  <si>
    <t>EIM-62</t>
  </si>
  <si>
    <t>Alpolgármesteri Keret felhasználása</t>
  </si>
  <si>
    <t>Központi ügyfélszolg.kiviteli munkák többletktg.</t>
  </si>
  <si>
    <t>EIM-68</t>
  </si>
  <si>
    <t>EIM-69</t>
  </si>
  <si>
    <t>Kátyúzási munkák többletktg.</t>
  </si>
  <si>
    <t>EIM-70</t>
  </si>
  <si>
    <t>EIM-74</t>
  </si>
  <si>
    <t>Nemzetiségeink támogatása - Kerület Napja</t>
  </si>
  <si>
    <t>EIM-60</t>
  </si>
  <si>
    <t>EIM-63</t>
  </si>
  <si>
    <t>EIM-64</t>
  </si>
  <si>
    <t>Int.fin. - Szociális intézmények: Jutalom</t>
  </si>
  <si>
    <t>EIM-65</t>
  </si>
  <si>
    <t>Int.fin.-Intézmények: Pedagógus napi  vezetői jutalom</t>
  </si>
  <si>
    <t>Int.fin. - Intézmények: Dolgozók jutalmazása</t>
  </si>
  <si>
    <t>Int.fin.-Eü.Szolg. Jutalom</t>
  </si>
  <si>
    <t>EIM-66</t>
  </si>
  <si>
    <t>Int.fin.-Intézmények:Művészeti,kulturális progr.-ra</t>
  </si>
  <si>
    <t>EIM-67</t>
  </si>
  <si>
    <t>Int.fin.-Intézmények: Bérkompenzáció</t>
  </si>
  <si>
    <t>Int.fin.-Eü. Szolg:  Bérkompenzáció</t>
  </si>
  <si>
    <t>EIM-71</t>
  </si>
  <si>
    <t>Int.fi.-Szoc.Intézmények: Szoc.ágazati pótlék</t>
  </si>
  <si>
    <t>EIM-75</t>
  </si>
  <si>
    <t>Int.fin.-Intézmények: 5 fő vezető továbbképzése</t>
  </si>
  <si>
    <t>Int.fin. - Szociális intézmények programjainak tám.</t>
  </si>
  <si>
    <t>EIM-H-31</t>
  </si>
  <si>
    <t>Országgyűlési képviselő választás kp-i keret - többletig.</t>
  </si>
  <si>
    <t>EIM-H-30
EIM-67</t>
  </si>
  <si>
    <t>2018. évi bérkompenzáció 2018. 04-05. hó</t>
  </si>
  <si>
    <t>Int.fin.-PH:  Bérkompenzáció</t>
  </si>
  <si>
    <t>EIM-77</t>
  </si>
  <si>
    <t>Országgyűlési képv.vál.saját keret kiegészítés</t>
  </si>
  <si>
    <t>EIM-H-34
EIM-77</t>
  </si>
  <si>
    <t>Int-k fel nem használt maradvány befiz.</t>
  </si>
  <si>
    <t>EIM-76</t>
  </si>
  <si>
    <t>Többletbevételek beemelése</t>
  </si>
  <si>
    <t>EIM-78</t>
  </si>
  <si>
    <t>EIM-79</t>
  </si>
  <si>
    <t>Iparűzési adó költségtérítése Főváros felé</t>
  </si>
  <si>
    <t>EIM-81</t>
  </si>
  <si>
    <t>Internet Kortalanul tanfolyam</t>
  </si>
  <si>
    <t>Őrzési szerződés hosszabbítása</t>
  </si>
  <si>
    <t>EIM-86</t>
  </si>
  <si>
    <t>EIM-87</t>
  </si>
  <si>
    <t xml:space="preserve">Int.fin. - Eü. Szolg. Allergiaszűrés </t>
  </si>
  <si>
    <t>EIM-90</t>
  </si>
  <si>
    <t>Belső árnyékolók, világítás, nyíláshatárolók</t>
  </si>
  <si>
    <t>EIM-H-41
EIM-90</t>
  </si>
  <si>
    <t>EIM-91</t>
  </si>
  <si>
    <t>VEKOP-5.3.1 Kerékp-barát fejl.pály. rendezésebev-kiad.csökk</t>
  </si>
  <si>
    <t>EIM-93</t>
  </si>
  <si>
    <t>Gazd.mfolyamat.felmérés és tanácsadás</t>
  </si>
  <si>
    <t>EIM-H-42
EIM-93</t>
  </si>
  <si>
    <t>EIM-94</t>
  </si>
  <si>
    <t>Felületképzés új irodák kialakításakor</t>
  </si>
  <si>
    <t>EIM-H-43
EIM-94</t>
  </si>
  <si>
    <t>EIM-97</t>
  </si>
  <si>
    <t>Összevont Egészségügyi Szolg.terv kieg.</t>
  </si>
  <si>
    <t>VEKOP-5.3.1 Kerékp-barát fejl.pály. Rendezése bev-kiad.csökk</t>
  </si>
  <si>
    <t>EIM-88</t>
  </si>
  <si>
    <t>EIM-89</t>
  </si>
  <si>
    <t>EIM-92</t>
  </si>
  <si>
    <t>Int.fin. - Helyi illetménykiegészítés</t>
  </si>
  <si>
    <t>EIM-95</t>
  </si>
  <si>
    <t>EIM-99</t>
  </si>
  <si>
    <t>Int.fin. - Óvodák személyi juttatás</t>
  </si>
  <si>
    <t>EIM-100</t>
  </si>
  <si>
    <t>Int.fin.-Százszorszép Óvoda SNI-s gyerekek ellátása</t>
  </si>
  <si>
    <t xml:space="preserve">Int.fin.-Százszorszép Óvoda </t>
  </si>
  <si>
    <t>Int.fin.-Százszorszép Óvoda élelmiszerbizt.vizsg.</t>
  </si>
  <si>
    <t>EIM-104</t>
  </si>
  <si>
    <t>Használt gépjármű értékesítése PH-ban</t>
  </si>
  <si>
    <t>EIM-H-46
EIM-104</t>
  </si>
  <si>
    <t>EIM-105</t>
  </si>
  <si>
    <t>Kadarka-Áchim-Szabadság u.fennmaradási eng.</t>
  </si>
  <si>
    <t>EIM-108</t>
  </si>
  <si>
    <t>EIM-107</t>
  </si>
  <si>
    <t xml:space="preserve">Polgármesteri Keret felhasználása </t>
  </si>
  <si>
    <t>II. Hűvösvölgyi u.137.fszt.1.lakásvás.fordított áfa</t>
  </si>
  <si>
    <t>EIM-109</t>
  </si>
  <si>
    <t>Lámpaoszlop káresemény</t>
  </si>
  <si>
    <t>EIM-111</t>
  </si>
  <si>
    <t>EIM-112</t>
  </si>
  <si>
    <t>EIM-113</t>
  </si>
  <si>
    <t>EIM-114</t>
  </si>
  <si>
    <t>EIM-115</t>
  </si>
  <si>
    <t>EIM-116</t>
  </si>
  <si>
    <t>EIM-117</t>
  </si>
  <si>
    <t>DMSOne rsz.bevezetésének támogatása</t>
  </si>
  <si>
    <t>EIM-H-54
EIM-112</t>
  </si>
  <si>
    <t>SQL Server licensz beszerzése</t>
  </si>
  <si>
    <t>EIM-H-55
EIM-113</t>
  </si>
  <si>
    <t>Reprezentációs áfa átcsop.-Képviselő testület átcsop.</t>
  </si>
  <si>
    <t>Közép-Budai Tankerületi Kp.támogatása</t>
  </si>
  <si>
    <t>EIM-125</t>
  </si>
  <si>
    <t>Temető u.53.telek vásárlás több tulajdonostól</t>
  </si>
  <si>
    <t>EIM-126</t>
  </si>
  <si>
    <t>Madárbarát Program lebonyolítása</t>
  </si>
  <si>
    <t>Bölcsődei kiegészítő támogatás</t>
  </si>
  <si>
    <t>EIM-124</t>
  </si>
  <si>
    <t>Előző évben adott, fel nem haszn.tám. Visszafizetése Tankerületi Központtól</t>
  </si>
  <si>
    <t>EIM-127</t>
  </si>
  <si>
    <t>EIM-122</t>
  </si>
  <si>
    <t>2018. évi bérkompenzáció 2018. 06-07. hó</t>
  </si>
  <si>
    <t>EIM-H-58
EIM-122</t>
  </si>
  <si>
    <t>EIM-119</t>
  </si>
  <si>
    <t>Int.fin.Eü.Szolg - Egészségnap- szűrővizsg.</t>
  </si>
  <si>
    <t>EIM-120</t>
  </si>
  <si>
    <t>Int.fin. - Százszorszép Óvoda nyílászáró felújítás</t>
  </si>
  <si>
    <t>EIM-121</t>
  </si>
  <si>
    <t>Int.fin. - Bölcsődék: karbantartási munkák</t>
  </si>
  <si>
    <t>EIM-123</t>
  </si>
  <si>
    <t>Másodlagos értékpapírv vételárban kamatfiz.</t>
  </si>
  <si>
    <t>EIM-131</t>
  </si>
  <si>
    <t>EIM-132</t>
  </si>
  <si>
    <t>08.31.</t>
  </si>
  <si>
    <t>Felülvizsg.</t>
  </si>
  <si>
    <t>harmadik+fv.</t>
  </si>
  <si>
    <t>Nem intézmények által ellátott önkormányzati feladatok bevételi előirányzatain végrehajtott saját hatáskörű változtatások kiemelt előirányzatonként 
2018. szeptember 1 - től   2018. október 31 - ig</t>
  </si>
  <si>
    <t>Nem intézmények által ellátott önkormányzati feladatok kiadási előirányzatain végrehajtott saját hatáskörű változtatások kiemelt előirányzatonként 
2018. szeptember 1 - től   2018. október 31 - ig</t>
  </si>
  <si>
    <t>A Polgármesteri Hivatal által ellátott feladatok bevételi előirányzatain végrehajtott változtatások kiemelt előirányzatonként 
2018. szeptember 1 - től   2018. október 31 - ig</t>
  </si>
  <si>
    <t>A Polgármesteri Hivatal által ellátott feladatok kiadási előirányzatain végrehajtott változtatások kiemelt előirányzatonként 
2018. szeptember 1 - től   2018. október 31 - ig</t>
  </si>
  <si>
    <t>EIM-135</t>
  </si>
  <si>
    <t>Alpolgármesteri keret felhasználása</t>
  </si>
  <si>
    <t>EIM-136</t>
  </si>
  <si>
    <t>Polgármesteri keret felhasználása</t>
  </si>
  <si>
    <t>EIM-140</t>
  </si>
  <si>
    <t xml:space="preserve">Uszoda ép.központi kvetésből kapott vissza nem térítedő tám. </t>
  </si>
  <si>
    <t>EIM-141</t>
  </si>
  <si>
    <t>EIM-139</t>
  </si>
  <si>
    <t>Központi ügyfélszolg.kiviteli munkák és műszaki ellenőrzés</t>
  </si>
  <si>
    <t>Panoráma Sportközpont műfüves labdarúgó pálya beruh.10% önerő</t>
  </si>
  <si>
    <t>EIM-142</t>
  </si>
  <si>
    <t>Parkoló automatákhoz akkumulátor beszerzés</t>
  </si>
  <si>
    <t>EIM-144</t>
  </si>
  <si>
    <t>EIM-147</t>
  </si>
  <si>
    <t>EIM-148</t>
  </si>
  <si>
    <t>Műszaki előkészítésre</t>
  </si>
  <si>
    <t>EIM-149</t>
  </si>
  <si>
    <t>OCR szerver licensz beszerzése</t>
  </si>
  <si>
    <t>EIM-H-64
EIM-149</t>
  </si>
  <si>
    <t>EIM-150</t>
  </si>
  <si>
    <t>Parkoló automatákhoz előnyomott hópapírtekercs beszerzés</t>
  </si>
  <si>
    <t>EIM-152</t>
  </si>
  <si>
    <t xml:space="preserve"> Nyári napközis és tábori kedvezmények megtérítése</t>
  </si>
  <si>
    <t>EIM-153</t>
  </si>
  <si>
    <t>Parkoltatási eszk.karbantartása</t>
  </si>
  <si>
    <t>Jelzőrendszeres házi segítségnyújtáshoz tám.</t>
  </si>
  <si>
    <t>EIM-155</t>
  </si>
  <si>
    <t>EIM-156</t>
  </si>
  <si>
    <t>EIM-157</t>
  </si>
  <si>
    <t>Készletbeszerzéshez átcsoportosítás</t>
  </si>
  <si>
    <t>CleanSYS örökös szoftver licenc vásárlás</t>
  </si>
  <si>
    <t>EIM-H-65
EIM-157</t>
  </si>
  <si>
    <t>Bfenyvesi üdülőtábor - beruházási áfa rendezése</t>
  </si>
  <si>
    <t>EIM-158</t>
  </si>
  <si>
    <t>EIM-159</t>
  </si>
  <si>
    <t>Káplár u.15-17.IV.8 lakás felújítása</t>
  </si>
  <si>
    <t>EIM-161</t>
  </si>
  <si>
    <t>PH-ban bevétel emelkedés miatt int.fin.csökk.</t>
  </si>
  <si>
    <t>PH-ban bevétel emelkedés miatt int.fin.csökkenés</t>
  </si>
  <si>
    <t>EIM-H-66 EIM-161</t>
  </si>
  <si>
    <t>Biztosító által fizetett kártérítés beemelése</t>
  </si>
  <si>
    <t>EIM-163</t>
  </si>
  <si>
    <t>EIM-169</t>
  </si>
  <si>
    <t>Kadarka u.1-3. Óvoda kivitelezési munkáihoz</t>
  </si>
  <si>
    <t>EIM-170</t>
  </si>
  <si>
    <t>EIM-171</t>
  </si>
  <si>
    <t>Átcsoportosítás parkolóőrök munkaruházatára</t>
  </si>
  <si>
    <t>Közterületi beruházás, felújítás 6 jogcímen</t>
  </si>
  <si>
    <t>EIM-174</t>
  </si>
  <si>
    <t>EIM-178</t>
  </si>
  <si>
    <t>Parkoló automata utólagos kárrendezés</t>
  </si>
  <si>
    <t>EIM-183</t>
  </si>
  <si>
    <t>Átcsoportosítás műszaki előkészítésre</t>
  </si>
  <si>
    <t>EIM-184</t>
  </si>
  <si>
    <t>Ipari PDA képernyő védőfólia</t>
  </si>
  <si>
    <t>EIM-185</t>
  </si>
  <si>
    <t>Állategészségügyi kiadások átcsop.</t>
  </si>
  <si>
    <t>EIM-186</t>
  </si>
  <si>
    <t xml:space="preserve">Fenyves Park: kerékpáros KRESZ-park+tanpálya </t>
  </si>
  <si>
    <t>EIM-188</t>
  </si>
  <si>
    <t>VEKOP-6.1.1-15 pály. Szaktanácsadás</t>
  </si>
  <si>
    <t>EIM-189</t>
  </si>
  <si>
    <t>Mosbachi és Finikei látogatások</t>
  </si>
  <si>
    <t>EIM-179</t>
  </si>
  <si>
    <t>EIM-180</t>
  </si>
  <si>
    <t>EIM-181</t>
  </si>
  <si>
    <t>EIM-182</t>
  </si>
  <si>
    <t>Int.fin-Eü.Szolg: szűrővizsgálatok lebonyolítása</t>
  </si>
  <si>
    <t>Int.fin. - Intézmények tisztasági festése</t>
  </si>
  <si>
    <t>Int.fin. - Szászorszép Óvoda dologi kiadásra</t>
  </si>
  <si>
    <t>Int.fin. - Családsegítő Szolg. Személyi juttatások</t>
  </si>
  <si>
    <t>EIM-190</t>
  </si>
  <si>
    <t xml:space="preserve">Int.fin. - Intézmények:  Bérkompenzáció </t>
  </si>
  <si>
    <t>Int.fin. - Egészségügyi Szolg.: Bérkompenzáció</t>
  </si>
  <si>
    <t>Int.fin. - Polgármesteri Hiv. Bérkompenzáció</t>
  </si>
  <si>
    <t>EIM-191</t>
  </si>
  <si>
    <t xml:space="preserve">Int.fin. - Intézmények:  Szoc.ágazati pótlék </t>
  </si>
  <si>
    <t>EIM-H-78 EIM-190</t>
  </si>
  <si>
    <t>Polgármesteri Hiv. Bérkompenzáció</t>
  </si>
  <si>
    <t>EIM-192</t>
  </si>
  <si>
    <t>8023</t>
  </si>
  <si>
    <t>8024</t>
  </si>
  <si>
    <t>9042</t>
  </si>
  <si>
    <t>9043</t>
  </si>
  <si>
    <t>9121</t>
  </si>
  <si>
    <t>9150</t>
  </si>
  <si>
    <t>9152</t>
  </si>
  <si>
    <t>9154</t>
  </si>
  <si>
    <t>9155</t>
  </si>
  <si>
    <t>9180</t>
  </si>
  <si>
    <t>9181</t>
  </si>
  <si>
    <t>9182</t>
  </si>
  <si>
    <t>9190</t>
  </si>
  <si>
    <t>9401</t>
  </si>
  <si>
    <t>9420</t>
  </si>
  <si>
    <t>9424</t>
  </si>
  <si>
    <t xml:space="preserve">Fenyves Park: kerékpáros KRESZ-park, tanpálya </t>
  </si>
  <si>
    <t>9103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</si>
</sst>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#,##0\ _F_t"/>
    <numFmt numFmtId="165" formatCode="#,##0.000"/>
    <numFmt numFmtId="166" formatCode="_-* #,##0.000\ _F_t_-;\-* #,##0.000\ _F_t_-;_-* &quot;-&quot;??\ _F_t_-;_-@_-"/>
    <numFmt numFmtId="167" formatCode="0.000"/>
    <numFmt numFmtId="168" formatCode="#,##0.000\ _F_t"/>
  </numFmts>
  <fonts count="34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MS Sans Serif"/>
      <charset val="238"/>
    </font>
    <font>
      <sz val="8"/>
      <name val="Arial"/>
      <family val="2"/>
      <charset val="238"/>
    </font>
    <font>
      <sz val="13"/>
      <name val="Times New Roman CE"/>
      <family val="1"/>
      <charset val="238"/>
    </font>
    <font>
      <sz val="10"/>
      <name val="Times New Roman CE"/>
      <family val="1"/>
      <charset val="238"/>
    </font>
    <font>
      <b/>
      <sz val="13"/>
      <name val="Times New Roman CE"/>
      <family val="1"/>
      <charset val="238"/>
    </font>
    <font>
      <sz val="9"/>
      <name val="Times New Roman CE"/>
      <family val="1"/>
      <charset val="238"/>
    </font>
    <font>
      <sz val="13"/>
      <name val="Times New Roman CE"/>
      <charset val="238"/>
    </font>
    <font>
      <i/>
      <sz val="13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b/>
      <i/>
      <sz val="13"/>
      <name val="Times New Roman CE"/>
      <charset val="238"/>
    </font>
    <font>
      <sz val="12"/>
      <name val="Times New Roman CE"/>
      <family val="1"/>
      <charset val="238"/>
    </font>
    <font>
      <i/>
      <sz val="13"/>
      <name val="Times New Roman CE"/>
      <charset val="238"/>
    </font>
    <font>
      <sz val="11"/>
      <name val="Times New Roman CE"/>
      <family val="1"/>
      <charset val="238"/>
    </font>
    <font>
      <i/>
      <sz val="10"/>
      <name val="Times New Roman CE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i/>
      <sz val="12"/>
      <name val="Times New Roman CE"/>
      <family val="1"/>
      <charset val="238"/>
    </font>
    <font>
      <b/>
      <i/>
      <sz val="10"/>
      <name val="Times New Roman CE"/>
      <charset val="238"/>
    </font>
    <font>
      <sz val="11"/>
      <name val="Times New Roman CE"/>
      <charset val="238"/>
    </font>
    <font>
      <b/>
      <i/>
      <sz val="11"/>
      <name val="Times New Roman CE"/>
      <charset val="238"/>
    </font>
    <font>
      <sz val="14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charset val="238"/>
    </font>
    <font>
      <sz val="12"/>
      <color rgb="FFFF0000"/>
      <name val="Times New Roman CE"/>
      <family val="1"/>
      <charset val="238"/>
    </font>
    <font>
      <b/>
      <sz val="13"/>
      <color rgb="FFFF0000"/>
      <name val="Times New Roman CE"/>
      <charset val="238"/>
    </font>
    <font>
      <sz val="13"/>
      <color theme="1"/>
      <name val="Times New Roman CE"/>
      <charset val="238"/>
    </font>
    <font>
      <sz val="9"/>
      <name val="Times New Roman CE"/>
      <charset val="238"/>
    </font>
    <font>
      <sz val="11"/>
      <name val="Arial"/>
      <family val="2"/>
      <charset val="238"/>
    </font>
    <font>
      <sz val="1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3">
    <xf numFmtId="0" fontId="0" fillId="0" borderId="0"/>
    <xf numFmtId="43" fontId="1" fillId="0" borderId="0" applyFill="0" applyBorder="0" applyAlignment="0" applyProtection="0"/>
    <xf numFmtId="0" fontId="2" fillId="0" borderId="0"/>
  </cellStyleXfs>
  <cellXfs count="659">
    <xf numFmtId="0" fontId="0" fillId="0" borderId="0" xfId="0"/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0" xfId="2" applyFont="1" applyBorder="1"/>
    <xf numFmtId="0" fontId="4" fillId="0" borderId="1" xfId="2" applyFont="1" applyBorder="1" applyAlignment="1">
      <alignment horizontal="right" vertical="top"/>
    </xf>
    <xf numFmtId="0" fontId="4" fillId="0" borderId="2" xfId="2" applyFont="1" applyBorder="1"/>
    <xf numFmtId="0" fontId="4" fillId="0" borderId="3" xfId="2" applyFont="1" applyBorder="1"/>
    <xf numFmtId="0" fontId="4" fillId="0" borderId="3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4" fillId="0" borderId="5" xfId="2" applyFont="1" applyBorder="1"/>
    <xf numFmtId="0" fontId="4" fillId="0" borderId="6" xfId="2" applyFont="1" applyBorder="1"/>
    <xf numFmtId="0" fontId="4" fillId="0" borderId="6" xfId="2" applyFont="1" applyBorder="1" applyAlignment="1">
      <alignment horizontal="center"/>
    </xf>
    <xf numFmtId="0" fontId="4" fillId="0" borderId="7" xfId="2" applyFont="1" applyBorder="1" applyAlignment="1"/>
    <xf numFmtId="0" fontId="6" fillId="0" borderId="8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8" fillId="0" borderId="8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4" fillId="0" borderId="13" xfId="2" applyFont="1" applyBorder="1" applyAlignment="1">
      <alignment horizontal="right"/>
    </xf>
    <xf numFmtId="0" fontId="4" fillId="0" borderId="14" xfId="2" applyFont="1" applyBorder="1" applyAlignment="1">
      <alignment horizontal="right"/>
    </xf>
    <xf numFmtId="0" fontId="9" fillId="0" borderId="15" xfId="2" applyFont="1" applyBorder="1" applyAlignment="1">
      <alignment horizontal="right" vertical="center"/>
    </xf>
    <xf numFmtId="3" fontId="9" fillId="0" borderId="15" xfId="2" applyNumberFormat="1" applyFont="1" applyBorder="1" applyAlignment="1">
      <alignment horizontal="right" vertical="center" wrapText="1"/>
    </xf>
    <xf numFmtId="0" fontId="4" fillId="0" borderId="5" xfId="2" applyFont="1" applyBorder="1" applyAlignment="1">
      <alignment horizontal="center" vertical="top"/>
    </xf>
    <xf numFmtId="49" fontId="8" fillId="0" borderId="15" xfId="2" applyNumberFormat="1" applyFont="1" applyBorder="1" applyAlignment="1">
      <alignment horizontal="center" vertical="center" wrapText="1"/>
    </xf>
    <xf numFmtId="0" fontId="8" fillId="0" borderId="10" xfId="2" applyFont="1" applyBorder="1" applyAlignment="1">
      <alignment vertical="center" wrapText="1"/>
    </xf>
    <xf numFmtId="3" fontId="5" fillId="0" borderId="0" xfId="2" applyNumberFormat="1" applyFont="1"/>
    <xf numFmtId="1" fontId="8" fillId="0" borderId="15" xfId="2" applyNumberFormat="1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10" xfId="2" applyFont="1" applyBorder="1" applyAlignment="1">
      <alignment vertical="center" wrapText="1"/>
    </xf>
    <xf numFmtId="0" fontId="4" fillId="0" borderId="0" xfId="2" applyFont="1" applyBorder="1" applyAlignment="1">
      <alignment vertical="center" wrapText="1"/>
    </xf>
    <xf numFmtId="0" fontId="4" fillId="0" borderId="16" xfId="2" applyFont="1" applyBorder="1" applyAlignment="1">
      <alignment horizontal="center"/>
    </xf>
    <xf numFmtId="0" fontId="4" fillId="0" borderId="17" xfId="2" applyFont="1" applyBorder="1" applyAlignment="1">
      <alignment horizontal="center"/>
    </xf>
    <xf numFmtId="164" fontId="11" fillId="0" borderId="17" xfId="2" applyNumberFormat="1" applyFont="1" applyBorder="1" applyAlignment="1">
      <alignment vertical="center" wrapText="1"/>
    </xf>
    <xf numFmtId="164" fontId="11" fillId="0" borderId="18" xfId="2" applyNumberFormat="1" applyFont="1" applyBorder="1" applyAlignment="1">
      <alignment vertical="center" wrapText="1"/>
    </xf>
    <xf numFmtId="0" fontId="12" fillId="0" borderId="10" xfId="2" applyFont="1" applyBorder="1" applyAlignment="1">
      <alignment vertical="center" wrapText="1"/>
    </xf>
    <xf numFmtId="0" fontId="4" fillId="0" borderId="5" xfId="2" applyFont="1" applyBorder="1" applyAlignment="1">
      <alignment horizontal="center" vertical="center"/>
    </xf>
    <xf numFmtId="0" fontId="8" fillId="0" borderId="0" xfId="2" applyFont="1" applyBorder="1" applyAlignment="1">
      <alignment vertical="center" wrapText="1"/>
    </xf>
    <xf numFmtId="0" fontId="5" fillId="0" borderId="16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10" fillId="0" borderId="17" xfId="2" applyFont="1" applyBorder="1" applyAlignment="1">
      <alignment vertical="center"/>
    </xf>
    <xf numFmtId="1" fontId="4" fillId="0" borderId="15" xfId="2" applyNumberFormat="1" applyFont="1" applyBorder="1" applyAlignment="1">
      <alignment horizontal="center" vertical="center" wrapText="1"/>
    </xf>
    <xf numFmtId="16" fontId="5" fillId="0" borderId="16" xfId="2" quotePrefix="1" applyNumberFormat="1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49" fontId="4" fillId="0" borderId="10" xfId="2" applyNumberFormat="1" applyFont="1" applyBorder="1" applyAlignment="1">
      <alignment horizontal="center" vertical="center"/>
    </xf>
    <xf numFmtId="164" fontId="8" fillId="0" borderId="10" xfId="2" applyNumberFormat="1" applyFont="1" applyBorder="1" applyAlignment="1">
      <alignment vertical="center" wrapText="1"/>
    </xf>
    <xf numFmtId="3" fontId="12" fillId="0" borderId="10" xfId="2" applyNumberFormat="1" applyFont="1" applyBorder="1" applyAlignment="1">
      <alignment vertical="center" wrapText="1"/>
    </xf>
    <xf numFmtId="0" fontId="5" fillId="0" borderId="0" xfId="2" applyFont="1" applyBorder="1"/>
    <xf numFmtId="0" fontId="4" fillId="0" borderId="1" xfId="2" applyFont="1" applyBorder="1" applyAlignment="1">
      <alignment vertical="top"/>
    </xf>
    <xf numFmtId="0" fontId="4" fillId="0" borderId="2" xfId="2" applyFont="1" applyBorder="1" applyAlignment="1">
      <alignment vertical="top"/>
    </xf>
    <xf numFmtId="0" fontId="6" fillId="0" borderId="0" xfId="2" applyFont="1" applyBorder="1" applyAlignment="1">
      <alignment horizontal="center"/>
    </xf>
    <xf numFmtId="0" fontId="4" fillId="0" borderId="5" xfId="2" applyFont="1" applyBorder="1" applyAlignment="1">
      <alignment vertical="top"/>
    </xf>
    <xf numFmtId="0" fontId="4" fillId="2" borderId="9" xfId="0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6" xfId="0" applyFont="1" applyFill="1" applyBorder="1" applyAlignment="1">
      <alignment horizontal="center"/>
    </xf>
    <xf numFmtId="0" fontId="13" fillId="0" borderId="13" xfId="2" applyFont="1" applyBorder="1" applyAlignment="1">
      <alignment vertical="top"/>
    </xf>
    <xf numFmtId="0" fontId="13" fillId="0" borderId="15" xfId="2" applyFont="1" applyBorder="1" applyAlignment="1">
      <alignment horizontal="right" vertical="center"/>
    </xf>
    <xf numFmtId="3" fontId="13" fillId="0" borderId="0" xfId="2" applyNumberFormat="1" applyFont="1" applyBorder="1"/>
    <xf numFmtId="3" fontId="11" fillId="0" borderId="0" xfId="2" applyNumberFormat="1" applyFont="1" applyBorder="1"/>
    <xf numFmtId="0" fontId="15" fillId="0" borderId="0" xfId="2" applyFont="1"/>
    <xf numFmtId="0" fontId="8" fillId="0" borderId="5" xfId="2" applyFont="1" applyBorder="1" applyAlignment="1">
      <alignment horizontal="center" vertical="top"/>
    </xf>
    <xf numFmtId="3" fontId="4" fillId="0" borderId="0" xfId="2" applyNumberFormat="1" applyFont="1" applyBorder="1"/>
    <xf numFmtId="3" fontId="6" fillId="0" borderId="0" xfId="2" applyNumberFormat="1" applyFont="1" applyBorder="1"/>
    <xf numFmtId="3" fontId="8" fillId="0" borderId="10" xfId="2" applyNumberFormat="1" applyFont="1" applyFill="1" applyBorder="1" applyAlignment="1">
      <alignment vertical="center" wrapText="1"/>
    </xf>
    <xf numFmtId="3" fontId="8" fillId="0" borderId="10" xfId="2" applyNumberFormat="1" applyFont="1" applyBorder="1" applyAlignment="1">
      <alignment vertical="center" wrapText="1"/>
    </xf>
    <xf numFmtId="3" fontId="8" fillId="0" borderId="19" xfId="2" applyNumberFormat="1" applyFont="1" applyBorder="1" applyAlignment="1">
      <alignment vertical="center" wrapText="1"/>
    </xf>
    <xf numFmtId="49" fontId="12" fillId="0" borderId="15" xfId="2" applyNumberFormat="1" applyFont="1" applyBorder="1" applyAlignment="1">
      <alignment horizontal="center" vertical="center" wrapText="1"/>
    </xf>
    <xf numFmtId="49" fontId="4" fillId="0" borderId="15" xfId="2" applyNumberFormat="1" applyFont="1" applyBorder="1" applyAlignment="1">
      <alignment horizontal="center" vertical="center" wrapText="1"/>
    </xf>
    <xf numFmtId="0" fontId="9" fillId="0" borderId="20" xfId="2" applyFont="1" applyBorder="1" applyAlignment="1">
      <alignment vertical="center" wrapText="1"/>
    </xf>
    <xf numFmtId="3" fontId="8" fillId="0" borderId="20" xfId="2" applyNumberFormat="1" applyFont="1" applyBorder="1" applyAlignment="1">
      <alignment vertical="center" wrapText="1"/>
    </xf>
    <xf numFmtId="3" fontId="10" fillId="0" borderId="21" xfId="2" applyNumberFormat="1" applyFont="1" applyBorder="1" applyAlignment="1">
      <alignment vertical="center"/>
    </xf>
    <xf numFmtId="0" fontId="5" fillId="0" borderId="17" xfId="2" applyFont="1" applyBorder="1"/>
    <xf numFmtId="0" fontId="8" fillId="0" borderId="5" xfId="2" applyFont="1" applyBorder="1" applyAlignment="1">
      <alignment horizontal="center" vertical="center"/>
    </xf>
    <xf numFmtId="3" fontId="16" fillId="0" borderId="22" xfId="2" applyNumberFormat="1" applyFont="1" applyBorder="1" applyAlignment="1">
      <alignment vertical="center" wrapText="1"/>
    </xf>
    <xf numFmtId="0" fontId="8" fillId="0" borderId="11" xfId="2" applyFont="1" applyBorder="1" applyAlignment="1">
      <alignment horizontal="center" vertical="center" wrapText="1"/>
    </xf>
    <xf numFmtId="3" fontId="5" fillId="0" borderId="0" xfId="2" applyNumberFormat="1" applyFont="1" applyBorder="1"/>
    <xf numFmtId="3" fontId="10" fillId="0" borderId="17" xfId="2" applyNumberFormat="1" applyFont="1" applyBorder="1" applyAlignment="1">
      <alignment vertical="center"/>
    </xf>
    <xf numFmtId="3" fontId="10" fillId="0" borderId="23" xfId="2" applyNumberFormat="1" applyFont="1" applyBorder="1" applyAlignment="1">
      <alignment vertical="center"/>
    </xf>
    <xf numFmtId="49" fontId="8" fillId="0" borderId="10" xfId="2" applyNumberFormat="1" applyFont="1" applyBorder="1" applyAlignment="1">
      <alignment vertical="center" wrapText="1"/>
    </xf>
    <xf numFmtId="0" fontId="8" fillId="0" borderId="24" xfId="2" applyFont="1" applyBorder="1" applyAlignment="1">
      <alignment horizontal="center" vertical="center" wrapText="1"/>
    </xf>
    <xf numFmtId="0" fontId="12" fillId="0" borderId="17" xfId="2" applyFont="1" applyBorder="1" applyAlignment="1">
      <alignment horizontal="center" vertical="center" wrapText="1"/>
    </xf>
    <xf numFmtId="49" fontId="8" fillId="0" borderId="6" xfId="2" applyNumberFormat="1" applyFont="1" applyBorder="1" applyAlignment="1">
      <alignment horizontal="center"/>
    </xf>
    <xf numFmtId="16" fontId="4" fillId="0" borderId="16" xfId="2" applyNumberFormat="1" applyFont="1" applyBorder="1" applyAlignment="1">
      <alignment vertical="center"/>
    </xf>
    <xf numFmtId="0" fontId="4" fillId="0" borderId="0" xfId="2" applyFont="1" applyAlignment="1">
      <alignment vertical="top"/>
    </xf>
    <xf numFmtId="0" fontId="13" fillId="0" borderId="25" xfId="2" applyFont="1" applyBorder="1" applyAlignment="1">
      <alignment vertical="center"/>
    </xf>
    <xf numFmtId="3" fontId="8" fillId="0" borderId="25" xfId="2" applyNumberFormat="1" applyFont="1" applyBorder="1" applyAlignment="1">
      <alignment vertical="center"/>
    </xf>
    <xf numFmtId="0" fontId="13" fillId="0" borderId="20" xfId="2" applyFont="1" applyBorder="1" applyAlignment="1">
      <alignment vertical="center"/>
    </xf>
    <xf numFmtId="3" fontId="8" fillId="0" borderId="20" xfId="2" applyNumberFormat="1" applyFont="1" applyBorder="1" applyAlignment="1">
      <alignment vertical="center"/>
    </xf>
    <xf numFmtId="0" fontId="9" fillId="0" borderId="20" xfId="2" applyFont="1" applyBorder="1" applyAlignment="1">
      <alignment vertical="center"/>
    </xf>
    <xf numFmtId="3" fontId="8" fillId="0" borderId="26" xfId="2" applyNumberFormat="1" applyFont="1" applyBorder="1" applyAlignment="1">
      <alignment vertical="center"/>
    </xf>
    <xf numFmtId="3" fontId="8" fillId="0" borderId="27" xfId="2" applyNumberFormat="1" applyFont="1" applyBorder="1" applyAlignment="1">
      <alignment vertical="center"/>
    </xf>
    <xf numFmtId="0" fontId="8" fillId="0" borderId="22" xfId="2" applyFont="1" applyBorder="1" applyAlignment="1">
      <alignment horizontal="center"/>
    </xf>
    <xf numFmtId="0" fontId="8" fillId="0" borderId="31" xfId="2" applyFont="1" applyBorder="1" applyAlignment="1">
      <alignment horizontal="center" vertical="center" wrapText="1"/>
    </xf>
    <xf numFmtId="0" fontId="8" fillId="0" borderId="32" xfId="2" applyFont="1" applyBorder="1" applyAlignment="1">
      <alignment vertical="center" wrapText="1"/>
    </xf>
    <xf numFmtId="3" fontId="8" fillId="0" borderId="33" xfId="2" applyNumberFormat="1" applyFont="1" applyBorder="1" applyAlignment="1">
      <alignment vertical="center" wrapText="1"/>
    </xf>
    <xf numFmtId="3" fontId="8" fillId="0" borderId="34" xfId="2" applyNumberFormat="1" applyFont="1" applyBorder="1" applyAlignment="1">
      <alignment vertical="center" wrapText="1"/>
    </xf>
    <xf numFmtId="0" fontId="5" fillId="0" borderId="16" xfId="2" applyFont="1" applyBorder="1" applyAlignment="1">
      <alignment vertical="center"/>
    </xf>
    <xf numFmtId="0" fontId="5" fillId="0" borderId="17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4" fillId="0" borderId="35" xfId="2" applyFont="1" applyBorder="1"/>
    <xf numFmtId="0" fontId="4" fillId="0" borderId="36" xfId="2" applyFont="1" applyBorder="1"/>
    <xf numFmtId="0" fontId="4" fillId="0" borderId="36" xfId="2" applyFont="1" applyBorder="1" applyAlignment="1">
      <alignment horizontal="center"/>
    </xf>
    <xf numFmtId="0" fontId="4" fillId="0" borderId="37" xfId="2" applyFont="1" applyBorder="1" applyAlignment="1">
      <alignment horizontal="center"/>
    </xf>
    <xf numFmtId="0" fontId="8" fillId="0" borderId="9" xfId="2" applyFont="1" applyBorder="1" applyAlignment="1">
      <alignment horizontal="center"/>
    </xf>
    <xf numFmtId="0" fontId="8" fillId="0" borderId="36" xfId="2" applyFont="1" applyBorder="1" applyAlignment="1">
      <alignment horizontal="center"/>
    </xf>
    <xf numFmtId="0" fontId="4" fillId="0" borderId="38" xfId="2" applyFont="1" applyBorder="1" applyAlignment="1">
      <alignment horizontal="center"/>
    </xf>
    <xf numFmtId="49" fontId="8" fillId="0" borderId="11" xfId="2" applyNumberFormat="1" applyFont="1" applyBorder="1" applyAlignment="1">
      <alignment horizontal="center" vertical="center" wrapText="1"/>
    </xf>
    <xf numFmtId="0" fontId="4" fillId="0" borderId="35" xfId="2" applyFont="1" applyBorder="1" applyAlignment="1">
      <alignment vertical="top"/>
    </xf>
    <xf numFmtId="0" fontId="4" fillId="0" borderId="9" xfId="2" applyFont="1" applyFill="1" applyBorder="1" applyAlignment="1">
      <alignment horizontal="center"/>
    </xf>
    <xf numFmtId="49" fontId="4" fillId="0" borderId="36" xfId="2" applyNumberFormat="1" applyFont="1" applyBorder="1" applyAlignment="1">
      <alignment horizontal="center"/>
    </xf>
    <xf numFmtId="0" fontId="14" fillId="0" borderId="36" xfId="2" applyFont="1" applyBorder="1" applyAlignment="1">
      <alignment horizontal="center"/>
    </xf>
    <xf numFmtId="0" fontId="8" fillId="0" borderId="9" xfId="2" applyFont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 wrapText="1"/>
    </xf>
    <xf numFmtId="0" fontId="4" fillId="0" borderId="17" xfId="2" quotePrefix="1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 wrapText="1"/>
    </xf>
    <xf numFmtId="0" fontId="8" fillId="0" borderId="39" xfId="2" applyFont="1" applyBorder="1" applyAlignment="1">
      <alignment horizontal="center" vertical="center"/>
    </xf>
    <xf numFmtId="3" fontId="10" fillId="0" borderId="17" xfId="2" applyNumberFormat="1" applyFont="1" applyFill="1" applyBorder="1" applyAlignment="1">
      <alignment vertical="center"/>
    </xf>
    <xf numFmtId="0" fontId="4" fillId="2" borderId="33" xfId="0" applyFont="1" applyFill="1" applyBorder="1" applyAlignment="1">
      <alignment horizontal="center"/>
    </xf>
    <xf numFmtId="3" fontId="8" fillId="0" borderId="40" xfId="2" applyNumberFormat="1" applyFont="1" applyBorder="1" applyAlignment="1">
      <alignment vertical="center"/>
    </xf>
    <xf numFmtId="165" fontId="5" fillId="0" borderId="0" xfId="2" applyNumberFormat="1" applyFont="1" applyBorder="1"/>
    <xf numFmtId="0" fontId="4" fillId="0" borderId="41" xfId="2" applyFont="1" applyBorder="1" applyAlignment="1">
      <alignment horizontal="center"/>
    </xf>
    <xf numFmtId="0" fontId="13" fillId="0" borderId="11" xfId="2" applyFont="1" applyBorder="1" applyAlignment="1">
      <alignment horizontal="right" vertical="center"/>
    </xf>
    <xf numFmtId="0" fontId="10" fillId="0" borderId="16" xfId="2" applyFont="1" applyBorder="1" applyAlignment="1">
      <alignment horizontal="center"/>
    </xf>
    <xf numFmtId="0" fontId="4" fillId="0" borderId="16" xfId="2" applyFont="1" applyBorder="1" applyAlignment="1">
      <alignment horizontal="center" vertical="top"/>
    </xf>
    <xf numFmtId="49" fontId="12" fillId="0" borderId="11" xfId="2" applyNumberFormat="1" applyFont="1" applyBorder="1" applyAlignment="1">
      <alignment horizontal="center" vertical="center" wrapText="1"/>
    </xf>
    <xf numFmtId="49" fontId="8" fillId="0" borderId="10" xfId="2" applyNumberFormat="1" applyFont="1" applyBorder="1" applyAlignment="1">
      <alignment horizontal="center" vertical="center" wrapText="1"/>
    </xf>
    <xf numFmtId="1" fontId="8" fillId="0" borderId="10" xfId="2" applyNumberFormat="1" applyFont="1" applyBorder="1" applyAlignment="1">
      <alignment horizontal="center" vertical="center" wrapText="1"/>
    </xf>
    <xf numFmtId="3" fontId="16" fillId="0" borderId="10" xfId="2" applyNumberFormat="1" applyFont="1" applyBorder="1" applyAlignment="1">
      <alignment vertical="center" wrapText="1"/>
    </xf>
    <xf numFmtId="3" fontId="6" fillId="0" borderId="42" xfId="2" applyNumberFormat="1" applyFont="1" applyBorder="1" applyAlignment="1">
      <alignment horizontal="right" vertical="center" wrapText="1"/>
    </xf>
    <xf numFmtId="3" fontId="9" fillId="0" borderId="43" xfId="2" applyNumberFormat="1" applyFont="1" applyBorder="1" applyAlignment="1">
      <alignment horizontal="right" vertical="center" wrapText="1"/>
    </xf>
    <xf numFmtId="3" fontId="9" fillId="0" borderId="22" xfId="2" applyNumberFormat="1" applyFont="1" applyBorder="1"/>
    <xf numFmtId="3" fontId="9" fillId="0" borderId="44" xfId="2" applyNumberFormat="1" applyFont="1" applyBorder="1"/>
    <xf numFmtId="0" fontId="4" fillId="0" borderId="11" xfId="2" applyFont="1" applyBorder="1" applyAlignment="1">
      <alignment horizontal="center" vertical="center" wrapText="1"/>
    </xf>
    <xf numFmtId="0" fontId="9" fillId="0" borderId="45" xfId="2" applyFont="1" applyBorder="1" applyAlignment="1">
      <alignment vertical="center" wrapText="1"/>
    </xf>
    <xf numFmtId="3" fontId="18" fillId="0" borderId="45" xfId="2" applyNumberFormat="1" applyFont="1" applyFill="1" applyBorder="1" applyAlignment="1">
      <alignment vertical="center" wrapText="1"/>
    </xf>
    <xf numFmtId="3" fontId="8" fillId="0" borderId="45" xfId="2" applyNumberFormat="1" applyFont="1" applyFill="1" applyBorder="1" applyAlignment="1">
      <alignment vertical="center" wrapText="1"/>
    </xf>
    <xf numFmtId="3" fontId="8" fillId="0" borderId="45" xfId="2" applyNumberFormat="1" applyFont="1" applyBorder="1" applyAlignment="1">
      <alignment vertical="center" wrapText="1"/>
    </xf>
    <xf numFmtId="0" fontId="4" fillId="0" borderId="46" xfId="2" applyFont="1" applyBorder="1" applyAlignment="1">
      <alignment horizontal="center" vertical="top"/>
    </xf>
    <xf numFmtId="0" fontId="4" fillId="0" borderId="47" xfId="2" applyFont="1" applyBorder="1" applyAlignment="1">
      <alignment horizontal="center" vertical="top"/>
    </xf>
    <xf numFmtId="0" fontId="13" fillId="0" borderId="14" xfId="2" applyFont="1" applyBorder="1"/>
    <xf numFmtId="3" fontId="13" fillId="0" borderId="15" xfId="2" applyNumberFormat="1" applyFont="1" applyBorder="1" applyAlignment="1">
      <alignment vertical="center" wrapText="1"/>
    </xf>
    <xf numFmtId="3" fontId="13" fillId="0" borderId="48" xfId="2" applyNumberFormat="1" applyFont="1" applyBorder="1" applyAlignment="1">
      <alignment vertical="center" wrapText="1"/>
    </xf>
    <xf numFmtId="3" fontId="11" fillId="0" borderId="43" xfId="2" applyNumberFormat="1" applyFont="1" applyBorder="1" applyAlignment="1">
      <alignment horizontal="right" vertical="center" wrapText="1"/>
    </xf>
    <xf numFmtId="3" fontId="9" fillId="0" borderId="15" xfId="2" applyNumberFormat="1" applyFont="1" applyFill="1" applyBorder="1" applyAlignment="1">
      <alignment horizontal="right" vertical="center" wrapText="1"/>
    </xf>
    <xf numFmtId="165" fontId="8" fillId="0" borderId="10" xfId="2" applyNumberFormat="1" applyFont="1" applyBorder="1" applyAlignment="1">
      <alignment vertical="center" wrapText="1"/>
    </xf>
    <xf numFmtId="0" fontId="8" fillId="0" borderId="13" xfId="2" applyFont="1" applyBorder="1" applyAlignment="1">
      <alignment horizontal="center" vertical="top"/>
    </xf>
    <xf numFmtId="3" fontId="10" fillId="0" borderId="21" xfId="2" applyNumberFormat="1" applyFont="1" applyFill="1" applyBorder="1" applyAlignment="1">
      <alignment vertical="center"/>
    </xf>
    <xf numFmtId="3" fontId="9" fillId="0" borderId="22" xfId="2" applyNumberFormat="1" applyFont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165" fontId="8" fillId="0" borderId="10" xfId="2" applyNumberFormat="1" applyFont="1" applyFill="1" applyBorder="1" applyAlignment="1">
      <alignment vertical="center" wrapText="1"/>
    </xf>
    <xf numFmtId="165" fontId="8" fillId="0" borderId="19" xfId="2" applyNumberFormat="1" applyFont="1" applyBorder="1" applyAlignment="1">
      <alignment vertical="center" wrapText="1"/>
    </xf>
    <xf numFmtId="165" fontId="10" fillId="0" borderId="17" xfId="2" applyNumberFormat="1" applyFont="1" applyBorder="1" applyAlignment="1">
      <alignment vertical="center"/>
    </xf>
    <xf numFmtId="165" fontId="8" fillId="0" borderId="17" xfId="2" applyNumberFormat="1" applyFont="1" applyBorder="1" applyAlignment="1">
      <alignment vertical="center" wrapText="1"/>
    </xf>
    <xf numFmtId="165" fontId="8" fillId="0" borderId="33" xfId="2" applyNumberFormat="1" applyFont="1" applyBorder="1" applyAlignment="1">
      <alignment vertical="center" wrapText="1"/>
    </xf>
    <xf numFmtId="165" fontId="10" fillId="0" borderId="23" xfId="2" applyNumberFormat="1" applyFont="1" applyBorder="1" applyAlignment="1">
      <alignment vertical="center"/>
    </xf>
    <xf numFmtId="165" fontId="12" fillId="0" borderId="10" xfId="2" applyNumberFormat="1" applyFont="1" applyBorder="1" applyAlignment="1">
      <alignment vertical="center" wrapText="1"/>
    </xf>
    <xf numFmtId="165" fontId="12" fillId="0" borderId="19" xfId="2" applyNumberFormat="1" applyFont="1" applyBorder="1" applyAlignment="1">
      <alignment vertical="center" wrapText="1"/>
    </xf>
    <xf numFmtId="165" fontId="10" fillId="0" borderId="21" xfId="2" applyNumberFormat="1" applyFont="1" applyBorder="1" applyAlignment="1">
      <alignment vertical="center" wrapText="1"/>
    </xf>
    <xf numFmtId="165" fontId="5" fillId="0" borderId="0" xfId="2" applyNumberFormat="1" applyFont="1"/>
    <xf numFmtId="165" fontId="4" fillId="0" borderId="10" xfId="2" applyNumberFormat="1" applyFont="1" applyBorder="1" applyAlignment="1">
      <alignment vertical="center" wrapText="1"/>
    </xf>
    <xf numFmtId="165" fontId="4" fillId="0" borderId="19" xfId="2" applyNumberFormat="1" applyFont="1" applyBorder="1" applyAlignment="1">
      <alignment vertical="center" wrapText="1"/>
    </xf>
    <xf numFmtId="165" fontId="6" fillId="0" borderId="8" xfId="2" applyNumberFormat="1" applyFont="1" applyBorder="1" applyAlignment="1">
      <alignment vertical="center" wrapText="1"/>
    </xf>
    <xf numFmtId="165" fontId="4" fillId="0" borderId="33" xfId="2" applyNumberFormat="1" applyFont="1" applyBorder="1" applyAlignment="1">
      <alignment vertical="center" wrapText="1"/>
    </xf>
    <xf numFmtId="165" fontId="11" fillId="0" borderId="17" xfId="2" applyNumberFormat="1" applyFont="1" applyBorder="1" applyAlignment="1">
      <alignment vertical="center" wrapText="1"/>
    </xf>
    <xf numFmtId="165" fontId="11" fillId="0" borderId="18" xfId="2" applyNumberFormat="1" applyFont="1" applyBorder="1" applyAlignment="1">
      <alignment vertical="center" wrapText="1"/>
    </xf>
    <xf numFmtId="165" fontId="6" fillId="0" borderId="18" xfId="2" applyNumberFormat="1" applyFont="1" applyBorder="1" applyAlignment="1">
      <alignment vertical="center" wrapText="1"/>
    </xf>
    <xf numFmtId="165" fontId="10" fillId="0" borderId="17" xfId="2" applyNumberFormat="1" applyFont="1" applyBorder="1" applyAlignment="1">
      <alignment vertical="center" wrapText="1"/>
    </xf>
    <xf numFmtId="0" fontId="4" fillId="0" borderId="5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 wrapText="1"/>
    </xf>
    <xf numFmtId="0" fontId="5" fillId="0" borderId="41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165" fontId="11" fillId="0" borderId="21" xfId="2" applyNumberFormat="1" applyFont="1" applyBorder="1" applyAlignment="1">
      <alignment vertical="center" wrapText="1"/>
    </xf>
    <xf numFmtId="0" fontId="4" fillId="0" borderId="0" xfId="2" applyFont="1" applyAlignment="1">
      <alignment horizontal="right"/>
    </xf>
    <xf numFmtId="0" fontId="4" fillId="0" borderId="50" xfId="2" applyFont="1" applyBorder="1" applyAlignment="1">
      <alignment horizontal="center" vertical="center"/>
    </xf>
    <xf numFmtId="0" fontId="12" fillId="0" borderId="51" xfId="2" applyFont="1" applyBorder="1" applyAlignment="1">
      <alignment horizontal="center" vertical="center" wrapText="1"/>
    </xf>
    <xf numFmtId="0" fontId="10" fillId="0" borderId="51" xfId="2" applyFont="1" applyBorder="1" applyAlignment="1">
      <alignment vertical="center"/>
    </xf>
    <xf numFmtId="165" fontId="10" fillId="0" borderId="52" xfId="2" applyNumberFormat="1" applyFont="1" applyBorder="1" applyAlignment="1">
      <alignment vertical="center"/>
    </xf>
    <xf numFmtId="165" fontId="10" fillId="0" borderId="53" xfId="2" applyNumberFormat="1" applyFont="1" applyBorder="1" applyAlignment="1">
      <alignment vertical="center"/>
    </xf>
    <xf numFmtId="0" fontId="4" fillId="0" borderId="13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 wrapText="1"/>
    </xf>
    <xf numFmtId="165" fontId="10" fillId="0" borderId="48" xfId="2" applyNumberFormat="1" applyFont="1" applyBorder="1" applyAlignment="1">
      <alignment vertical="center"/>
    </xf>
    <xf numFmtId="165" fontId="10" fillId="0" borderId="43" xfId="2" applyNumberFormat="1" applyFont="1" applyBorder="1" applyAlignment="1">
      <alignment vertical="center"/>
    </xf>
    <xf numFmtId="0" fontId="4" fillId="0" borderId="54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 wrapText="1"/>
    </xf>
    <xf numFmtId="0" fontId="10" fillId="0" borderId="24" xfId="2" applyFont="1" applyBorder="1" applyAlignment="1">
      <alignment vertical="center"/>
    </xf>
    <xf numFmtId="165" fontId="10" fillId="0" borderId="55" xfId="2" applyNumberFormat="1" applyFont="1" applyBorder="1" applyAlignment="1">
      <alignment vertical="center"/>
    </xf>
    <xf numFmtId="165" fontId="10" fillId="0" borderId="56" xfId="2" applyNumberFormat="1" applyFont="1" applyBorder="1" applyAlignment="1">
      <alignment vertical="center"/>
    </xf>
    <xf numFmtId="0" fontId="8" fillId="0" borderId="15" xfId="2" applyFont="1" applyBorder="1" applyAlignment="1">
      <alignment vertical="center"/>
    </xf>
    <xf numFmtId="0" fontId="4" fillId="2" borderId="9" xfId="0" applyFont="1" applyFill="1" applyBorder="1" applyAlignment="1">
      <alignment horizontal="center"/>
    </xf>
    <xf numFmtId="3" fontId="16" fillId="0" borderId="19" xfId="2" applyNumberFormat="1" applyFont="1" applyBorder="1" applyAlignment="1">
      <alignment vertical="center" wrapText="1"/>
    </xf>
    <xf numFmtId="3" fontId="11" fillId="0" borderId="17" xfId="2" applyNumberFormat="1" applyFont="1" applyBorder="1" applyAlignment="1">
      <alignment vertical="center" wrapText="1"/>
    </xf>
    <xf numFmtId="165" fontId="20" fillId="0" borderId="17" xfId="2" applyNumberFormat="1" applyFont="1" applyBorder="1" applyAlignment="1">
      <alignment vertical="center" wrapText="1"/>
    </xf>
    <xf numFmtId="1" fontId="8" fillId="3" borderId="10" xfId="2" applyNumberFormat="1" applyFont="1" applyFill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/>
    </xf>
    <xf numFmtId="3" fontId="8" fillId="0" borderId="22" xfId="2" applyNumberFormat="1" applyFont="1" applyBorder="1" applyAlignment="1">
      <alignment vertical="center" wrapText="1"/>
    </xf>
    <xf numFmtId="164" fontId="11" fillId="0" borderId="21" xfId="2" applyNumberFormat="1" applyFont="1" applyBorder="1" applyAlignment="1">
      <alignment vertical="center" wrapText="1"/>
    </xf>
    <xf numFmtId="0" fontId="8" fillId="3" borderId="5" xfId="2" applyFont="1" applyFill="1" applyBorder="1" applyAlignment="1">
      <alignment horizontal="center" vertical="center"/>
    </xf>
    <xf numFmtId="0" fontId="8" fillId="3" borderId="10" xfId="2" applyFont="1" applyFill="1" applyBorder="1" applyAlignment="1">
      <alignment vertical="center" wrapText="1"/>
    </xf>
    <xf numFmtId="0" fontId="4" fillId="0" borderId="57" xfId="2" applyFont="1" applyBorder="1" applyAlignment="1">
      <alignment horizontal="center"/>
    </xf>
    <xf numFmtId="0" fontId="4" fillId="0" borderId="58" xfId="2" applyFont="1" applyBorder="1" applyAlignment="1">
      <alignment horizontal="center"/>
    </xf>
    <xf numFmtId="0" fontId="13" fillId="0" borderId="59" xfId="2" applyFont="1" applyBorder="1" applyAlignment="1">
      <alignment horizontal="right" vertical="center"/>
    </xf>
    <xf numFmtId="0" fontId="4" fillId="0" borderId="15" xfId="2" applyFont="1" applyBorder="1" applyAlignment="1">
      <alignment horizontal="center" vertical="center"/>
    </xf>
    <xf numFmtId="0" fontId="4" fillId="0" borderId="43" xfId="2" applyFont="1" applyBorder="1" applyAlignment="1">
      <alignment horizontal="center" vertical="center"/>
    </xf>
    <xf numFmtId="0" fontId="4" fillId="0" borderId="42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9" fillId="0" borderId="15" xfId="2" applyFont="1" applyBorder="1" applyAlignment="1">
      <alignment vertical="center"/>
    </xf>
    <xf numFmtId="0" fontId="13" fillId="0" borderId="11" xfId="2" applyFont="1" applyBorder="1" applyAlignment="1">
      <alignment vertical="center"/>
    </xf>
    <xf numFmtId="3" fontId="13" fillId="0" borderId="11" xfId="2" applyNumberFormat="1" applyFont="1" applyBorder="1" applyAlignment="1">
      <alignment vertical="center" wrapText="1"/>
    </xf>
    <xf numFmtId="0" fontId="4" fillId="0" borderId="10" xfId="2" applyFont="1" applyBorder="1" applyAlignment="1">
      <alignment horizontal="center" vertical="center"/>
    </xf>
    <xf numFmtId="0" fontId="10" fillId="0" borderId="10" xfId="2" applyFont="1" applyBorder="1" applyAlignment="1">
      <alignment vertical="center"/>
    </xf>
    <xf numFmtId="0" fontId="5" fillId="0" borderId="17" xfId="2" applyFont="1" applyBorder="1" applyAlignment="1">
      <alignment horizontal="center"/>
    </xf>
    <xf numFmtId="0" fontId="8" fillId="0" borderId="5" xfId="2" applyFont="1" applyFill="1" applyBorder="1" applyAlignment="1">
      <alignment horizontal="center" vertical="center"/>
    </xf>
    <xf numFmtId="1" fontId="8" fillId="0" borderId="10" xfId="2" applyNumberFormat="1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1" fontId="8" fillId="0" borderId="15" xfId="2" applyNumberFormat="1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1" fontId="4" fillId="0" borderId="15" xfId="2" applyNumberFormat="1" applyFont="1" applyFill="1" applyBorder="1" applyAlignment="1">
      <alignment horizontal="center" vertical="center" wrapText="1"/>
    </xf>
    <xf numFmtId="3" fontId="4" fillId="0" borderId="10" xfId="2" applyNumberFormat="1" applyFont="1" applyBorder="1" applyAlignment="1">
      <alignment vertical="center" wrapText="1"/>
    </xf>
    <xf numFmtId="3" fontId="4" fillId="0" borderId="19" xfId="2" applyNumberFormat="1" applyFont="1" applyBorder="1" applyAlignment="1">
      <alignment vertical="center" wrapText="1"/>
    </xf>
    <xf numFmtId="3" fontId="11" fillId="0" borderId="18" xfId="2" applyNumberFormat="1" applyFont="1" applyBorder="1" applyAlignment="1">
      <alignment vertical="center" wrapText="1"/>
    </xf>
    <xf numFmtId="3" fontId="13" fillId="0" borderId="11" xfId="2" applyNumberFormat="1" applyFont="1" applyBorder="1" applyAlignment="1">
      <alignment vertical="center"/>
    </xf>
    <xf numFmtId="3" fontId="16" fillId="0" borderId="60" xfId="2" applyNumberFormat="1" applyFont="1" applyBorder="1"/>
    <xf numFmtId="3" fontId="16" fillId="0" borderId="61" xfId="2" applyNumberFormat="1" applyFont="1" applyBorder="1"/>
    <xf numFmtId="165" fontId="16" fillId="0" borderId="19" xfId="2" applyNumberFormat="1" applyFont="1" applyBorder="1" applyAlignment="1">
      <alignment vertical="center" wrapText="1"/>
    </xf>
    <xf numFmtId="165" fontId="16" fillId="3" borderId="62" xfId="2" applyNumberFormat="1" applyFont="1" applyFill="1" applyBorder="1" applyAlignment="1">
      <alignment vertical="center" wrapText="1"/>
    </xf>
    <xf numFmtId="3" fontId="16" fillId="0" borderId="63" xfId="2" applyNumberFormat="1" applyFont="1" applyBorder="1"/>
    <xf numFmtId="164" fontId="11" fillId="0" borderId="64" xfId="2" applyNumberFormat="1" applyFont="1" applyBorder="1" applyAlignment="1">
      <alignment vertical="center" wrapText="1"/>
    </xf>
    <xf numFmtId="165" fontId="10" fillId="0" borderId="61" xfId="2" applyNumberFormat="1" applyFont="1" applyBorder="1" applyAlignment="1">
      <alignment horizontal="right" vertical="center" wrapText="1"/>
    </xf>
    <xf numFmtId="0" fontId="4" fillId="0" borderId="8" xfId="2" applyFont="1" applyBorder="1" applyAlignment="1">
      <alignment horizontal="center"/>
    </xf>
    <xf numFmtId="0" fontId="4" fillId="0" borderId="65" xfId="2" applyFont="1" applyBorder="1" applyAlignment="1">
      <alignment horizontal="center"/>
    </xf>
    <xf numFmtId="0" fontId="4" fillId="0" borderId="66" xfId="2" applyFont="1" applyBorder="1" applyAlignment="1">
      <alignment horizontal="center" vertical="center"/>
    </xf>
    <xf numFmtId="3" fontId="9" fillId="0" borderId="66" xfId="2" applyNumberFormat="1" applyFont="1" applyFill="1" applyBorder="1" applyAlignment="1">
      <alignment horizontal="right" vertical="center" wrapText="1"/>
    </xf>
    <xf numFmtId="3" fontId="8" fillId="0" borderId="8" xfId="2" applyNumberFormat="1" applyFont="1" applyBorder="1" applyAlignment="1">
      <alignment vertical="center" wrapText="1"/>
    </xf>
    <xf numFmtId="3" fontId="13" fillId="0" borderId="66" xfId="2" applyNumberFormat="1" applyFont="1" applyBorder="1" applyAlignment="1">
      <alignment vertical="center" wrapText="1"/>
    </xf>
    <xf numFmtId="3" fontId="9" fillId="0" borderId="66" xfId="2" applyNumberFormat="1" applyFont="1" applyBorder="1" applyAlignment="1">
      <alignment horizontal="right" vertical="center" wrapText="1"/>
    </xf>
    <xf numFmtId="3" fontId="6" fillId="0" borderId="62" xfId="2" applyNumberFormat="1" applyFont="1" applyBorder="1" applyAlignment="1">
      <alignment vertical="center" wrapText="1"/>
    </xf>
    <xf numFmtId="3" fontId="4" fillId="0" borderId="8" xfId="2" applyNumberFormat="1" applyFont="1" applyBorder="1" applyAlignment="1">
      <alignment vertical="center" wrapText="1"/>
    </xf>
    <xf numFmtId="3" fontId="16" fillId="3" borderId="62" xfId="2" applyNumberFormat="1" applyFont="1" applyFill="1" applyBorder="1" applyAlignment="1">
      <alignment vertical="center" wrapText="1"/>
    </xf>
    <xf numFmtId="3" fontId="4" fillId="0" borderId="33" xfId="2" applyNumberFormat="1" applyFont="1" applyBorder="1" applyAlignment="1">
      <alignment vertical="center" wrapText="1"/>
    </xf>
    <xf numFmtId="3" fontId="4" fillId="0" borderId="34" xfId="2" applyNumberFormat="1" applyFont="1" applyBorder="1" applyAlignment="1">
      <alignment vertical="center" wrapText="1"/>
    </xf>
    <xf numFmtId="3" fontId="6" fillId="0" borderId="67" xfId="2" applyNumberFormat="1" applyFont="1" applyBorder="1" applyAlignment="1">
      <alignment vertical="center" wrapText="1"/>
    </xf>
    <xf numFmtId="3" fontId="4" fillId="0" borderId="68" xfId="2" applyNumberFormat="1" applyFont="1" applyBorder="1" applyAlignment="1">
      <alignment vertical="center" wrapText="1"/>
    </xf>
    <xf numFmtId="3" fontId="11" fillId="0" borderId="64" xfId="2" applyNumberFormat="1" applyFont="1" applyBorder="1" applyAlignment="1">
      <alignment vertical="center" wrapText="1"/>
    </xf>
    <xf numFmtId="3" fontId="11" fillId="0" borderId="23" xfId="2" applyNumberFormat="1" applyFont="1" applyBorder="1" applyAlignment="1">
      <alignment vertical="center" wrapText="1"/>
    </xf>
    <xf numFmtId="3" fontId="16" fillId="0" borderId="62" xfId="2" applyNumberFormat="1" applyFont="1" applyBorder="1" applyAlignment="1">
      <alignment vertical="center" wrapText="1"/>
    </xf>
    <xf numFmtId="0" fontId="8" fillId="0" borderId="18" xfId="2" applyFont="1" applyBorder="1" applyAlignment="1">
      <alignment horizontal="center" vertical="center"/>
    </xf>
    <xf numFmtId="3" fontId="11" fillId="0" borderId="10" xfId="2" applyNumberFormat="1" applyFont="1" applyBorder="1" applyAlignment="1">
      <alignment vertical="center" wrapText="1"/>
    </xf>
    <xf numFmtId="3" fontId="11" fillId="0" borderId="19" xfId="2" applyNumberFormat="1" applyFont="1" applyBorder="1" applyAlignment="1">
      <alignment vertical="center" wrapText="1"/>
    </xf>
    <xf numFmtId="16" fontId="14" fillId="0" borderId="17" xfId="2" quotePrefix="1" applyNumberFormat="1" applyFont="1" applyBorder="1" applyAlignment="1">
      <alignment horizontal="center" vertical="center"/>
    </xf>
    <xf numFmtId="165" fontId="6" fillId="3" borderId="8" xfId="2" applyNumberFormat="1" applyFont="1" applyFill="1" applyBorder="1" applyAlignment="1">
      <alignment vertical="center" wrapText="1"/>
    </xf>
    <xf numFmtId="3" fontId="13" fillId="0" borderId="69" xfId="2" applyNumberFormat="1" applyFont="1" applyBorder="1" applyAlignment="1">
      <alignment vertical="center" wrapText="1"/>
    </xf>
    <xf numFmtId="3" fontId="11" fillId="0" borderId="70" xfId="2" applyNumberFormat="1" applyFont="1" applyBorder="1" applyAlignment="1">
      <alignment vertical="center" wrapText="1"/>
    </xf>
    <xf numFmtId="3" fontId="16" fillId="0" borderId="8" xfId="2" applyNumberFormat="1" applyFont="1" applyBorder="1" applyAlignment="1">
      <alignment vertical="center" wrapText="1"/>
    </xf>
    <xf numFmtId="3" fontId="16" fillId="0" borderId="68" xfId="2" applyNumberFormat="1" applyFont="1" applyBorder="1" applyAlignment="1">
      <alignment vertical="center" wrapText="1"/>
    </xf>
    <xf numFmtId="3" fontId="10" fillId="0" borderId="18" xfId="2" applyNumberFormat="1" applyFont="1" applyBorder="1" applyAlignment="1">
      <alignment vertical="center"/>
    </xf>
    <xf numFmtId="165" fontId="16" fillId="0" borderId="8" xfId="2" applyNumberFormat="1" applyFont="1" applyBorder="1" applyAlignment="1">
      <alignment vertical="center" wrapText="1"/>
    </xf>
    <xf numFmtId="165" fontId="10" fillId="0" borderId="18" xfId="2" applyNumberFormat="1" applyFont="1" applyBorder="1" applyAlignment="1">
      <alignment vertical="center"/>
    </xf>
    <xf numFmtId="165" fontId="10" fillId="0" borderId="70" xfId="2" applyNumberFormat="1" applyFont="1" applyBorder="1" applyAlignment="1">
      <alignment vertical="center"/>
    </xf>
    <xf numFmtId="165" fontId="10" fillId="0" borderId="66" xfId="2" applyNumberFormat="1" applyFont="1" applyBorder="1" applyAlignment="1">
      <alignment vertical="center"/>
    </xf>
    <xf numFmtId="165" fontId="10" fillId="0" borderId="71" xfId="2" applyNumberFormat="1" applyFont="1" applyBorder="1" applyAlignment="1">
      <alignment vertical="center"/>
    </xf>
    <xf numFmtId="0" fontId="4" fillId="0" borderId="15" xfId="2" applyFont="1" applyBorder="1" applyAlignment="1">
      <alignment horizontal="center"/>
    </xf>
    <xf numFmtId="165" fontId="8" fillId="0" borderId="21" xfId="2" applyNumberFormat="1" applyFont="1" applyBorder="1" applyAlignment="1">
      <alignment vertical="center" wrapText="1"/>
    </xf>
    <xf numFmtId="3" fontId="11" fillId="0" borderId="21" xfId="2" applyNumberFormat="1" applyFont="1" applyBorder="1" applyAlignment="1">
      <alignment vertical="center" wrapText="1"/>
    </xf>
    <xf numFmtId="49" fontId="12" fillId="0" borderId="9" xfId="2" applyNumberFormat="1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/>
    </xf>
    <xf numFmtId="49" fontId="4" fillId="0" borderId="9" xfId="2" applyNumberFormat="1" applyFont="1" applyBorder="1" applyAlignment="1">
      <alignment horizontal="center" vertical="center" wrapText="1"/>
    </xf>
    <xf numFmtId="0" fontId="9" fillId="0" borderId="72" xfId="2" applyFont="1" applyBorder="1" applyAlignment="1">
      <alignment vertical="center"/>
    </xf>
    <xf numFmtId="3" fontId="8" fillId="0" borderId="72" xfId="2" applyNumberFormat="1" applyFont="1" applyBorder="1" applyAlignment="1">
      <alignment vertical="center"/>
    </xf>
    <xf numFmtId="3" fontId="8" fillId="0" borderId="73" xfId="2" applyNumberFormat="1" applyFont="1" applyBorder="1" applyAlignment="1">
      <alignment vertical="center"/>
    </xf>
    <xf numFmtId="0" fontId="4" fillId="0" borderId="17" xfId="2" applyFont="1" applyBorder="1" applyAlignment="1">
      <alignment horizontal="center" vertical="center" wrapText="1"/>
    </xf>
    <xf numFmtId="0" fontId="12" fillId="0" borderId="17" xfId="2" applyFont="1" applyBorder="1" applyAlignment="1">
      <alignment vertical="center" wrapText="1"/>
    </xf>
    <xf numFmtId="3" fontId="12" fillId="0" borderId="17" xfId="2" applyNumberFormat="1" applyFont="1" applyBorder="1" applyAlignment="1">
      <alignment vertical="center" wrapText="1"/>
    </xf>
    <xf numFmtId="0" fontId="4" fillId="0" borderId="8" xfId="2" applyFont="1" applyFill="1" applyBorder="1" applyAlignment="1">
      <alignment horizontal="center"/>
    </xf>
    <xf numFmtId="0" fontId="8" fillId="0" borderId="8" xfId="2" applyFont="1" applyFill="1" applyBorder="1" applyAlignment="1">
      <alignment horizontal="center"/>
    </xf>
    <xf numFmtId="0" fontId="4" fillId="0" borderId="75" xfId="2" applyFont="1" applyBorder="1" applyAlignment="1">
      <alignment horizontal="center" vertical="center" wrapText="1"/>
    </xf>
    <xf numFmtId="0" fontId="12" fillId="0" borderId="75" xfId="2" applyFont="1" applyBorder="1" applyAlignment="1">
      <alignment vertical="center" wrapText="1"/>
    </xf>
    <xf numFmtId="3" fontId="12" fillId="0" borderId="75" xfId="2" applyNumberFormat="1" applyFont="1" applyBorder="1" applyAlignment="1">
      <alignment vertical="center" wrapText="1"/>
    </xf>
    <xf numFmtId="3" fontId="16" fillId="0" borderId="44" xfId="2" applyNumberFormat="1" applyFont="1" applyBorder="1" applyAlignment="1">
      <alignment vertical="center"/>
    </xf>
    <xf numFmtId="0" fontId="4" fillId="0" borderId="75" xfId="2" applyFont="1" applyFill="1" applyBorder="1" applyAlignment="1">
      <alignment horizontal="center" vertical="center" wrapText="1"/>
    </xf>
    <xf numFmtId="3" fontId="20" fillId="0" borderId="17" xfId="2" applyNumberFormat="1" applyFont="1" applyBorder="1" applyAlignment="1">
      <alignment vertical="center" wrapText="1"/>
    </xf>
    <xf numFmtId="3" fontId="13" fillId="0" borderId="59" xfId="2" applyNumberFormat="1" applyFont="1" applyBorder="1" applyAlignment="1">
      <alignment vertical="center" wrapText="1"/>
    </xf>
    <xf numFmtId="49" fontId="8" fillId="0" borderId="15" xfId="2" applyNumberFormat="1" applyFont="1" applyFill="1" applyBorder="1" applyAlignment="1">
      <alignment horizontal="center" vertical="center" wrapText="1"/>
    </xf>
    <xf numFmtId="3" fontId="9" fillId="0" borderId="10" xfId="2" applyNumberFormat="1" applyFont="1" applyBorder="1" applyAlignment="1">
      <alignment horizontal="right" vertical="center" wrapText="1"/>
    </xf>
    <xf numFmtId="3" fontId="9" fillId="0" borderId="19" xfId="2" applyNumberFormat="1" applyFont="1" applyBorder="1" applyAlignment="1">
      <alignment horizontal="right" vertical="center" wrapText="1"/>
    </xf>
    <xf numFmtId="0" fontId="8" fillId="0" borderId="0" xfId="2" applyFont="1" applyBorder="1" applyAlignment="1">
      <alignment horizontal="left" vertical="center"/>
    </xf>
    <xf numFmtId="16" fontId="5" fillId="0" borderId="17" xfId="2" applyNumberFormat="1" applyFont="1" applyBorder="1" applyAlignment="1">
      <alignment horizontal="center" vertical="center"/>
    </xf>
    <xf numFmtId="3" fontId="11" fillId="0" borderId="66" xfId="2" applyNumberFormat="1" applyFont="1" applyBorder="1" applyAlignment="1">
      <alignment vertical="center" wrapText="1"/>
    </xf>
    <xf numFmtId="165" fontId="8" fillId="0" borderId="8" xfId="2" applyNumberFormat="1" applyFont="1" applyBorder="1" applyAlignment="1">
      <alignment vertical="center" wrapText="1"/>
    </xf>
    <xf numFmtId="165" fontId="16" fillId="3" borderId="8" xfId="2" applyNumberFormat="1" applyFont="1" applyFill="1" applyBorder="1" applyAlignment="1">
      <alignment vertical="center" wrapText="1"/>
    </xf>
    <xf numFmtId="165" fontId="22" fillId="0" borderId="17" xfId="2" applyNumberFormat="1" applyFont="1" applyBorder="1" applyAlignment="1">
      <alignment vertical="center" wrapText="1"/>
    </xf>
    <xf numFmtId="165" fontId="8" fillId="3" borderId="10" xfId="2" applyNumberFormat="1" applyFont="1" applyFill="1" applyBorder="1" applyAlignment="1">
      <alignment vertical="center" wrapText="1"/>
    </xf>
    <xf numFmtId="165" fontId="8" fillId="3" borderId="8" xfId="2" applyNumberFormat="1" applyFont="1" applyFill="1" applyBorder="1" applyAlignment="1">
      <alignment vertical="center" wrapText="1"/>
    </xf>
    <xf numFmtId="49" fontId="8" fillId="0" borderId="11" xfId="2" applyNumberFormat="1" applyFont="1" applyFill="1" applyBorder="1" applyAlignment="1">
      <alignment horizontal="center" vertical="center" wrapText="1"/>
    </xf>
    <xf numFmtId="3" fontId="11" fillId="0" borderId="8" xfId="2" applyNumberFormat="1" applyFont="1" applyBorder="1" applyAlignment="1">
      <alignment vertical="center" wrapText="1"/>
    </xf>
    <xf numFmtId="165" fontId="11" fillId="0" borderId="8" xfId="2" applyNumberFormat="1" applyFont="1" applyBorder="1" applyAlignment="1">
      <alignment vertical="center" wrapText="1"/>
    </xf>
    <xf numFmtId="165" fontId="10" fillId="0" borderId="10" xfId="2" applyNumberFormat="1" applyFont="1" applyBorder="1" applyAlignment="1">
      <alignment vertical="center"/>
    </xf>
    <xf numFmtId="165" fontId="10" fillId="0" borderId="19" xfId="2" applyNumberFormat="1" applyFont="1" applyBorder="1" applyAlignment="1">
      <alignment vertical="center"/>
    </xf>
    <xf numFmtId="0" fontId="4" fillId="0" borderId="0" xfId="2" applyFont="1" applyBorder="1" applyAlignment="1">
      <alignment horizontal="center" vertical="top"/>
    </xf>
    <xf numFmtId="0" fontId="4" fillId="0" borderId="0" xfId="2" applyFont="1" applyBorder="1" applyAlignment="1">
      <alignment horizontal="right" vertical="top"/>
    </xf>
    <xf numFmtId="0" fontId="8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 vertical="center"/>
    </xf>
    <xf numFmtId="3" fontId="11" fillId="0" borderId="0" xfId="2" applyNumberFormat="1" applyFont="1" applyBorder="1" applyAlignment="1">
      <alignment horizontal="right" vertical="center" wrapText="1"/>
    </xf>
    <xf numFmtId="3" fontId="16" fillId="0" borderId="0" xfId="2" applyNumberFormat="1" applyFont="1" applyBorder="1" applyAlignment="1">
      <alignment vertical="center" wrapText="1"/>
    </xf>
    <xf numFmtId="3" fontId="10" fillId="0" borderId="0" xfId="2" applyNumberFormat="1" applyFont="1" applyBorder="1" applyAlignment="1">
      <alignment vertical="center"/>
    </xf>
    <xf numFmtId="3" fontId="10" fillId="0" borderId="0" xfId="2" applyNumberFormat="1" applyFont="1" applyFill="1" applyBorder="1" applyAlignment="1">
      <alignment vertical="center"/>
    </xf>
    <xf numFmtId="3" fontId="17" fillId="0" borderId="0" xfId="2" applyNumberFormat="1" applyFont="1" applyBorder="1" applyAlignment="1">
      <alignment vertical="center" wrapText="1"/>
    </xf>
    <xf numFmtId="3" fontId="19" fillId="0" borderId="0" xfId="2" applyNumberFormat="1" applyFont="1" applyFill="1" applyBorder="1" applyAlignment="1">
      <alignment vertical="center" wrapText="1"/>
    </xf>
    <xf numFmtId="3" fontId="19" fillId="0" borderId="0" xfId="2" applyNumberFormat="1" applyFont="1" applyBorder="1" applyAlignment="1">
      <alignment vertical="center" wrapText="1"/>
    </xf>
    <xf numFmtId="165" fontId="19" fillId="0" borderId="0" xfId="2" applyNumberFormat="1" applyFont="1" applyBorder="1" applyAlignment="1">
      <alignment vertical="center" wrapText="1"/>
    </xf>
    <xf numFmtId="165" fontId="11" fillId="0" borderId="0" xfId="2" applyNumberFormat="1" applyFont="1" applyBorder="1" applyAlignment="1">
      <alignment vertical="center" wrapText="1"/>
    </xf>
    <xf numFmtId="165" fontId="16" fillId="0" borderId="0" xfId="2" applyNumberFormat="1" applyFont="1" applyBorder="1" applyAlignment="1">
      <alignment vertical="center" wrapText="1"/>
    </xf>
    <xf numFmtId="165" fontId="10" fillId="0" borderId="0" xfId="2" applyNumberFormat="1" applyFont="1" applyBorder="1" applyAlignment="1">
      <alignment vertical="center"/>
    </xf>
    <xf numFmtId="165" fontId="8" fillId="0" borderId="0" xfId="2" applyNumberFormat="1" applyFont="1" applyBorder="1" applyAlignment="1">
      <alignment vertical="center" wrapText="1"/>
    </xf>
    <xf numFmtId="165" fontId="10" fillId="0" borderId="0" xfId="2" applyNumberFormat="1" applyFont="1" applyBorder="1" applyAlignment="1">
      <alignment vertical="center" wrapText="1"/>
    </xf>
    <xf numFmtId="3" fontId="10" fillId="0" borderId="23" xfId="2" applyNumberFormat="1" applyFont="1" applyFill="1" applyBorder="1" applyAlignment="1">
      <alignment vertical="center"/>
    </xf>
    <xf numFmtId="0" fontId="6" fillId="0" borderId="76" xfId="2" applyFont="1" applyBorder="1" applyAlignment="1">
      <alignment horizontal="center"/>
    </xf>
    <xf numFmtId="0" fontId="6" fillId="0" borderId="19" xfId="2" applyFont="1" applyBorder="1" applyAlignment="1">
      <alignment horizontal="center"/>
    </xf>
    <xf numFmtId="0" fontId="6" fillId="0" borderId="77" xfId="2" applyFont="1" applyBorder="1" applyAlignment="1">
      <alignment horizontal="center"/>
    </xf>
    <xf numFmtId="0" fontId="4" fillId="0" borderId="78" xfId="2" applyFont="1" applyBorder="1" applyAlignment="1">
      <alignment horizontal="center" vertical="center"/>
    </xf>
    <xf numFmtId="3" fontId="11" fillId="0" borderId="69" xfId="2" applyNumberFormat="1" applyFont="1" applyBorder="1" applyAlignment="1">
      <alignment horizontal="right" vertical="center" wrapText="1"/>
    </xf>
    <xf numFmtId="3" fontId="11" fillId="0" borderId="48" xfId="2" applyNumberFormat="1" applyFont="1" applyBorder="1" applyAlignment="1">
      <alignment horizontal="right" vertical="center" wrapText="1"/>
    </xf>
    <xf numFmtId="3" fontId="17" fillId="0" borderId="27" xfId="2" applyNumberFormat="1" applyFont="1" applyBorder="1" applyAlignment="1">
      <alignment vertical="center" wrapText="1"/>
    </xf>
    <xf numFmtId="165" fontId="19" fillId="0" borderId="79" xfId="2" applyNumberFormat="1" applyFont="1" applyBorder="1" applyAlignment="1">
      <alignment vertical="center" wrapText="1"/>
    </xf>
    <xf numFmtId="3" fontId="10" fillId="0" borderId="80" xfId="2" applyNumberFormat="1" applyFont="1" applyBorder="1" applyAlignment="1">
      <alignment vertical="center"/>
    </xf>
    <xf numFmtId="165" fontId="11" fillId="0" borderId="81" xfId="2" applyNumberFormat="1" applyFont="1" applyBorder="1" applyAlignment="1">
      <alignment vertical="center" wrapText="1"/>
    </xf>
    <xf numFmtId="165" fontId="16" fillId="0" borderId="34" xfId="2" applyNumberFormat="1" applyFont="1" applyBorder="1" applyAlignment="1">
      <alignment vertical="center" wrapText="1"/>
    </xf>
    <xf numFmtId="3" fontId="16" fillId="0" borderId="34" xfId="2" applyNumberFormat="1" applyFont="1" applyBorder="1" applyAlignment="1">
      <alignment vertical="center" wrapText="1"/>
    </xf>
    <xf numFmtId="3" fontId="10" fillId="0" borderId="34" xfId="2" applyNumberFormat="1" applyFont="1" applyBorder="1" applyAlignment="1">
      <alignment vertical="center"/>
    </xf>
    <xf numFmtId="3" fontId="10" fillId="0" borderId="19" xfId="2" applyNumberFormat="1" applyFont="1" applyBorder="1" applyAlignment="1">
      <alignment vertical="center"/>
    </xf>
    <xf numFmtId="165" fontId="10" fillId="0" borderId="23" xfId="2" applyNumberFormat="1" applyFont="1" applyBorder="1" applyAlignment="1">
      <alignment vertical="center" wrapText="1"/>
    </xf>
    <xf numFmtId="0" fontId="4" fillId="0" borderId="82" xfId="2" applyFont="1" applyBorder="1" applyAlignment="1">
      <alignment horizontal="center"/>
    </xf>
    <xf numFmtId="3" fontId="8" fillId="0" borderId="83" xfId="2" applyNumberFormat="1" applyFont="1" applyBorder="1" applyAlignment="1">
      <alignment vertical="center"/>
    </xf>
    <xf numFmtId="3" fontId="8" fillId="0" borderId="84" xfId="2" applyNumberFormat="1" applyFont="1" applyBorder="1" applyAlignment="1">
      <alignment vertical="center"/>
    </xf>
    <xf numFmtId="3" fontId="8" fillId="0" borderId="84" xfId="2" applyNumberFormat="1" applyFont="1" applyBorder="1" applyAlignment="1">
      <alignment vertical="center" wrapText="1"/>
    </xf>
    <xf numFmtId="3" fontId="8" fillId="0" borderId="85" xfId="2" applyNumberFormat="1" applyFont="1" applyBorder="1" applyAlignment="1">
      <alignment vertical="center" wrapText="1"/>
    </xf>
    <xf numFmtId="3" fontId="8" fillId="0" borderId="86" xfId="2" applyNumberFormat="1" applyFont="1" applyBorder="1" applyAlignment="1">
      <alignment vertical="center" wrapText="1"/>
    </xf>
    <xf numFmtId="3" fontId="12" fillId="0" borderId="8" xfId="2" applyNumberFormat="1" applyFont="1" applyBorder="1" applyAlignment="1">
      <alignment vertical="center" wrapText="1"/>
    </xf>
    <xf numFmtId="3" fontId="13" fillId="0" borderId="87" xfId="2" applyNumberFormat="1" applyFont="1" applyBorder="1" applyAlignment="1">
      <alignment vertical="center" wrapText="1"/>
    </xf>
    <xf numFmtId="165" fontId="8" fillId="0" borderId="68" xfId="2" applyNumberFormat="1" applyFont="1" applyBorder="1" applyAlignment="1">
      <alignment vertical="center" wrapText="1"/>
    </xf>
    <xf numFmtId="3" fontId="8" fillId="0" borderId="68" xfId="2" applyNumberFormat="1" applyFont="1" applyBorder="1" applyAlignment="1">
      <alignment vertical="center" wrapText="1"/>
    </xf>
    <xf numFmtId="3" fontId="13" fillId="0" borderId="49" xfId="2" applyNumberFormat="1" applyFont="1" applyBorder="1" applyAlignment="1">
      <alignment vertical="center"/>
    </xf>
    <xf numFmtId="165" fontId="4" fillId="0" borderId="8" xfId="2" applyNumberFormat="1" applyFont="1" applyBorder="1" applyAlignment="1">
      <alignment vertical="center" wrapText="1"/>
    </xf>
    <xf numFmtId="165" fontId="12" fillId="0" borderId="8" xfId="2" applyNumberFormat="1" applyFont="1" applyBorder="1" applyAlignment="1">
      <alignment vertical="center" wrapText="1"/>
    </xf>
    <xf numFmtId="165" fontId="10" fillId="0" borderId="18" xfId="2" applyNumberFormat="1" applyFont="1" applyFill="1" applyBorder="1" applyAlignment="1">
      <alignment vertical="center" wrapText="1"/>
    </xf>
    <xf numFmtId="0" fontId="28" fillId="0" borderId="0" xfId="2" applyFont="1" applyBorder="1" applyAlignment="1">
      <alignment vertical="center" wrapText="1"/>
    </xf>
    <xf numFmtId="165" fontId="28" fillId="0" borderId="10" xfId="2" applyNumberFormat="1" applyFont="1" applyBorder="1" applyAlignment="1">
      <alignment vertical="center" wrapText="1"/>
    </xf>
    <xf numFmtId="165" fontId="29" fillId="0" borderId="19" xfId="2" applyNumberFormat="1" applyFont="1" applyBorder="1" applyAlignment="1">
      <alignment vertical="center" wrapText="1"/>
    </xf>
    <xf numFmtId="0" fontId="4" fillId="0" borderId="6" xfId="2" applyFont="1" applyBorder="1" applyAlignment="1"/>
    <xf numFmtId="0" fontId="0" fillId="0" borderId="88" xfId="0" applyBorder="1" applyAlignment="1"/>
    <xf numFmtId="0" fontId="4" fillId="0" borderId="89" xfId="2" applyFont="1" applyBorder="1" applyAlignment="1"/>
    <xf numFmtId="0" fontId="8" fillId="0" borderId="10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16" fillId="0" borderId="10" xfId="2" applyFont="1" applyBorder="1" applyAlignment="1">
      <alignment horizontal="center"/>
    </xf>
    <xf numFmtId="0" fontId="4" fillId="0" borderId="33" xfId="2" applyFont="1" applyBorder="1" applyAlignment="1">
      <alignment horizontal="center"/>
    </xf>
    <xf numFmtId="0" fontId="4" fillId="0" borderId="90" xfId="2" applyFont="1" applyBorder="1" applyAlignment="1"/>
    <xf numFmtId="0" fontId="4" fillId="2" borderId="90" xfId="0" applyFont="1" applyFill="1" applyBorder="1" applyAlignment="1" applyProtection="1">
      <protection hidden="1"/>
    </xf>
    <xf numFmtId="0" fontId="4" fillId="2" borderId="90" xfId="0" applyFont="1" applyFill="1" applyBorder="1" applyAlignment="1" applyProtection="1">
      <alignment horizontal="center"/>
      <protection hidden="1"/>
    </xf>
    <xf numFmtId="0" fontId="4" fillId="0" borderId="91" xfId="2" applyFont="1" applyBorder="1" applyAlignment="1"/>
    <xf numFmtId="0" fontId="4" fillId="0" borderId="92" xfId="2" applyFont="1" applyBorder="1" applyAlignment="1"/>
    <xf numFmtId="0" fontId="16" fillId="0" borderId="93" xfId="2" applyFont="1" applyBorder="1" applyAlignment="1">
      <alignment horizontal="center"/>
    </xf>
    <xf numFmtId="0" fontId="16" fillId="0" borderId="90" xfId="2" applyFont="1" applyBorder="1" applyAlignment="1">
      <alignment horizontal="center"/>
    </xf>
    <xf numFmtId="3" fontId="11" fillId="0" borderId="15" xfId="2" applyNumberFormat="1" applyFont="1" applyBorder="1" applyAlignment="1">
      <alignment horizontal="right" vertical="center" wrapText="1"/>
    </xf>
    <xf numFmtId="0" fontId="6" fillId="0" borderId="94" xfId="2" applyFont="1" applyBorder="1" applyAlignment="1">
      <alignment horizontal="center"/>
    </xf>
    <xf numFmtId="3" fontId="16" fillId="0" borderId="94" xfId="2" applyNumberFormat="1" applyFont="1" applyBorder="1"/>
    <xf numFmtId="3" fontId="16" fillId="0" borderId="42" xfId="2" applyNumberFormat="1" applyFont="1" applyBorder="1"/>
    <xf numFmtId="165" fontId="10" fillId="0" borderId="42" xfId="2" applyNumberFormat="1" applyFont="1" applyBorder="1" applyAlignment="1">
      <alignment horizontal="right" vertical="center" wrapText="1"/>
    </xf>
    <xf numFmtId="165" fontId="6" fillId="0" borderId="89" xfId="2" applyNumberFormat="1" applyFont="1" applyBorder="1" applyAlignment="1">
      <alignment vertical="center" wrapText="1"/>
    </xf>
    <xf numFmtId="165" fontId="6" fillId="0" borderId="95" xfId="2" applyNumberFormat="1" applyFont="1" applyBorder="1" applyAlignment="1">
      <alignment vertical="center" wrapText="1"/>
    </xf>
    <xf numFmtId="165" fontId="11" fillId="0" borderId="96" xfId="2" applyNumberFormat="1" applyFont="1" applyBorder="1" applyAlignment="1">
      <alignment vertical="center" wrapText="1"/>
    </xf>
    <xf numFmtId="3" fontId="11" fillId="0" borderId="97" xfId="2" applyNumberFormat="1" applyFont="1" applyBorder="1" applyAlignment="1">
      <alignment vertical="center" wrapText="1"/>
    </xf>
    <xf numFmtId="3" fontId="11" fillId="0" borderId="89" xfId="2" applyNumberFormat="1" applyFont="1" applyBorder="1" applyAlignment="1">
      <alignment vertical="center" wrapText="1"/>
    </xf>
    <xf numFmtId="165" fontId="6" fillId="0" borderId="96" xfId="2" applyNumberFormat="1" applyFont="1" applyBorder="1" applyAlignment="1">
      <alignment vertical="center" wrapText="1"/>
    </xf>
    <xf numFmtId="165" fontId="10" fillId="0" borderId="98" xfId="2" applyNumberFormat="1" applyFont="1" applyBorder="1" applyAlignment="1">
      <alignment vertical="center"/>
    </xf>
    <xf numFmtId="165" fontId="10" fillId="0" borderId="99" xfId="2" applyNumberFormat="1" applyFont="1" applyBorder="1" applyAlignment="1">
      <alignment vertical="center"/>
    </xf>
    <xf numFmtId="3" fontId="13" fillId="0" borderId="43" xfId="2" applyNumberFormat="1" applyFont="1" applyBorder="1" applyAlignment="1">
      <alignment vertical="center" wrapText="1"/>
    </xf>
    <xf numFmtId="3" fontId="20" fillId="0" borderId="21" xfId="2" applyNumberFormat="1" applyFont="1" applyBorder="1" applyAlignment="1">
      <alignment vertical="center" wrapText="1"/>
    </xf>
    <xf numFmtId="165" fontId="4" fillId="0" borderId="22" xfId="2" applyNumberFormat="1" applyFont="1" applyBorder="1" applyAlignment="1">
      <alignment vertical="center" wrapText="1"/>
    </xf>
    <xf numFmtId="165" fontId="4" fillId="0" borderId="100" xfId="2" applyNumberFormat="1" applyFont="1" applyBorder="1" applyAlignment="1">
      <alignment vertical="center" wrapText="1"/>
    </xf>
    <xf numFmtId="3" fontId="13" fillId="0" borderId="12" xfId="2" applyNumberFormat="1" applyFont="1" applyBorder="1" applyAlignment="1">
      <alignment vertical="center" wrapText="1"/>
    </xf>
    <xf numFmtId="165" fontId="22" fillId="0" borderId="21" xfId="2" applyNumberFormat="1" applyFont="1" applyBorder="1" applyAlignment="1">
      <alignment vertical="center" wrapText="1"/>
    </xf>
    <xf numFmtId="3" fontId="11" fillId="0" borderId="22" xfId="2" applyNumberFormat="1" applyFont="1" applyBorder="1" applyAlignment="1">
      <alignment vertical="center" wrapText="1"/>
    </xf>
    <xf numFmtId="165" fontId="8" fillId="0" borderId="22" xfId="2" applyNumberFormat="1" applyFont="1" applyBorder="1" applyAlignment="1">
      <alignment vertical="center" wrapText="1"/>
    </xf>
    <xf numFmtId="165" fontId="10" fillId="0" borderId="51" xfId="2" applyNumberFormat="1" applyFont="1" applyBorder="1" applyAlignment="1">
      <alignment vertical="center"/>
    </xf>
    <xf numFmtId="165" fontId="10" fillId="0" borderId="15" xfId="2" applyNumberFormat="1" applyFont="1" applyBorder="1" applyAlignment="1">
      <alignment vertical="center"/>
    </xf>
    <xf numFmtId="165" fontId="10" fillId="0" borderId="22" xfId="2" applyNumberFormat="1" applyFont="1" applyBorder="1" applyAlignment="1">
      <alignment vertical="center"/>
    </xf>
    <xf numFmtId="165" fontId="10" fillId="0" borderId="24" xfId="2" applyNumberFormat="1" applyFont="1" applyBorder="1" applyAlignment="1">
      <alignment vertical="center"/>
    </xf>
    <xf numFmtId="0" fontId="5" fillId="0" borderId="10" xfId="2" applyFont="1" applyBorder="1"/>
    <xf numFmtId="3" fontId="11" fillId="0" borderId="15" xfId="2" applyNumberFormat="1" applyFont="1" applyBorder="1" applyAlignment="1">
      <alignment vertical="center" wrapText="1"/>
    </xf>
    <xf numFmtId="0" fontId="4" fillId="0" borderId="10" xfId="2" applyFont="1" applyFill="1" applyBorder="1" applyAlignment="1">
      <alignment vertical="center" wrapText="1"/>
    </xf>
    <xf numFmtId="165" fontId="4" fillId="0" borderId="65" xfId="2" applyNumberFormat="1" applyFont="1" applyBorder="1" applyAlignment="1">
      <alignment vertical="center" wrapText="1"/>
    </xf>
    <xf numFmtId="0" fontId="6" fillId="0" borderId="101" xfId="2" applyFont="1" applyBorder="1" applyAlignment="1"/>
    <xf numFmtId="167" fontId="8" fillId="0" borderId="10" xfId="2" applyNumberFormat="1" applyFont="1" applyBorder="1" applyAlignment="1">
      <alignment vertical="center" wrapText="1"/>
    </xf>
    <xf numFmtId="165" fontId="24" fillId="0" borderId="17" xfId="2" applyNumberFormat="1" applyFont="1" applyBorder="1" applyAlignment="1">
      <alignment vertical="center" wrapText="1"/>
    </xf>
    <xf numFmtId="165" fontId="24" fillId="0" borderId="21" xfId="2" applyNumberFormat="1" applyFont="1" applyBorder="1" applyAlignment="1">
      <alignment vertical="center" wrapText="1"/>
    </xf>
    <xf numFmtId="165" fontId="24" fillId="0" borderId="96" xfId="2" applyNumberFormat="1" applyFont="1" applyBorder="1" applyAlignment="1">
      <alignment vertical="center" wrapText="1"/>
    </xf>
    <xf numFmtId="0" fontId="25" fillId="0" borderId="0" xfId="2" applyFont="1" applyBorder="1" applyAlignment="1">
      <alignment horizontal="center"/>
    </xf>
    <xf numFmtId="0" fontId="25" fillId="0" borderId="0" xfId="2" applyFont="1" applyBorder="1" applyAlignment="1">
      <alignment horizontal="center" vertical="top"/>
    </xf>
    <xf numFmtId="0" fontId="25" fillId="0" borderId="0" xfId="2" applyFont="1" applyBorder="1" applyAlignment="1">
      <alignment horizontal="center" vertical="top" wrapText="1"/>
    </xf>
    <xf numFmtId="49" fontId="4" fillId="0" borderId="10" xfId="2" applyNumberFormat="1" applyFont="1" applyBorder="1" applyAlignment="1">
      <alignment horizontal="center" vertical="center" wrapText="1"/>
    </xf>
    <xf numFmtId="0" fontId="9" fillId="0" borderId="10" xfId="2" applyFont="1" applyBorder="1" applyAlignment="1">
      <alignment vertical="center"/>
    </xf>
    <xf numFmtId="3" fontId="8" fillId="0" borderId="10" xfId="2" applyNumberFormat="1" applyFont="1" applyBorder="1" applyAlignment="1">
      <alignment vertical="center"/>
    </xf>
    <xf numFmtId="3" fontId="8" fillId="0" borderId="19" xfId="2" applyNumberFormat="1" applyFont="1" applyBorder="1" applyAlignment="1">
      <alignment vertical="center"/>
    </xf>
    <xf numFmtId="3" fontId="17" fillId="0" borderId="22" xfId="2" applyNumberFormat="1" applyFont="1" applyBorder="1" applyAlignment="1">
      <alignment vertical="center" wrapText="1"/>
    </xf>
    <xf numFmtId="0" fontId="8" fillId="0" borderId="16" xfId="2" applyFont="1" applyBorder="1" applyAlignment="1">
      <alignment horizontal="center" vertical="center"/>
    </xf>
    <xf numFmtId="0" fontId="14" fillId="0" borderId="37" xfId="2" applyFont="1" applyBorder="1" applyAlignment="1">
      <alignment horizontal="center"/>
    </xf>
    <xf numFmtId="3" fontId="8" fillId="0" borderId="102" xfId="2" applyNumberFormat="1" applyFont="1" applyBorder="1" applyAlignment="1">
      <alignment vertical="center"/>
    </xf>
    <xf numFmtId="3" fontId="8" fillId="0" borderId="27" xfId="2" applyNumberFormat="1" applyFont="1" applyBorder="1" applyAlignment="1">
      <alignment vertical="center" wrapText="1"/>
    </xf>
    <xf numFmtId="3" fontId="8" fillId="0" borderId="79" xfId="2" applyNumberFormat="1" applyFont="1" applyBorder="1" applyAlignment="1">
      <alignment vertical="center" wrapText="1"/>
    </xf>
    <xf numFmtId="3" fontId="12" fillId="0" borderId="19" xfId="2" applyNumberFormat="1" applyFont="1" applyBorder="1" applyAlignment="1">
      <alignment vertical="center" wrapText="1"/>
    </xf>
    <xf numFmtId="3" fontId="13" fillId="0" borderId="81" xfId="2" applyNumberFormat="1" applyFont="1" applyBorder="1" applyAlignment="1">
      <alignment vertical="center" wrapText="1"/>
    </xf>
    <xf numFmtId="165" fontId="8" fillId="0" borderId="34" xfId="2" applyNumberFormat="1" applyFont="1" applyBorder="1" applyAlignment="1">
      <alignment vertical="center" wrapText="1"/>
    </xf>
    <xf numFmtId="0" fontId="16" fillId="2" borderId="93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0" borderId="19" xfId="2" applyFont="1" applyBorder="1" applyAlignment="1">
      <alignment horizontal="center"/>
    </xf>
    <xf numFmtId="0" fontId="4" fillId="0" borderId="31" xfId="2" applyFont="1" applyBorder="1" applyAlignment="1">
      <alignment horizontal="center" vertical="center"/>
    </xf>
    <xf numFmtId="3" fontId="11" fillId="0" borderId="69" xfId="2" applyNumberFormat="1" applyFont="1" applyBorder="1" applyAlignment="1">
      <alignment vertical="center" wrapText="1"/>
    </xf>
    <xf numFmtId="0" fontId="4" fillId="0" borderId="48" xfId="2" applyFont="1" applyBorder="1" applyAlignment="1">
      <alignment horizontal="center" vertical="center"/>
    </xf>
    <xf numFmtId="3" fontId="12" fillId="0" borderId="23" xfId="2" applyNumberFormat="1" applyFont="1" applyBorder="1" applyAlignment="1">
      <alignment vertical="center" wrapText="1"/>
    </xf>
    <xf numFmtId="3" fontId="12" fillId="0" borderId="80" xfId="2" applyNumberFormat="1" applyFont="1" applyBorder="1" applyAlignment="1">
      <alignment vertical="center" wrapText="1"/>
    </xf>
    <xf numFmtId="0" fontId="4" fillId="0" borderId="93" xfId="2" applyFont="1" applyBorder="1" applyAlignment="1">
      <alignment horizontal="center"/>
    </xf>
    <xf numFmtId="3" fontId="13" fillId="0" borderId="103" xfId="2" applyNumberFormat="1" applyFont="1" applyBorder="1" applyAlignment="1">
      <alignment vertical="center"/>
    </xf>
    <xf numFmtId="1" fontId="8" fillId="0" borderId="15" xfId="2" applyNumberFormat="1" applyFont="1" applyBorder="1" applyAlignment="1">
      <alignment horizontal="left" vertical="center" wrapText="1"/>
    </xf>
    <xf numFmtId="1" fontId="4" fillId="0" borderId="15" xfId="2" applyNumberFormat="1" applyFont="1" applyBorder="1" applyAlignment="1">
      <alignment horizontal="left" vertical="center" wrapText="1"/>
    </xf>
    <xf numFmtId="1" fontId="4" fillId="0" borderId="15" xfId="2" applyNumberFormat="1" applyFont="1" applyFill="1" applyBorder="1" applyAlignment="1">
      <alignment horizontal="left" vertical="center" wrapText="1"/>
    </xf>
    <xf numFmtId="0" fontId="8" fillId="0" borderId="15" xfId="2" applyFont="1" applyBorder="1" applyAlignment="1">
      <alignment horizontal="left" vertical="center" wrapText="1"/>
    </xf>
    <xf numFmtId="165" fontId="26" fillId="0" borderId="17" xfId="2" applyNumberFormat="1" applyFont="1" applyBorder="1" applyAlignment="1">
      <alignment vertical="center"/>
    </xf>
    <xf numFmtId="165" fontId="26" fillId="0" borderId="23" xfId="2" applyNumberFormat="1" applyFont="1" applyBorder="1" applyAlignment="1">
      <alignment vertical="center"/>
    </xf>
    <xf numFmtId="165" fontId="26" fillId="0" borderId="18" xfId="2" applyNumberFormat="1" applyFont="1" applyBorder="1" applyAlignment="1">
      <alignment vertical="center"/>
    </xf>
    <xf numFmtId="165" fontId="16" fillId="0" borderId="19" xfId="2" applyNumberFormat="1" applyFont="1" applyFill="1" applyBorder="1" applyAlignment="1">
      <alignment vertical="center" wrapText="1"/>
    </xf>
    <xf numFmtId="1" fontId="8" fillId="0" borderId="15" xfId="2" applyNumberFormat="1" applyFont="1" applyFill="1" applyBorder="1" applyAlignment="1">
      <alignment horizontal="left" vertical="center" wrapText="1"/>
    </xf>
    <xf numFmtId="49" fontId="8" fillId="0" borderId="11" xfId="2" applyNumberFormat="1" applyFont="1" applyFill="1" applyBorder="1" applyAlignment="1">
      <alignment horizontal="left" vertical="center" wrapText="1"/>
    </xf>
    <xf numFmtId="49" fontId="8" fillId="0" borderId="15" xfId="2" applyNumberFormat="1" applyFont="1" applyFill="1" applyBorder="1" applyAlignment="1">
      <alignment horizontal="left" vertical="center" wrapText="1"/>
    </xf>
    <xf numFmtId="165" fontId="13" fillId="0" borderId="9" xfId="2" applyNumberFormat="1" applyFont="1" applyBorder="1" applyAlignment="1">
      <alignment vertical="center" wrapText="1"/>
    </xf>
    <xf numFmtId="165" fontId="8" fillId="0" borderId="9" xfId="2" applyNumberFormat="1" applyFont="1" applyBorder="1" applyAlignment="1">
      <alignment vertical="center" wrapText="1"/>
    </xf>
    <xf numFmtId="0" fontId="4" fillId="0" borderId="11" xfId="2" applyFont="1" applyBorder="1" applyAlignment="1">
      <alignment horizontal="center" vertical="center"/>
    </xf>
    <xf numFmtId="165" fontId="6" fillId="0" borderId="62" xfId="2" applyNumberFormat="1" applyFont="1" applyBorder="1" applyAlignment="1">
      <alignment vertical="center" wrapText="1"/>
    </xf>
    <xf numFmtId="0" fontId="16" fillId="2" borderId="7" xfId="0" applyFont="1" applyFill="1" applyBorder="1" applyAlignment="1">
      <alignment horizontal="center"/>
    </xf>
    <xf numFmtId="0" fontId="4" fillId="0" borderId="5" xfId="2" applyFont="1" applyBorder="1" applyAlignment="1">
      <alignment horizontal="right"/>
    </xf>
    <xf numFmtId="0" fontId="4" fillId="0" borderId="36" xfId="2" applyFont="1" applyBorder="1" applyAlignment="1">
      <alignment horizontal="right"/>
    </xf>
    <xf numFmtId="0" fontId="9" fillId="0" borderId="10" xfId="2" applyFont="1" applyBorder="1" applyAlignment="1">
      <alignment horizontal="right" vertical="center"/>
    </xf>
    <xf numFmtId="165" fontId="10" fillId="0" borderId="62" xfId="2" applyNumberFormat="1" applyFont="1" applyBorder="1" applyAlignment="1">
      <alignment horizontal="right" vertical="center" wrapText="1"/>
    </xf>
    <xf numFmtId="3" fontId="9" fillId="0" borderId="8" xfId="2" applyNumberFormat="1" applyFont="1" applyBorder="1" applyAlignment="1">
      <alignment horizontal="right" vertical="center" wrapText="1"/>
    </xf>
    <xf numFmtId="3" fontId="8" fillId="0" borderId="10" xfId="2" applyNumberFormat="1" applyFont="1" applyBorder="1" applyAlignment="1">
      <alignment horizontal="right" vertical="center" wrapText="1"/>
    </xf>
    <xf numFmtId="1" fontId="8" fillId="0" borderId="9" xfId="2" applyNumberFormat="1" applyFont="1" applyBorder="1" applyAlignment="1">
      <alignment horizontal="center" vertical="center" wrapText="1"/>
    </xf>
    <xf numFmtId="165" fontId="13" fillId="0" borderId="10" xfId="2" applyNumberFormat="1" applyFont="1" applyBorder="1" applyAlignment="1">
      <alignment vertical="center" wrapText="1"/>
    </xf>
    <xf numFmtId="165" fontId="13" fillId="0" borderId="22" xfId="2" applyNumberFormat="1" applyFont="1" applyBorder="1" applyAlignment="1">
      <alignment vertical="center" wrapText="1"/>
    </xf>
    <xf numFmtId="3" fontId="8" fillId="0" borderId="100" xfId="2" applyNumberFormat="1" applyFont="1" applyBorder="1" applyAlignment="1">
      <alignment vertical="center" wrapText="1"/>
    </xf>
    <xf numFmtId="3" fontId="21" fillId="0" borderId="17" xfId="2" applyNumberFormat="1" applyFont="1" applyBorder="1" applyAlignment="1">
      <alignment vertical="center"/>
    </xf>
    <xf numFmtId="3" fontId="21" fillId="0" borderId="21" xfId="2" applyNumberFormat="1" applyFont="1" applyBorder="1" applyAlignment="1">
      <alignment vertical="center"/>
    </xf>
    <xf numFmtId="16" fontId="5" fillId="0" borderId="17" xfId="2" quotePrefix="1" applyNumberFormat="1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165" fontId="13" fillId="0" borderId="77" xfId="2" applyNumberFormat="1" applyFont="1" applyBorder="1" applyAlignment="1">
      <alignment vertical="center" wrapText="1"/>
    </xf>
    <xf numFmtId="165" fontId="13" fillId="0" borderId="19" xfId="2" applyNumberFormat="1" applyFont="1" applyBorder="1" applyAlignment="1">
      <alignment vertical="center" wrapText="1"/>
    </xf>
    <xf numFmtId="165" fontId="8" fillId="3" borderId="19" xfId="2" applyNumberFormat="1" applyFont="1" applyFill="1" applyBorder="1" applyAlignment="1">
      <alignment vertical="center" wrapText="1"/>
    </xf>
    <xf numFmtId="165" fontId="10" fillId="0" borderId="17" xfId="2" applyNumberFormat="1" applyFont="1" applyFill="1" applyBorder="1" applyAlignment="1">
      <alignment vertical="center"/>
    </xf>
    <xf numFmtId="165" fontId="21" fillId="0" borderId="17" xfId="2" applyNumberFormat="1" applyFont="1" applyBorder="1" applyAlignment="1">
      <alignment vertical="center"/>
    </xf>
    <xf numFmtId="165" fontId="21" fillId="0" borderId="23" xfId="2" applyNumberFormat="1" applyFont="1" applyBorder="1" applyAlignment="1">
      <alignment vertical="center"/>
    </xf>
    <xf numFmtId="165" fontId="21" fillId="0" borderId="18" xfId="2" applyNumberFormat="1" applyFont="1" applyBorder="1" applyAlignment="1">
      <alignment vertical="center"/>
    </xf>
    <xf numFmtId="3" fontId="21" fillId="0" borderId="23" xfId="2" applyNumberFormat="1" applyFont="1" applyBorder="1" applyAlignment="1">
      <alignment vertical="center" wrapText="1"/>
    </xf>
    <xf numFmtId="3" fontId="21" fillId="0" borderId="17" xfId="2" applyNumberFormat="1" applyFont="1" applyBorder="1" applyAlignment="1">
      <alignment vertical="center" wrapText="1"/>
    </xf>
    <xf numFmtId="1" fontId="30" fillId="0" borderId="15" xfId="2" applyNumberFormat="1" applyFont="1" applyBorder="1" applyAlignment="1">
      <alignment horizontal="center" vertical="center" wrapText="1"/>
    </xf>
    <xf numFmtId="165" fontId="16" fillId="0" borderId="62" xfId="2" applyNumberFormat="1" applyFont="1" applyBorder="1" applyAlignment="1">
      <alignment vertical="center" wrapText="1"/>
    </xf>
    <xf numFmtId="0" fontId="23" fillId="0" borderId="15" xfId="2" applyFont="1" applyBorder="1" applyAlignment="1">
      <alignment horizontal="center" vertical="center" wrapText="1"/>
    </xf>
    <xf numFmtId="0" fontId="23" fillId="0" borderId="15" xfId="2" applyFont="1" applyFill="1" applyBorder="1" applyAlignment="1">
      <alignment horizontal="center" vertical="center" wrapText="1"/>
    </xf>
    <xf numFmtId="3" fontId="21" fillId="0" borderId="23" xfId="2" applyNumberFormat="1" applyFont="1" applyFill="1" applyBorder="1" applyAlignment="1">
      <alignment vertical="center" wrapText="1"/>
    </xf>
    <xf numFmtId="3" fontId="13" fillId="0" borderId="11" xfId="2" applyNumberFormat="1" applyFont="1" applyFill="1" applyBorder="1" applyAlignment="1">
      <alignment vertical="center" wrapText="1"/>
    </xf>
    <xf numFmtId="165" fontId="10" fillId="0" borderId="10" xfId="2" applyNumberFormat="1" applyFont="1" applyFill="1" applyBorder="1" applyAlignment="1">
      <alignment vertical="center"/>
    </xf>
    <xf numFmtId="165" fontId="12" fillId="0" borderId="10" xfId="2" applyNumberFormat="1" applyFont="1" applyFill="1" applyBorder="1" applyAlignment="1">
      <alignment vertical="center" wrapText="1"/>
    </xf>
    <xf numFmtId="165" fontId="10" fillId="0" borderId="52" xfId="2" applyNumberFormat="1" applyFont="1" applyFill="1" applyBorder="1" applyAlignment="1">
      <alignment vertical="center"/>
    </xf>
    <xf numFmtId="165" fontId="10" fillId="0" borderId="48" xfId="2" applyNumberFormat="1" applyFont="1" applyFill="1" applyBorder="1" applyAlignment="1">
      <alignment vertical="center"/>
    </xf>
    <xf numFmtId="165" fontId="10" fillId="0" borderId="55" xfId="2" applyNumberFormat="1" applyFont="1" applyFill="1" applyBorder="1" applyAlignment="1">
      <alignment vertical="center"/>
    </xf>
    <xf numFmtId="3" fontId="21" fillId="0" borderId="18" xfId="2" applyNumberFormat="1" applyFont="1" applyFill="1" applyBorder="1" applyAlignment="1">
      <alignment vertical="center" wrapText="1"/>
    </xf>
    <xf numFmtId="3" fontId="13" fillId="0" borderId="49" xfId="2" applyNumberFormat="1" applyFont="1" applyFill="1" applyBorder="1" applyAlignment="1">
      <alignment vertical="center" wrapText="1"/>
    </xf>
    <xf numFmtId="165" fontId="16" fillId="0" borderId="8" xfId="2" applyNumberFormat="1" applyFont="1" applyFill="1" applyBorder="1" applyAlignment="1">
      <alignment vertical="center" wrapText="1"/>
    </xf>
    <xf numFmtId="165" fontId="10" fillId="0" borderId="18" xfId="2" applyNumberFormat="1" applyFont="1" applyFill="1" applyBorder="1" applyAlignment="1">
      <alignment vertical="center"/>
    </xf>
    <xf numFmtId="165" fontId="10" fillId="0" borderId="8" xfId="2" applyNumberFormat="1" applyFont="1" applyFill="1" applyBorder="1" applyAlignment="1">
      <alignment vertical="center"/>
    </xf>
    <xf numFmtId="165" fontId="10" fillId="0" borderId="70" xfId="2" applyNumberFormat="1" applyFont="1" applyFill="1" applyBorder="1" applyAlignment="1">
      <alignment vertical="center"/>
    </xf>
    <xf numFmtId="165" fontId="10" fillId="0" borderId="66" xfId="2" applyNumberFormat="1" applyFont="1" applyFill="1" applyBorder="1" applyAlignment="1">
      <alignment vertical="center"/>
    </xf>
    <xf numFmtId="165" fontId="10" fillId="0" borderId="71" xfId="2" applyNumberFormat="1" applyFont="1" applyFill="1" applyBorder="1" applyAlignment="1">
      <alignment vertical="center"/>
    </xf>
    <xf numFmtId="3" fontId="10" fillId="0" borderId="21" xfId="2" applyNumberFormat="1" applyFont="1" applyBorder="1" applyAlignment="1">
      <alignment vertical="center" wrapText="1"/>
    </xf>
    <xf numFmtId="3" fontId="10" fillId="0" borderId="23" xfId="2" applyNumberFormat="1" applyFont="1" applyBorder="1" applyAlignment="1">
      <alignment vertical="center" wrapText="1"/>
    </xf>
    <xf numFmtId="3" fontId="10" fillId="0" borderId="18" xfId="2" applyNumberFormat="1" applyFont="1" applyBorder="1" applyAlignment="1">
      <alignment vertical="center" wrapText="1"/>
    </xf>
    <xf numFmtId="0" fontId="10" fillId="0" borderId="7" xfId="2" applyFont="1" applyBorder="1" applyAlignment="1">
      <alignment vertical="center"/>
    </xf>
    <xf numFmtId="3" fontId="11" fillId="0" borderId="7" xfId="2" applyNumberFormat="1" applyFont="1" applyBorder="1" applyAlignment="1">
      <alignment vertical="center" wrapText="1"/>
    </xf>
    <xf numFmtId="0" fontId="5" fillId="0" borderId="50" xfId="2" applyFont="1" applyBorder="1" applyAlignment="1">
      <alignment horizontal="center" vertical="center"/>
    </xf>
    <xf numFmtId="3" fontId="10" fillId="0" borderId="52" xfId="2" applyNumberFormat="1" applyFont="1" applyBorder="1" applyAlignment="1">
      <alignment vertical="center"/>
    </xf>
    <xf numFmtId="3" fontId="10" fillId="0" borderId="18" xfId="2" applyNumberFormat="1" applyFont="1" applyFill="1" applyBorder="1" applyAlignment="1">
      <alignment vertical="center" wrapText="1"/>
    </xf>
    <xf numFmtId="3" fontId="10" fillId="0" borderId="23" xfId="2" applyNumberFormat="1" applyFont="1" applyFill="1" applyBorder="1" applyAlignment="1">
      <alignment vertical="center" wrapText="1"/>
    </xf>
    <xf numFmtId="3" fontId="10" fillId="0" borderId="17" xfId="2" applyNumberFormat="1" applyFont="1" applyBorder="1" applyAlignment="1">
      <alignment vertical="center" wrapText="1"/>
    </xf>
    <xf numFmtId="0" fontId="4" fillId="0" borderId="104" xfId="2" applyFont="1" applyBorder="1" applyAlignment="1">
      <alignment horizontal="center"/>
    </xf>
    <xf numFmtId="0" fontId="4" fillId="0" borderId="7" xfId="2" applyFont="1" applyBorder="1" applyAlignment="1">
      <alignment horizontal="center" vertical="center"/>
    </xf>
    <xf numFmtId="1" fontId="23" fillId="0" borderId="15" xfId="2" applyNumberFormat="1" applyFont="1" applyFill="1" applyBorder="1" applyAlignment="1">
      <alignment horizontal="center" vertical="center" wrapText="1"/>
    </xf>
    <xf numFmtId="49" fontId="23" fillId="0" borderId="11" xfId="2" applyNumberFormat="1" applyFont="1" applyFill="1" applyBorder="1" applyAlignment="1">
      <alignment horizontal="center" vertical="center" wrapText="1"/>
    </xf>
    <xf numFmtId="0" fontId="5" fillId="0" borderId="105" xfId="2" applyFont="1" applyBorder="1" applyAlignment="1">
      <alignment horizontal="center" vertical="center"/>
    </xf>
    <xf numFmtId="3" fontId="9" fillId="0" borderId="65" xfId="2" applyNumberFormat="1" applyFont="1" applyBorder="1" applyAlignment="1">
      <alignment horizontal="right" vertical="center" wrapText="1"/>
    </xf>
    <xf numFmtId="0" fontId="4" fillId="0" borderId="62" xfId="2" applyFont="1" applyBorder="1" applyAlignment="1">
      <alignment horizontal="center"/>
    </xf>
    <xf numFmtId="0" fontId="13" fillId="0" borderId="10" xfId="2" applyFont="1" applyBorder="1" applyAlignment="1">
      <alignment horizontal="right" vertical="center"/>
    </xf>
    <xf numFmtId="3" fontId="13" fillId="0" borderId="10" xfId="2" applyNumberFormat="1" applyFont="1" applyBorder="1" applyAlignment="1">
      <alignment vertical="center" wrapText="1"/>
    </xf>
    <xf numFmtId="3" fontId="13" fillId="0" borderId="10" xfId="2" applyNumberFormat="1" applyFont="1" applyFill="1" applyBorder="1" applyAlignment="1">
      <alignment vertical="center" wrapText="1"/>
    </xf>
    <xf numFmtId="3" fontId="13" fillId="0" borderId="19" xfId="2" applyNumberFormat="1" applyFont="1" applyBorder="1" applyAlignment="1">
      <alignment vertical="center" wrapText="1"/>
    </xf>
    <xf numFmtId="3" fontId="13" fillId="0" borderId="8" xfId="2" applyNumberFormat="1" applyFont="1" applyFill="1" applyBorder="1" applyAlignment="1">
      <alignment vertical="center" wrapText="1"/>
    </xf>
    <xf numFmtId="0" fontId="7" fillId="0" borderId="17" xfId="2" applyFont="1" applyBorder="1" applyAlignment="1">
      <alignment horizontal="center" vertical="center"/>
    </xf>
    <xf numFmtId="0" fontId="13" fillId="0" borderId="0" xfId="2" applyFont="1" applyBorder="1" applyAlignment="1">
      <alignment horizontal="right" vertical="center"/>
    </xf>
    <xf numFmtId="165" fontId="16" fillId="0" borderId="22" xfId="2" applyNumberFormat="1" applyFont="1" applyBorder="1" applyAlignment="1">
      <alignment vertical="center" wrapText="1"/>
    </xf>
    <xf numFmtId="165" fontId="16" fillId="3" borderId="22" xfId="2" applyNumberFormat="1" applyFont="1" applyFill="1" applyBorder="1" applyAlignment="1">
      <alignment vertical="center" wrapText="1"/>
    </xf>
    <xf numFmtId="49" fontId="8" fillId="0" borderId="10" xfId="2" applyNumberFormat="1" applyFont="1" applyFill="1" applyBorder="1" applyAlignment="1">
      <alignment horizontal="center" vertical="center" wrapText="1"/>
    </xf>
    <xf numFmtId="167" fontId="5" fillId="0" borderId="0" xfId="2" applyNumberFormat="1" applyFont="1"/>
    <xf numFmtId="3" fontId="26" fillId="0" borderId="17" xfId="2" applyNumberFormat="1" applyFont="1" applyFill="1" applyBorder="1" applyAlignment="1">
      <alignment vertical="center"/>
    </xf>
    <xf numFmtId="3" fontId="26" fillId="0" borderId="23" xfId="2" applyNumberFormat="1" applyFont="1" applyFill="1" applyBorder="1" applyAlignment="1">
      <alignment vertical="center"/>
    </xf>
    <xf numFmtId="3" fontId="26" fillId="0" borderId="18" xfId="2" applyNumberFormat="1" applyFont="1" applyFill="1" applyBorder="1" applyAlignment="1">
      <alignment vertical="center"/>
    </xf>
    <xf numFmtId="165" fontId="23" fillId="0" borderId="10" xfId="2" applyNumberFormat="1" applyFont="1" applyBorder="1" applyAlignment="1">
      <alignment vertical="center" wrapText="1"/>
    </xf>
    <xf numFmtId="0" fontId="23" fillId="0" borderId="0" xfId="2" applyFont="1"/>
    <xf numFmtId="165" fontId="23" fillId="0" borderId="19" xfId="2" applyNumberFormat="1" applyFont="1" applyBorder="1" applyAlignment="1">
      <alignment vertical="center" wrapText="1"/>
    </xf>
    <xf numFmtId="3" fontId="27" fillId="0" borderId="19" xfId="2" applyNumberFormat="1" applyFont="1" applyBorder="1" applyAlignment="1">
      <alignment vertical="center" wrapText="1"/>
    </xf>
    <xf numFmtId="165" fontId="23" fillId="0" borderId="8" xfId="2" applyNumberFormat="1" applyFont="1" applyBorder="1" applyAlignment="1">
      <alignment vertical="center" wrapText="1"/>
    </xf>
    <xf numFmtId="3" fontId="23" fillId="0" borderId="10" xfId="2" applyNumberFormat="1" applyFont="1" applyBorder="1" applyAlignment="1">
      <alignment vertical="center" wrapText="1"/>
    </xf>
    <xf numFmtId="3" fontId="23" fillId="0" borderId="19" xfId="2" applyNumberFormat="1" applyFont="1" applyBorder="1" applyAlignment="1">
      <alignment vertical="center" wrapText="1"/>
    </xf>
    <xf numFmtId="3" fontId="23" fillId="0" borderId="8" xfId="2" applyNumberFormat="1" applyFont="1" applyBorder="1" applyAlignment="1">
      <alignment vertical="center" wrapText="1"/>
    </xf>
    <xf numFmtId="167" fontId="23" fillId="0" borderId="10" xfId="2" applyNumberFormat="1" applyFont="1" applyBorder="1" applyAlignment="1">
      <alignment vertical="center" wrapText="1"/>
    </xf>
    <xf numFmtId="3" fontId="27" fillId="0" borderId="10" xfId="2" applyNumberFormat="1" applyFont="1" applyBorder="1" applyAlignment="1">
      <alignment vertical="center" wrapText="1"/>
    </xf>
    <xf numFmtId="3" fontId="27" fillId="0" borderId="22" xfId="2" applyNumberFormat="1" applyFont="1" applyBorder="1" applyAlignment="1">
      <alignment vertical="center" wrapText="1"/>
    </xf>
    <xf numFmtId="165" fontId="27" fillId="0" borderId="89" xfId="2" applyNumberFormat="1" applyFont="1" applyBorder="1" applyAlignment="1">
      <alignment vertical="center" wrapText="1"/>
    </xf>
    <xf numFmtId="3" fontId="27" fillId="0" borderId="75" xfId="2" applyNumberFormat="1" applyFont="1" applyBorder="1" applyAlignment="1">
      <alignment vertical="center" wrapText="1"/>
    </xf>
    <xf numFmtId="3" fontId="27" fillId="0" borderId="44" xfId="2" applyNumberFormat="1" applyFont="1" applyBorder="1" applyAlignment="1">
      <alignment vertical="center" wrapText="1"/>
    </xf>
    <xf numFmtId="3" fontId="27" fillId="0" borderId="106" xfId="2" applyNumberFormat="1" applyFont="1" applyBorder="1"/>
    <xf numFmtId="3" fontId="24" fillId="0" borderId="17" xfId="2" applyNumberFormat="1" applyFont="1" applyBorder="1" applyAlignment="1">
      <alignment vertical="center" wrapText="1"/>
    </xf>
    <xf numFmtId="164" fontId="24" fillId="0" borderId="17" xfId="2" applyNumberFormat="1" applyFont="1" applyBorder="1" applyAlignment="1">
      <alignment vertical="center" wrapText="1"/>
    </xf>
    <xf numFmtId="164" fontId="24" fillId="0" borderId="21" xfId="2" applyNumberFormat="1" applyFont="1" applyBorder="1" applyAlignment="1">
      <alignment vertical="center" wrapText="1"/>
    </xf>
    <xf numFmtId="164" fontId="24" fillId="0" borderId="96" xfId="2" applyNumberFormat="1" applyFont="1" applyBorder="1" applyAlignment="1">
      <alignment vertical="center" wrapText="1"/>
    </xf>
    <xf numFmtId="3" fontId="24" fillId="0" borderId="21" xfId="2" applyNumberFormat="1" applyFont="1" applyBorder="1" applyAlignment="1">
      <alignment vertical="center" wrapText="1"/>
    </xf>
    <xf numFmtId="165" fontId="23" fillId="0" borderId="0" xfId="2" applyNumberFormat="1" applyFont="1" applyBorder="1" applyAlignment="1">
      <alignment vertical="center" wrapText="1"/>
    </xf>
    <xf numFmtId="1" fontId="23" fillId="0" borderId="10" xfId="2" applyNumberFormat="1" applyFont="1" applyBorder="1" applyAlignment="1">
      <alignment horizontal="center" vertical="center" wrapText="1"/>
    </xf>
    <xf numFmtId="165" fontId="27" fillId="0" borderId="19" xfId="2" applyNumberFormat="1" applyFont="1" applyBorder="1" applyAlignment="1">
      <alignment vertical="center" wrapText="1"/>
    </xf>
    <xf numFmtId="164" fontId="8" fillId="0" borderId="17" xfId="2" applyNumberFormat="1" applyFont="1" applyBorder="1" applyAlignment="1">
      <alignment vertical="center" wrapText="1"/>
    </xf>
    <xf numFmtId="0" fontId="4" fillId="0" borderId="50" xfId="2" applyFont="1" applyBorder="1" applyAlignment="1">
      <alignment horizontal="center" vertical="top"/>
    </xf>
    <xf numFmtId="165" fontId="26" fillId="0" borderId="51" xfId="2" applyNumberFormat="1" applyFont="1" applyBorder="1" applyAlignment="1">
      <alignment vertical="center"/>
    </xf>
    <xf numFmtId="165" fontId="26" fillId="0" borderId="52" xfId="2" applyNumberFormat="1" applyFont="1" applyBorder="1" applyAlignment="1">
      <alignment vertical="center"/>
    </xf>
    <xf numFmtId="165" fontId="26" fillId="0" borderId="70" xfId="2" applyNumberFormat="1" applyFont="1" applyBorder="1" applyAlignment="1">
      <alignment vertical="center"/>
    </xf>
    <xf numFmtId="0" fontId="4" fillId="0" borderId="13" xfId="2" applyFont="1" applyBorder="1" applyAlignment="1">
      <alignment horizontal="center" vertical="top"/>
    </xf>
    <xf numFmtId="0" fontId="12" fillId="0" borderId="15" xfId="2" applyFont="1" applyBorder="1" applyAlignment="1">
      <alignment vertical="center" wrapText="1"/>
    </xf>
    <xf numFmtId="165" fontId="23" fillId="0" borderId="15" xfId="2" applyNumberFormat="1" applyFont="1" applyBorder="1" applyAlignment="1">
      <alignment vertical="center" wrapText="1"/>
    </xf>
    <xf numFmtId="165" fontId="23" fillId="0" borderId="48" xfId="2" applyNumberFormat="1" applyFont="1" applyBorder="1" applyAlignment="1">
      <alignment vertical="center" wrapText="1"/>
    </xf>
    <xf numFmtId="165" fontId="27" fillId="0" borderId="48" xfId="2" applyNumberFormat="1" applyFont="1" applyBorder="1" applyAlignment="1">
      <alignment vertical="center" wrapText="1"/>
    </xf>
    <xf numFmtId="165" fontId="23" fillId="0" borderId="66" xfId="2" applyNumberFormat="1" applyFont="1" applyBorder="1" applyAlignment="1">
      <alignment vertical="center" wrapText="1"/>
    </xf>
    <xf numFmtId="0" fontId="4" fillId="0" borderId="54" xfId="2" applyFont="1" applyBorder="1" applyAlignment="1">
      <alignment horizontal="center" vertical="top"/>
    </xf>
    <xf numFmtId="165" fontId="26" fillId="0" borderId="24" xfId="2" applyNumberFormat="1" applyFont="1" applyBorder="1" applyAlignment="1">
      <alignment vertical="center"/>
    </xf>
    <xf numFmtId="165" fontId="26" fillId="0" borderId="55" xfId="2" applyNumberFormat="1" applyFont="1" applyBorder="1" applyAlignment="1">
      <alignment vertical="center"/>
    </xf>
    <xf numFmtId="165" fontId="26" fillId="0" borderId="71" xfId="2" applyNumberFormat="1" applyFont="1" applyBorder="1" applyAlignment="1">
      <alignment vertical="center"/>
    </xf>
    <xf numFmtId="3" fontId="10" fillId="0" borderId="51" xfId="2" applyNumberFormat="1" applyFont="1" applyBorder="1" applyAlignment="1">
      <alignment vertical="center"/>
    </xf>
    <xf numFmtId="3" fontId="10" fillId="0" borderId="53" xfId="2" applyNumberFormat="1" applyFont="1" applyBorder="1" applyAlignment="1">
      <alignment vertical="center"/>
    </xf>
    <xf numFmtId="0" fontId="8" fillId="0" borderId="13" xfId="2" applyFont="1" applyBorder="1" applyAlignment="1">
      <alignment horizontal="center" vertical="center"/>
    </xf>
    <xf numFmtId="0" fontId="8" fillId="0" borderId="15" xfId="2" applyFont="1" applyBorder="1" applyAlignment="1">
      <alignment vertical="center" wrapText="1"/>
    </xf>
    <xf numFmtId="165" fontId="8" fillId="0" borderId="15" xfId="2" applyNumberFormat="1" applyFont="1" applyBorder="1" applyAlignment="1">
      <alignment vertical="center" wrapText="1"/>
    </xf>
    <xf numFmtId="165" fontId="8" fillId="0" borderId="48" xfId="2" applyNumberFormat="1" applyFont="1" applyBorder="1" applyAlignment="1">
      <alignment vertical="center" wrapText="1"/>
    </xf>
    <xf numFmtId="165" fontId="16" fillId="0" borderId="43" xfId="2" applyNumberFormat="1" applyFont="1" applyBorder="1" applyAlignment="1">
      <alignment vertical="center" wrapText="1"/>
    </xf>
    <xf numFmtId="3" fontId="10" fillId="0" borderId="24" xfId="2" applyNumberFormat="1" applyFont="1" applyBorder="1" applyAlignment="1">
      <alignment vertical="center"/>
    </xf>
    <xf numFmtId="3" fontId="10" fillId="0" borderId="55" xfId="2" applyNumberFormat="1" applyFont="1" applyBorder="1" applyAlignment="1">
      <alignment vertical="center"/>
    </xf>
    <xf numFmtId="3" fontId="10" fillId="0" borderId="56" xfId="2" applyNumberFormat="1" applyFont="1" applyBorder="1" applyAlignment="1">
      <alignment vertical="center"/>
    </xf>
    <xf numFmtId="166" fontId="1" fillId="0" borderId="10" xfId="1" applyNumberFormat="1" applyBorder="1" applyAlignment="1">
      <alignment vertical="center" wrapText="1"/>
    </xf>
    <xf numFmtId="0" fontId="8" fillId="4" borderId="5" xfId="2" applyFont="1" applyFill="1" applyBorder="1" applyAlignment="1">
      <alignment horizontal="center" vertical="center"/>
    </xf>
    <xf numFmtId="1" fontId="8" fillId="4" borderId="10" xfId="2" applyNumberFormat="1" applyFont="1" applyFill="1" applyBorder="1" applyAlignment="1">
      <alignment horizontal="center" vertical="center" wrapText="1"/>
    </xf>
    <xf numFmtId="0" fontId="8" fillId="4" borderId="10" xfId="2" applyFont="1" applyFill="1" applyBorder="1" applyAlignment="1">
      <alignment vertical="center" wrapText="1"/>
    </xf>
    <xf numFmtId="49" fontId="8" fillId="4" borderId="10" xfId="2" applyNumberFormat="1" applyFont="1" applyFill="1" applyBorder="1" applyAlignment="1">
      <alignment horizontal="center" vertical="center" wrapText="1"/>
    </xf>
    <xf numFmtId="1" fontId="8" fillId="5" borderId="10" xfId="2" applyNumberFormat="1" applyFont="1" applyFill="1" applyBorder="1" applyAlignment="1">
      <alignment horizontal="center" vertical="center" wrapText="1"/>
    </xf>
    <xf numFmtId="49" fontId="8" fillId="5" borderId="10" xfId="2" applyNumberFormat="1" applyFont="1" applyFill="1" applyBorder="1" applyAlignment="1">
      <alignment horizontal="center" vertical="center" wrapText="1"/>
    </xf>
    <xf numFmtId="165" fontId="8" fillId="0" borderId="20" xfId="2" applyNumberFormat="1" applyFont="1" applyBorder="1" applyAlignment="1">
      <alignment vertical="center"/>
    </xf>
    <xf numFmtId="165" fontId="8" fillId="0" borderId="72" xfId="2" applyNumberFormat="1" applyFont="1" applyBorder="1" applyAlignment="1">
      <alignment vertical="center"/>
    </xf>
    <xf numFmtId="165" fontId="17" fillId="0" borderId="29" xfId="2" applyNumberFormat="1" applyFont="1" applyBorder="1" applyAlignment="1">
      <alignment vertical="center" wrapText="1"/>
    </xf>
    <xf numFmtId="165" fontId="17" fillId="0" borderId="30" xfId="2" applyNumberFormat="1" applyFont="1" applyBorder="1" applyAlignment="1">
      <alignment vertical="center" wrapText="1"/>
    </xf>
    <xf numFmtId="165" fontId="17" fillId="0" borderId="74" xfId="2" applyNumberFormat="1" applyFont="1" applyBorder="1" applyAlignment="1">
      <alignment vertical="center" wrapText="1"/>
    </xf>
    <xf numFmtId="165" fontId="10" fillId="0" borderId="21" xfId="2" applyNumberFormat="1" applyFont="1" applyBorder="1" applyAlignment="1">
      <alignment vertical="center"/>
    </xf>
    <xf numFmtId="168" fontId="31" fillId="0" borderId="17" xfId="2" applyNumberFormat="1" applyFont="1" applyBorder="1" applyAlignment="1">
      <alignment vertical="center" wrapText="1"/>
    </xf>
    <xf numFmtId="166" fontId="32" fillId="0" borderId="17" xfId="1" applyNumberFormat="1" applyFont="1" applyBorder="1" applyAlignment="1">
      <alignment vertical="center" wrapText="1"/>
    </xf>
    <xf numFmtId="165" fontId="19" fillId="0" borderId="17" xfId="2" applyNumberFormat="1" applyFont="1" applyBorder="1" applyAlignment="1">
      <alignment vertical="center" wrapText="1"/>
    </xf>
    <xf numFmtId="165" fontId="17" fillId="0" borderId="26" xfId="2" applyNumberFormat="1" applyFont="1" applyBorder="1" applyAlignment="1">
      <alignment vertical="center" wrapText="1"/>
    </xf>
    <xf numFmtId="165" fontId="17" fillId="0" borderId="27" xfId="2" applyNumberFormat="1" applyFont="1" applyBorder="1" applyAlignment="1">
      <alignment vertical="center" wrapText="1"/>
    </xf>
    <xf numFmtId="165" fontId="23" fillId="0" borderId="25" xfId="2" applyNumberFormat="1" applyFont="1" applyBorder="1" applyAlignment="1">
      <alignment vertical="center"/>
    </xf>
    <xf numFmtId="165" fontId="23" fillId="0" borderId="40" xfId="2" applyNumberFormat="1" applyFont="1" applyBorder="1" applyAlignment="1">
      <alignment vertical="center"/>
    </xf>
    <xf numFmtId="165" fontId="23" fillId="0" borderId="20" xfId="2" applyNumberFormat="1" applyFont="1" applyBorder="1" applyAlignment="1">
      <alignment vertical="center"/>
    </xf>
    <xf numFmtId="165" fontId="23" fillId="0" borderId="0" xfId="2" applyNumberFormat="1" applyFont="1"/>
    <xf numFmtId="165" fontId="23" fillId="0" borderId="20" xfId="2" applyNumberFormat="1" applyFont="1" applyBorder="1" applyAlignment="1">
      <alignment vertical="center" wrapText="1"/>
    </xf>
    <xf numFmtId="165" fontId="23" fillId="0" borderId="20" xfId="2" applyNumberFormat="1" applyFont="1" applyFill="1" applyBorder="1" applyAlignment="1">
      <alignment vertical="center" wrapText="1"/>
    </xf>
    <xf numFmtId="3" fontId="23" fillId="0" borderId="20" xfId="2" applyNumberFormat="1" applyFont="1" applyBorder="1" applyAlignment="1">
      <alignment vertical="center" wrapText="1"/>
    </xf>
    <xf numFmtId="3" fontId="23" fillId="0" borderId="72" xfId="2" applyNumberFormat="1" applyFont="1" applyBorder="1" applyAlignment="1">
      <alignment vertical="center" wrapText="1"/>
    </xf>
    <xf numFmtId="3" fontId="18" fillId="0" borderId="27" xfId="2" applyNumberFormat="1" applyFont="1" applyBorder="1" applyAlignment="1">
      <alignment vertical="center" wrapText="1"/>
    </xf>
    <xf numFmtId="3" fontId="19" fillId="0" borderId="27" xfId="2" applyNumberFormat="1" applyFont="1" applyBorder="1" applyAlignment="1">
      <alignment vertical="center" wrapText="1"/>
    </xf>
    <xf numFmtId="3" fontId="18" fillId="0" borderId="73" xfId="2" applyNumberFormat="1" applyFont="1" applyBorder="1" applyAlignment="1">
      <alignment vertical="center" wrapText="1"/>
    </xf>
    <xf numFmtId="165" fontId="23" fillId="0" borderId="29" xfId="2" applyNumberFormat="1" applyFont="1" applyBorder="1" applyAlignment="1">
      <alignment vertical="center"/>
    </xf>
    <xf numFmtId="165" fontId="23" fillId="0" borderId="30" xfId="2" applyNumberFormat="1" applyFont="1" applyBorder="1" applyAlignment="1">
      <alignment vertical="center"/>
    </xf>
    <xf numFmtId="0" fontId="8" fillId="0" borderId="10" xfId="2" applyFont="1" applyFill="1" applyBorder="1" applyAlignment="1">
      <alignment vertical="center" wrapText="1"/>
    </xf>
    <xf numFmtId="165" fontId="23" fillId="0" borderId="10" xfId="2" applyNumberFormat="1" applyFont="1" applyFill="1" applyBorder="1" applyAlignment="1">
      <alignment vertical="center" wrapText="1"/>
    </xf>
    <xf numFmtId="165" fontId="23" fillId="0" borderId="33" xfId="2" applyNumberFormat="1" applyFont="1" applyBorder="1" applyAlignment="1">
      <alignment vertical="center" wrapText="1"/>
    </xf>
    <xf numFmtId="0" fontId="33" fillId="0" borderId="0" xfId="2" applyFont="1"/>
    <xf numFmtId="49" fontId="8" fillId="4" borderId="15" xfId="2" applyNumberFormat="1" applyFont="1" applyFill="1" applyBorder="1" applyAlignment="1">
      <alignment horizontal="left" vertical="center" wrapText="1"/>
    </xf>
    <xf numFmtId="0" fontId="8" fillId="4" borderId="15" xfId="2" applyFont="1" applyFill="1" applyBorder="1" applyAlignment="1">
      <alignment horizontal="left" vertical="center" wrapText="1"/>
    </xf>
    <xf numFmtId="0" fontId="8" fillId="4" borderId="9" xfId="2" applyFont="1" applyFill="1" applyBorder="1" applyAlignment="1">
      <alignment horizontal="center" vertical="center" wrapText="1"/>
    </xf>
    <xf numFmtId="0" fontId="8" fillId="4" borderId="15" xfId="2" applyFont="1" applyFill="1" applyBorder="1" applyAlignment="1">
      <alignment horizontal="center" vertical="center" wrapText="1"/>
    </xf>
    <xf numFmtId="1" fontId="8" fillId="4" borderId="15" xfId="2" applyNumberFormat="1" applyFont="1" applyFill="1" applyBorder="1" applyAlignment="1">
      <alignment horizontal="center" vertical="center" wrapText="1"/>
    </xf>
    <xf numFmtId="0" fontId="4" fillId="4" borderId="11" xfId="2" applyFont="1" applyFill="1" applyBorder="1" applyAlignment="1">
      <alignment horizontal="center" vertical="center"/>
    </xf>
    <xf numFmtId="0" fontId="8" fillId="5" borderId="9" xfId="2" applyFont="1" applyFill="1" applyBorder="1" applyAlignment="1">
      <alignment horizontal="center" vertical="center" wrapText="1"/>
    </xf>
    <xf numFmtId="1" fontId="8" fillId="5" borderId="15" xfId="2" applyNumberFormat="1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left" vertical="center" wrapText="1"/>
    </xf>
    <xf numFmtId="0" fontId="8" fillId="5" borderId="15" xfId="2" applyFont="1" applyFill="1" applyBorder="1" applyAlignment="1">
      <alignment horizontal="left" vertical="center" wrapText="1"/>
    </xf>
    <xf numFmtId="0" fontId="4" fillId="0" borderId="15" xfId="2" applyFont="1" applyFill="1" applyBorder="1" applyAlignment="1">
      <alignment horizontal="left" vertical="center" wrapText="1"/>
    </xf>
    <xf numFmtId="1" fontId="4" fillId="5" borderId="15" xfId="2" applyNumberFormat="1" applyFont="1" applyFill="1" applyBorder="1" applyAlignment="1">
      <alignment horizontal="left" vertical="center" wrapText="1"/>
    </xf>
    <xf numFmtId="49" fontId="5" fillId="0" borderId="17" xfId="2" applyNumberFormat="1" applyFont="1" applyBorder="1" applyAlignment="1">
      <alignment horizontal="center" vertical="center"/>
    </xf>
    <xf numFmtId="16" fontId="14" fillId="0" borderId="16" xfId="2" applyNumberFormat="1" applyFont="1" applyBorder="1" applyAlignment="1">
      <alignment vertical="center"/>
    </xf>
    <xf numFmtId="0" fontId="5" fillId="0" borderId="104" xfId="2" applyFont="1" applyBorder="1" applyAlignment="1">
      <alignment horizontal="center" vertical="center"/>
    </xf>
    <xf numFmtId="3" fontId="10" fillId="0" borderId="21" xfId="2" applyNumberFormat="1" applyFont="1" applyFill="1" applyBorder="1" applyAlignment="1">
      <alignment vertical="center" wrapText="1"/>
    </xf>
    <xf numFmtId="3" fontId="10" fillId="0" borderId="16" xfId="2" applyNumberFormat="1" applyFont="1" applyFill="1" applyBorder="1" applyAlignment="1">
      <alignment vertical="center" wrapText="1"/>
    </xf>
    <xf numFmtId="49" fontId="23" fillId="5" borderId="11" xfId="2" applyNumberFormat="1" applyFont="1" applyFill="1" applyBorder="1" applyAlignment="1">
      <alignment horizontal="center" vertical="center" wrapText="1"/>
    </xf>
    <xf numFmtId="1" fontId="23" fillId="5" borderId="15" xfId="2" applyNumberFormat="1" applyFont="1" applyFill="1" applyBorder="1" applyAlignment="1">
      <alignment horizontal="center" vertical="center" wrapText="1"/>
    </xf>
    <xf numFmtId="49" fontId="18" fillId="0" borderId="11" xfId="2" applyNumberFormat="1" applyFont="1" applyFill="1" applyBorder="1" applyAlignment="1">
      <alignment horizontal="center" vertical="center" wrapText="1"/>
    </xf>
    <xf numFmtId="1" fontId="4" fillId="5" borderId="15" xfId="2" applyNumberFormat="1" applyFont="1" applyFill="1" applyBorder="1" applyAlignment="1">
      <alignment horizontal="center" vertical="center" wrapText="1"/>
    </xf>
    <xf numFmtId="3" fontId="10" fillId="0" borderId="18" xfId="2" applyNumberFormat="1" applyFont="1" applyFill="1" applyBorder="1" applyAlignment="1">
      <alignment vertical="center"/>
    </xf>
    <xf numFmtId="49" fontId="8" fillId="0" borderId="10" xfId="2" applyNumberFormat="1" applyFont="1" applyBorder="1" applyAlignment="1">
      <alignment horizontal="center"/>
    </xf>
    <xf numFmtId="49" fontId="12" fillId="0" borderId="10" xfId="2" applyNumberFormat="1" applyFont="1" applyBorder="1" applyAlignment="1">
      <alignment horizontal="center" vertical="center" wrapText="1"/>
    </xf>
    <xf numFmtId="49" fontId="28" fillId="0" borderId="10" xfId="2" applyNumberFormat="1" applyFont="1" applyBorder="1" applyAlignment="1">
      <alignment horizontal="center" vertical="center" wrapText="1"/>
    </xf>
    <xf numFmtId="165" fontId="11" fillId="0" borderId="82" xfId="2" applyNumberFormat="1" applyFont="1" applyBorder="1" applyAlignment="1">
      <alignment vertical="center" wrapText="1"/>
    </xf>
    <xf numFmtId="165" fontId="20" fillId="0" borderId="18" xfId="2" applyNumberFormat="1" applyFont="1" applyBorder="1" applyAlignment="1">
      <alignment vertical="center" wrapText="1"/>
    </xf>
    <xf numFmtId="0" fontId="16" fillId="2" borderId="28" xfId="0" applyFont="1" applyFill="1" applyBorder="1" applyAlignment="1">
      <alignment horizontal="center"/>
    </xf>
    <xf numFmtId="0" fontId="6" fillId="0" borderId="82" xfId="2" applyFont="1" applyBorder="1" applyAlignment="1">
      <alignment horizontal="center"/>
    </xf>
    <xf numFmtId="0" fontId="16" fillId="0" borderId="22" xfId="2" applyFont="1" applyBorder="1" applyAlignment="1">
      <alignment horizontal="center"/>
    </xf>
    <xf numFmtId="0" fontId="14" fillId="0" borderId="38" xfId="2" applyFont="1" applyBorder="1" applyAlignment="1">
      <alignment horizontal="center"/>
    </xf>
    <xf numFmtId="0" fontId="6" fillId="0" borderId="65" xfId="2" applyFont="1" applyBorder="1" applyAlignment="1">
      <alignment horizontal="center"/>
    </xf>
    <xf numFmtId="0" fontId="4" fillId="0" borderId="107" xfId="2" applyFont="1" applyBorder="1" applyAlignment="1">
      <alignment horizontal="center"/>
    </xf>
    <xf numFmtId="0" fontId="4" fillId="0" borderId="108" xfId="2" applyFont="1" applyBorder="1" applyAlignment="1">
      <alignment horizontal="center"/>
    </xf>
    <xf numFmtId="0" fontId="4" fillId="0" borderId="109" xfId="2" applyFont="1" applyBorder="1" applyAlignment="1">
      <alignment horizontal="center"/>
    </xf>
    <xf numFmtId="0" fontId="4" fillId="2" borderId="107" xfId="0" applyFont="1" applyFill="1" applyBorder="1" applyAlignment="1" applyProtection="1">
      <alignment horizontal="center"/>
      <protection hidden="1"/>
    </xf>
    <xf numFmtId="0" fontId="4" fillId="2" borderId="109" xfId="0" applyFont="1" applyFill="1" applyBorder="1" applyAlignment="1" applyProtection="1">
      <alignment horizontal="center"/>
      <protection hidden="1"/>
    </xf>
    <xf numFmtId="0" fontId="4" fillId="0" borderId="110" xfId="2" applyFont="1" applyBorder="1" applyAlignment="1">
      <alignment horizontal="center"/>
    </xf>
    <xf numFmtId="0" fontId="4" fillId="0" borderId="91" xfId="2" applyFont="1" applyBorder="1" applyAlignment="1">
      <alignment horizontal="center"/>
    </xf>
    <xf numFmtId="0" fontId="4" fillId="0" borderId="92" xfId="2" applyFont="1" applyBorder="1" applyAlignment="1">
      <alignment horizontal="center"/>
    </xf>
    <xf numFmtId="0" fontId="25" fillId="0" borderId="0" xfId="2" applyFont="1" applyBorder="1" applyAlignment="1">
      <alignment horizontal="center"/>
    </xf>
    <xf numFmtId="0" fontId="25" fillId="0" borderId="0" xfId="2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/>
    </xf>
    <xf numFmtId="0" fontId="25" fillId="0" borderId="0" xfId="2" applyFont="1" applyBorder="1" applyAlignment="1">
      <alignment horizontal="center" vertical="top"/>
    </xf>
    <xf numFmtId="0" fontId="25" fillId="0" borderId="0" xfId="2" applyFont="1" applyBorder="1" applyAlignment="1">
      <alignment horizontal="center" vertical="top" wrapText="1"/>
    </xf>
    <xf numFmtId="0" fontId="6" fillId="0" borderId="101" xfId="2" applyFont="1" applyBorder="1" applyAlignment="1">
      <alignment horizontal="center"/>
    </xf>
    <xf numFmtId="0" fontId="4" fillId="2" borderId="107" xfId="0" applyFont="1" applyFill="1" applyBorder="1" applyAlignment="1">
      <alignment horizontal="center"/>
    </xf>
    <xf numFmtId="0" fontId="4" fillId="2" borderId="10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10" xfId="0" applyFont="1" applyFill="1" applyBorder="1" applyAlignment="1">
      <alignment horizontal="center"/>
    </xf>
    <xf numFmtId="0" fontId="4" fillId="2" borderId="91" xfId="0" applyFont="1" applyFill="1" applyBorder="1" applyAlignment="1">
      <alignment horizontal="center"/>
    </xf>
    <xf numFmtId="0" fontId="4" fillId="2" borderId="92" xfId="0" applyFont="1" applyFill="1" applyBorder="1" applyAlignment="1">
      <alignment horizontal="center"/>
    </xf>
    <xf numFmtId="0" fontId="25" fillId="0" borderId="0" xfId="2" applyFont="1" applyBorder="1" applyAlignment="1">
      <alignment horizontal="center" wrapText="1"/>
    </xf>
    <xf numFmtId="0" fontId="6" fillId="0" borderId="111" xfId="2" applyFont="1" applyBorder="1" applyAlignment="1">
      <alignment horizontal="center"/>
    </xf>
    <xf numFmtId="0" fontId="6" fillId="0" borderId="112" xfId="2" applyFont="1" applyBorder="1" applyAlignment="1">
      <alignment horizontal="center"/>
    </xf>
  </cellXfs>
  <cellStyles count="3">
    <cellStyle name="Ezres" xfId="1" builtinId="3"/>
    <cellStyle name="Normál" xfId="0" builtinId="0"/>
    <cellStyle name="Normál_SajatHK2005_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1"/>
  <sheetViews>
    <sheetView tabSelected="1" zoomScale="75" zoomScaleNormal="75" workbookViewId="0">
      <selection activeCell="W1" sqref="W1"/>
    </sheetView>
  </sheetViews>
  <sheetFormatPr defaultRowHeight="16.5" x14ac:dyDescent="0.25"/>
  <cols>
    <col min="1" max="1" width="5.5703125" style="1" customWidth="1"/>
    <col min="2" max="2" width="10.5703125" style="1" hidden="1" customWidth="1"/>
    <col min="3" max="3" width="48.7109375" style="2" customWidth="1"/>
    <col min="4" max="4" width="15" style="2" customWidth="1"/>
    <col min="5" max="5" width="13.28515625" style="2" customWidth="1"/>
    <col min="6" max="6" width="14.7109375" style="2" customWidth="1"/>
    <col min="7" max="7" width="13.28515625" style="2" customWidth="1"/>
    <col min="8" max="8" width="15.42578125" style="2" customWidth="1"/>
    <col min="9" max="11" width="13.7109375" style="2" customWidth="1"/>
    <col min="12" max="12" width="16.7109375" style="2" customWidth="1"/>
    <col min="13" max="13" width="14.42578125" style="2" customWidth="1"/>
    <col min="14" max="14" width="13.7109375" style="2" customWidth="1"/>
    <col min="15" max="15" width="15.7109375" style="2" customWidth="1"/>
    <col min="16" max="16" width="0.85546875" style="2" customWidth="1"/>
    <col min="17" max="17" width="15.85546875" style="2" customWidth="1"/>
    <col min="18" max="20" width="13.7109375" style="2" customWidth="1"/>
    <col min="21" max="21" width="15.7109375" style="2" customWidth="1"/>
    <col min="22" max="22" width="1.85546875" style="2" customWidth="1"/>
    <col min="23" max="23" width="17.7109375" style="2" customWidth="1"/>
    <col min="24" max="29" width="9.140625" style="2"/>
    <col min="30" max="31" width="10.7109375" style="2" customWidth="1"/>
    <col min="32" max="32" width="10.28515625" style="2" customWidth="1"/>
    <col min="33" max="33" width="10" style="2" customWidth="1"/>
    <col min="34" max="34" width="10.28515625" style="2" customWidth="1"/>
    <col min="35" max="35" width="10.7109375" style="2" customWidth="1"/>
    <col min="36" max="36" width="10.5703125" style="2" customWidth="1"/>
    <col min="37" max="40" width="9.140625" style="2"/>
    <col min="41" max="41" width="11" style="2" customWidth="1"/>
    <col min="42" max="16384" width="9.140625" style="2"/>
  </cols>
  <sheetData>
    <row r="1" spans="1:35" ht="20.25" customHeight="1" x14ac:dyDescent="0.25">
      <c r="W1" s="178" t="s">
        <v>66</v>
      </c>
    </row>
    <row r="2" spans="1:35" ht="30" customHeight="1" x14ac:dyDescent="0.3">
      <c r="A2" s="643" t="s">
        <v>0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</row>
    <row r="3" spans="1:35" ht="9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35" ht="50.1" customHeight="1" x14ac:dyDescent="0.2">
      <c r="A4" s="644" t="s">
        <v>451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</row>
    <row r="5" spans="1:35" ht="12" customHeight="1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35" ht="17.25" thickBo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 t="s">
        <v>1</v>
      </c>
    </row>
    <row r="7" spans="1:35" ht="18" customHeight="1" x14ac:dyDescent="0.25">
      <c r="A7" s="7"/>
      <c r="B7" s="8"/>
      <c r="C7" s="9"/>
      <c r="D7" s="635" t="s">
        <v>87</v>
      </c>
      <c r="E7" s="636"/>
      <c r="F7" s="637"/>
      <c r="G7" s="360"/>
      <c r="H7" s="361"/>
      <c r="I7" s="362" t="s">
        <v>4</v>
      </c>
      <c r="J7" s="638" t="s">
        <v>95</v>
      </c>
      <c r="K7" s="639"/>
      <c r="L7" s="360"/>
      <c r="M7" s="363" t="s">
        <v>96</v>
      </c>
      <c r="N7" s="364"/>
      <c r="O7" s="365" t="s">
        <v>103</v>
      </c>
      <c r="P7" s="366"/>
      <c r="Q7" s="640" t="s">
        <v>105</v>
      </c>
      <c r="R7" s="641"/>
      <c r="S7" s="641"/>
      <c r="T7" s="642"/>
      <c r="U7" s="366" t="s">
        <v>114</v>
      </c>
      <c r="V7" s="365"/>
      <c r="W7" s="10" t="s">
        <v>2</v>
      </c>
    </row>
    <row r="8" spans="1:35" x14ac:dyDescent="0.25">
      <c r="A8" s="11"/>
      <c r="B8" s="12"/>
      <c r="C8" s="13" t="s">
        <v>3</v>
      </c>
      <c r="D8" s="16" t="s">
        <v>88</v>
      </c>
      <c r="E8" s="13" t="s">
        <v>89</v>
      </c>
      <c r="F8" s="4" t="s">
        <v>90</v>
      </c>
      <c r="G8" s="17" t="s">
        <v>97</v>
      </c>
      <c r="H8" s="17" t="s">
        <v>5</v>
      </c>
      <c r="I8" s="17" t="s">
        <v>15</v>
      </c>
      <c r="J8" s="13" t="s">
        <v>6</v>
      </c>
      <c r="K8" s="13" t="s">
        <v>98</v>
      </c>
      <c r="L8" s="356" t="s">
        <v>72</v>
      </c>
      <c r="M8" s="13" t="s">
        <v>99</v>
      </c>
      <c r="N8" s="17" t="s">
        <v>4</v>
      </c>
      <c r="O8" s="357" t="s">
        <v>104</v>
      </c>
      <c r="P8" s="358"/>
      <c r="Q8" s="17" t="s">
        <v>106</v>
      </c>
      <c r="R8" s="17" t="s">
        <v>107</v>
      </c>
      <c r="S8" s="17" t="s">
        <v>192</v>
      </c>
      <c r="T8" s="17" t="s">
        <v>4</v>
      </c>
      <c r="U8" s="358" t="s">
        <v>115</v>
      </c>
      <c r="V8" s="357"/>
      <c r="W8" s="15" t="s">
        <v>7</v>
      </c>
    </row>
    <row r="9" spans="1:35" x14ac:dyDescent="0.25">
      <c r="A9" s="18" t="s">
        <v>8</v>
      </c>
      <c r="B9" s="13"/>
      <c r="C9" s="13" t="s">
        <v>9</v>
      </c>
      <c r="D9" s="17" t="s">
        <v>15</v>
      </c>
      <c r="E9" s="13" t="s">
        <v>91</v>
      </c>
      <c r="F9" s="4" t="s">
        <v>56</v>
      </c>
      <c r="G9" s="17" t="s">
        <v>10</v>
      </c>
      <c r="H9" s="13" t="s">
        <v>10</v>
      </c>
      <c r="I9" s="13" t="s">
        <v>11</v>
      </c>
      <c r="J9" s="13" t="s">
        <v>11</v>
      </c>
      <c r="K9" s="13" t="s">
        <v>56</v>
      </c>
      <c r="L9" s="270" t="s">
        <v>73</v>
      </c>
      <c r="M9" s="17" t="s">
        <v>100</v>
      </c>
      <c r="N9" s="17" t="s">
        <v>74</v>
      </c>
      <c r="O9" s="357" t="s">
        <v>10</v>
      </c>
      <c r="P9" s="358"/>
      <c r="Q9" s="17" t="s">
        <v>108</v>
      </c>
      <c r="R9" s="17" t="s">
        <v>109</v>
      </c>
      <c r="S9" s="17" t="s">
        <v>193</v>
      </c>
      <c r="T9" s="17" t="s">
        <v>152</v>
      </c>
      <c r="U9" s="358" t="s">
        <v>10</v>
      </c>
      <c r="V9" s="357"/>
      <c r="W9" s="15" t="s">
        <v>12</v>
      </c>
    </row>
    <row r="10" spans="1:35" x14ac:dyDescent="0.25">
      <c r="A10" s="11"/>
      <c r="B10" s="12"/>
      <c r="C10" s="13" t="s">
        <v>13</v>
      </c>
      <c r="D10" s="17" t="s">
        <v>92</v>
      </c>
      <c r="E10" s="13" t="s">
        <v>93</v>
      </c>
      <c r="F10" s="4" t="s">
        <v>94</v>
      </c>
      <c r="G10" s="17"/>
      <c r="H10" s="13"/>
      <c r="I10" s="13" t="s">
        <v>71</v>
      </c>
      <c r="J10" s="13" t="s">
        <v>101</v>
      </c>
      <c r="K10" s="13" t="s">
        <v>94</v>
      </c>
      <c r="L10" s="13" t="s">
        <v>10</v>
      </c>
      <c r="M10" s="17" t="s">
        <v>33</v>
      </c>
      <c r="N10" s="17" t="s">
        <v>102</v>
      </c>
      <c r="O10" s="357" t="s">
        <v>12</v>
      </c>
      <c r="P10" s="358"/>
      <c r="Q10" s="17" t="s">
        <v>110</v>
      </c>
      <c r="R10" s="17" t="s">
        <v>111</v>
      </c>
      <c r="S10" s="17" t="s">
        <v>194</v>
      </c>
      <c r="T10" s="17" t="s">
        <v>153</v>
      </c>
      <c r="U10" s="358" t="s">
        <v>12</v>
      </c>
      <c r="V10" s="357"/>
      <c r="W10" s="19" t="s">
        <v>117</v>
      </c>
    </row>
    <row r="11" spans="1:35" x14ac:dyDescent="0.25">
      <c r="A11" s="11"/>
      <c r="B11" s="12"/>
      <c r="C11" s="13"/>
      <c r="D11" s="17"/>
      <c r="E11" s="13" t="s">
        <v>16</v>
      </c>
      <c r="F11" s="4" t="s">
        <v>70</v>
      </c>
      <c r="G11" s="17"/>
      <c r="H11" s="13"/>
      <c r="I11" s="13" t="s">
        <v>17</v>
      </c>
      <c r="J11" s="13" t="s">
        <v>42</v>
      </c>
      <c r="K11" s="13" t="s">
        <v>70</v>
      </c>
      <c r="L11" s="13"/>
      <c r="M11" s="20" t="s">
        <v>14</v>
      </c>
      <c r="N11" s="20" t="s">
        <v>17</v>
      </c>
      <c r="O11" s="4" t="s">
        <v>113</v>
      </c>
      <c r="P11" s="359"/>
      <c r="Q11" s="17" t="s">
        <v>16</v>
      </c>
      <c r="R11" s="20" t="s">
        <v>112</v>
      </c>
      <c r="S11" s="20" t="s">
        <v>195</v>
      </c>
      <c r="T11" s="20" t="s">
        <v>10</v>
      </c>
      <c r="U11" s="20" t="s">
        <v>116</v>
      </c>
      <c r="V11" s="4"/>
      <c r="W11" s="15"/>
    </row>
    <row r="12" spans="1:35" hidden="1" x14ac:dyDescent="0.25">
      <c r="A12" s="105"/>
      <c r="B12" s="106"/>
      <c r="C12" s="107"/>
      <c r="D12" s="16" t="s">
        <v>173</v>
      </c>
      <c r="E12" s="107" t="s">
        <v>174</v>
      </c>
      <c r="F12" s="108" t="s">
        <v>175</v>
      </c>
      <c r="G12" s="16" t="s">
        <v>176</v>
      </c>
      <c r="H12" s="107" t="s">
        <v>177</v>
      </c>
      <c r="I12" s="107" t="s">
        <v>178</v>
      </c>
      <c r="J12" s="107" t="s">
        <v>179</v>
      </c>
      <c r="K12" s="116" t="s">
        <v>180</v>
      </c>
      <c r="L12" s="107" t="s">
        <v>181</v>
      </c>
      <c r="M12" s="109" t="s">
        <v>182</v>
      </c>
      <c r="N12" s="110" t="s">
        <v>183</v>
      </c>
      <c r="O12" s="108"/>
      <c r="P12" s="20"/>
      <c r="Q12" s="16" t="s">
        <v>184</v>
      </c>
      <c r="R12" s="110" t="s">
        <v>185</v>
      </c>
      <c r="S12" s="110" t="s">
        <v>186</v>
      </c>
      <c r="T12" s="107" t="s">
        <v>187</v>
      </c>
      <c r="U12" s="16"/>
      <c r="V12" s="111"/>
      <c r="W12" s="368"/>
    </row>
    <row r="13" spans="1:35" ht="20.25" customHeight="1" x14ac:dyDescent="0.2">
      <c r="A13" s="184">
        <v>1</v>
      </c>
      <c r="B13" s="207"/>
      <c r="C13" s="207">
        <v>2</v>
      </c>
      <c r="D13" s="207">
        <v>3</v>
      </c>
      <c r="E13" s="207">
        <v>4</v>
      </c>
      <c r="F13" s="207">
        <v>5</v>
      </c>
      <c r="G13" s="207">
        <v>6</v>
      </c>
      <c r="H13" s="207">
        <v>7</v>
      </c>
      <c r="I13" s="207">
        <v>8</v>
      </c>
      <c r="J13" s="207">
        <v>9</v>
      </c>
      <c r="K13" s="207">
        <v>10</v>
      </c>
      <c r="L13" s="207">
        <v>11</v>
      </c>
      <c r="M13" s="207">
        <v>12</v>
      </c>
      <c r="N13" s="207">
        <v>13</v>
      </c>
      <c r="O13" s="207">
        <v>14</v>
      </c>
      <c r="P13" s="207"/>
      <c r="Q13" s="207">
        <v>15</v>
      </c>
      <c r="R13" s="207">
        <v>16</v>
      </c>
      <c r="S13" s="207">
        <v>17</v>
      </c>
      <c r="T13" s="207">
        <v>18</v>
      </c>
      <c r="U13" s="207">
        <v>19</v>
      </c>
      <c r="V13" s="208"/>
      <c r="W13" s="209">
        <v>20</v>
      </c>
    </row>
    <row r="14" spans="1:35" ht="22.5" hidden="1" customHeight="1" x14ac:dyDescent="0.25">
      <c r="A14" s="22"/>
      <c r="B14" s="23"/>
      <c r="C14" s="24" t="s">
        <v>49</v>
      </c>
      <c r="D14" s="25">
        <v>2224638.2550000004</v>
      </c>
      <c r="E14" s="25">
        <v>0</v>
      </c>
      <c r="F14" s="25">
        <v>52185</v>
      </c>
      <c r="G14" s="25">
        <v>8854057</v>
      </c>
      <c r="H14" s="25">
        <v>2343272.7450000001</v>
      </c>
      <c r="I14" s="149">
        <v>0</v>
      </c>
      <c r="J14" s="25">
        <v>50000</v>
      </c>
      <c r="K14" s="25">
        <v>1050154</v>
      </c>
      <c r="L14" s="149">
        <v>1511000</v>
      </c>
      <c r="M14" s="25">
        <v>16300</v>
      </c>
      <c r="N14" s="25">
        <v>9</v>
      </c>
      <c r="O14" s="367">
        <f>SUM(D14:N14)</f>
        <v>16101616</v>
      </c>
      <c r="P14" s="25"/>
      <c r="Q14" s="25">
        <v>2110000</v>
      </c>
      <c r="R14" s="25">
        <v>861226</v>
      </c>
      <c r="S14" s="25">
        <v>0</v>
      </c>
      <c r="T14" s="25">
        <v>0</v>
      </c>
      <c r="U14" s="367">
        <f>SUM(Q14:T14)</f>
        <v>2971226</v>
      </c>
      <c r="V14" s="148"/>
      <c r="W14" s="134">
        <f>O14+U14</f>
        <v>19072842</v>
      </c>
    </row>
    <row r="15" spans="1:35" ht="20.100000000000001" hidden="1" customHeight="1" x14ac:dyDescent="0.25">
      <c r="A15" s="151"/>
      <c r="B15" s="27" t="s">
        <v>47</v>
      </c>
      <c r="C15" s="28" t="s">
        <v>76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133"/>
      <c r="V15" s="79"/>
      <c r="W15" s="369">
        <f>O15+U15</f>
        <v>0</v>
      </c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8"/>
    </row>
    <row r="16" spans="1:35" ht="20.100000000000001" hidden="1" customHeight="1" x14ac:dyDescent="0.25">
      <c r="A16" s="151"/>
      <c r="B16" s="27"/>
      <c r="C16" s="24" t="s">
        <v>18</v>
      </c>
      <c r="D16" s="146">
        <f>SUM(D14:D15)</f>
        <v>2224638.2550000004</v>
      </c>
      <c r="E16" s="146">
        <f t="shared" ref="E16:U16" si="0">SUM(E14:E15)</f>
        <v>0</v>
      </c>
      <c r="F16" s="146">
        <f t="shared" si="0"/>
        <v>52185</v>
      </c>
      <c r="G16" s="146">
        <f t="shared" si="0"/>
        <v>8854057</v>
      </c>
      <c r="H16" s="146">
        <f t="shared" si="0"/>
        <v>2343272.7450000001</v>
      </c>
      <c r="I16" s="146">
        <f t="shared" si="0"/>
        <v>0</v>
      </c>
      <c r="J16" s="146">
        <f t="shared" si="0"/>
        <v>50000</v>
      </c>
      <c r="K16" s="146">
        <f t="shared" si="0"/>
        <v>1050154</v>
      </c>
      <c r="L16" s="146">
        <f t="shared" si="0"/>
        <v>1511000</v>
      </c>
      <c r="M16" s="146">
        <f t="shared" si="0"/>
        <v>16300</v>
      </c>
      <c r="N16" s="146">
        <f t="shared" si="0"/>
        <v>9</v>
      </c>
      <c r="O16" s="146">
        <f t="shared" si="0"/>
        <v>16101616</v>
      </c>
      <c r="P16" s="146"/>
      <c r="Q16" s="146">
        <f t="shared" si="0"/>
        <v>2110000</v>
      </c>
      <c r="R16" s="146">
        <f t="shared" si="0"/>
        <v>861226</v>
      </c>
      <c r="S16" s="146">
        <f t="shared" si="0"/>
        <v>0</v>
      </c>
      <c r="T16" s="146">
        <f t="shared" si="0"/>
        <v>0</v>
      </c>
      <c r="U16" s="146">
        <f t="shared" si="0"/>
        <v>2971226</v>
      </c>
      <c r="V16" s="380"/>
      <c r="W16" s="370">
        <f>SUM(W14:W15)</f>
        <v>19072842</v>
      </c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8"/>
    </row>
    <row r="17" spans="1:35" ht="35.1" hidden="1" customHeight="1" x14ac:dyDescent="0.25">
      <c r="A17" s="78">
        <v>1</v>
      </c>
      <c r="B17" s="515" t="s">
        <v>200</v>
      </c>
      <c r="C17" s="28" t="s">
        <v>202</v>
      </c>
      <c r="D17" s="520"/>
      <c r="E17" s="520"/>
      <c r="F17" s="520">
        <f>922.75</f>
        <v>922.75</v>
      </c>
      <c r="G17" s="520"/>
      <c r="H17" s="520"/>
      <c r="I17" s="520"/>
      <c r="J17" s="521"/>
      <c r="K17" s="520"/>
      <c r="L17" s="520"/>
      <c r="M17" s="520"/>
      <c r="N17" s="520"/>
      <c r="O17" s="520">
        <f t="shared" ref="O17:O31" si="1">SUM(D17:N17)</f>
        <v>922.75</v>
      </c>
      <c r="P17" s="525"/>
      <c r="Q17" s="528"/>
      <c r="R17" s="528"/>
      <c r="S17" s="528"/>
      <c r="T17" s="528"/>
      <c r="U17" s="529">
        <f t="shared" ref="U17:U31" si="2">SUM(Q17:T17)</f>
        <v>0</v>
      </c>
      <c r="V17" s="530"/>
      <c r="W17" s="531">
        <f t="shared" ref="W17:W31" si="3">O17+U17</f>
        <v>922.75</v>
      </c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8"/>
    </row>
    <row r="18" spans="1:35" ht="35.1" hidden="1" customHeight="1" x14ac:dyDescent="0.25">
      <c r="A18" s="78">
        <v>2</v>
      </c>
      <c r="B18" s="131" t="s">
        <v>221</v>
      </c>
      <c r="C18" s="28" t="s">
        <v>224</v>
      </c>
      <c r="D18" s="520"/>
      <c r="E18" s="520"/>
      <c r="F18" s="520">
        <f>675</f>
        <v>675</v>
      </c>
      <c r="G18" s="520"/>
      <c r="H18" s="520"/>
      <c r="I18" s="520"/>
      <c r="J18" s="521"/>
      <c r="K18" s="520"/>
      <c r="L18" s="520"/>
      <c r="M18" s="520"/>
      <c r="N18" s="520"/>
      <c r="O18" s="520">
        <f t="shared" si="1"/>
        <v>675</v>
      </c>
      <c r="P18" s="525"/>
      <c r="Q18" s="528"/>
      <c r="R18" s="528"/>
      <c r="S18" s="528"/>
      <c r="T18" s="528"/>
      <c r="U18" s="529">
        <f t="shared" si="2"/>
        <v>0</v>
      </c>
      <c r="V18" s="530"/>
      <c r="W18" s="531">
        <f t="shared" si="3"/>
        <v>675</v>
      </c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8"/>
    </row>
    <row r="19" spans="1:35" ht="35.1" hidden="1" customHeight="1" x14ac:dyDescent="0.25">
      <c r="A19" s="78">
        <v>3</v>
      </c>
      <c r="B19" s="131" t="s">
        <v>223</v>
      </c>
      <c r="C19" s="28" t="s">
        <v>225</v>
      </c>
      <c r="D19" s="520"/>
      <c r="E19" s="520"/>
      <c r="F19" s="540"/>
      <c r="G19" s="520"/>
      <c r="H19" s="520">
        <f>1600+432</f>
        <v>2032</v>
      </c>
      <c r="I19" s="520"/>
      <c r="J19" s="521"/>
      <c r="K19" s="520"/>
      <c r="L19" s="520"/>
      <c r="M19" s="520"/>
      <c r="N19" s="520"/>
      <c r="O19" s="520">
        <f t="shared" si="1"/>
        <v>2032</v>
      </c>
      <c r="P19" s="525"/>
      <c r="Q19" s="528"/>
      <c r="R19" s="528"/>
      <c r="S19" s="528"/>
      <c r="T19" s="528"/>
      <c r="U19" s="529">
        <f t="shared" si="2"/>
        <v>0</v>
      </c>
      <c r="V19" s="530"/>
      <c r="W19" s="531">
        <f t="shared" si="3"/>
        <v>2032</v>
      </c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8"/>
    </row>
    <row r="20" spans="1:35" ht="35.1" hidden="1" customHeight="1" x14ac:dyDescent="0.25">
      <c r="A20" s="78">
        <v>4</v>
      </c>
      <c r="B20" s="515" t="s">
        <v>226</v>
      </c>
      <c r="C20" s="28" t="s">
        <v>227</v>
      </c>
      <c r="D20" s="520"/>
      <c r="E20" s="520"/>
      <c r="F20" s="540"/>
      <c r="G20" s="520"/>
      <c r="H20" s="520"/>
      <c r="I20" s="520"/>
      <c r="J20" s="521"/>
      <c r="K20" s="520"/>
      <c r="L20" s="520"/>
      <c r="M20" s="520"/>
      <c r="N20" s="520">
        <f>950</f>
        <v>950</v>
      </c>
      <c r="O20" s="520">
        <f t="shared" si="1"/>
        <v>950</v>
      </c>
      <c r="P20" s="525"/>
      <c r="Q20" s="528"/>
      <c r="R20" s="528"/>
      <c r="S20" s="528"/>
      <c r="T20" s="528"/>
      <c r="U20" s="529">
        <f t="shared" si="2"/>
        <v>0</v>
      </c>
      <c r="V20" s="530"/>
      <c r="W20" s="531">
        <f t="shared" si="3"/>
        <v>950</v>
      </c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8"/>
    </row>
    <row r="21" spans="1:35" ht="35.1" hidden="1" customHeight="1" x14ac:dyDescent="0.25">
      <c r="A21" s="78">
        <v>5</v>
      </c>
      <c r="B21" s="515" t="s">
        <v>244</v>
      </c>
      <c r="C21" s="28" t="s">
        <v>245</v>
      </c>
      <c r="D21" s="520">
        <f>2855.044+7337.331</f>
        <v>10192.375</v>
      </c>
      <c r="E21" s="520"/>
      <c r="F21" s="540"/>
      <c r="G21" s="520"/>
      <c r="H21" s="520">
        <f>-10192.375</f>
        <v>-10192.375</v>
      </c>
      <c r="I21" s="520"/>
      <c r="J21" s="521"/>
      <c r="K21" s="520"/>
      <c r="L21" s="520"/>
      <c r="M21" s="520"/>
      <c r="N21" s="520"/>
      <c r="O21" s="520">
        <f t="shared" si="1"/>
        <v>0</v>
      </c>
      <c r="P21" s="525"/>
      <c r="Q21" s="528"/>
      <c r="R21" s="528"/>
      <c r="S21" s="528"/>
      <c r="T21" s="528"/>
      <c r="U21" s="529">
        <f t="shared" si="2"/>
        <v>0</v>
      </c>
      <c r="V21" s="530"/>
      <c r="W21" s="531">
        <f t="shared" si="3"/>
        <v>0</v>
      </c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8"/>
    </row>
    <row r="22" spans="1:35" ht="35.1" hidden="1" customHeight="1" x14ac:dyDescent="0.25">
      <c r="A22" s="78">
        <v>6</v>
      </c>
      <c r="B22" s="515" t="s">
        <v>242</v>
      </c>
      <c r="C22" s="28" t="s">
        <v>248</v>
      </c>
      <c r="D22" s="520">
        <v>2989.6190000000001</v>
      </c>
      <c r="E22" s="520"/>
      <c r="F22" s="540"/>
      <c r="G22" s="520"/>
      <c r="H22" s="520"/>
      <c r="I22" s="520"/>
      <c r="J22" s="521"/>
      <c r="K22" s="520"/>
      <c r="L22" s="520"/>
      <c r="M22" s="520"/>
      <c r="N22" s="520"/>
      <c r="O22" s="520">
        <f t="shared" si="1"/>
        <v>2989.6190000000001</v>
      </c>
      <c r="P22" s="525"/>
      <c r="Q22" s="528"/>
      <c r="R22" s="528"/>
      <c r="S22" s="528"/>
      <c r="T22" s="528"/>
      <c r="U22" s="529">
        <f t="shared" si="2"/>
        <v>0</v>
      </c>
      <c r="V22" s="530"/>
      <c r="W22" s="531">
        <f t="shared" si="3"/>
        <v>2989.6190000000001</v>
      </c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8"/>
    </row>
    <row r="23" spans="1:35" ht="35.1" hidden="1" customHeight="1" x14ac:dyDescent="0.25">
      <c r="A23" s="78">
        <v>7</v>
      </c>
      <c r="B23" s="515" t="s">
        <v>242</v>
      </c>
      <c r="C23" s="28" t="s">
        <v>249</v>
      </c>
      <c r="D23" s="520">
        <v>3433.4059999999999</v>
      </c>
      <c r="E23" s="520"/>
      <c r="F23" s="540"/>
      <c r="G23" s="520"/>
      <c r="H23" s="520"/>
      <c r="I23" s="520"/>
      <c r="J23" s="521"/>
      <c r="K23" s="520"/>
      <c r="L23" s="520"/>
      <c r="M23" s="520"/>
      <c r="N23" s="520"/>
      <c r="O23" s="520">
        <f t="shared" si="1"/>
        <v>3433.4059999999999</v>
      </c>
      <c r="P23" s="525"/>
      <c r="Q23" s="528"/>
      <c r="R23" s="528"/>
      <c r="S23" s="528"/>
      <c r="T23" s="528"/>
      <c r="U23" s="529">
        <f t="shared" si="2"/>
        <v>0</v>
      </c>
      <c r="V23" s="530"/>
      <c r="W23" s="531">
        <f t="shared" si="3"/>
        <v>3433.4059999999999</v>
      </c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8"/>
    </row>
    <row r="24" spans="1:35" ht="35.1" hidden="1" customHeight="1" x14ac:dyDescent="0.25">
      <c r="A24" s="78">
        <v>8</v>
      </c>
      <c r="B24" s="131" t="s">
        <v>242</v>
      </c>
      <c r="C24" s="28" t="s">
        <v>243</v>
      </c>
      <c r="D24" s="520">
        <f>578.62</f>
        <v>578.62</v>
      </c>
      <c r="E24" s="520"/>
      <c r="F24" s="540"/>
      <c r="G24" s="520"/>
      <c r="H24" s="520"/>
      <c r="I24" s="520"/>
      <c r="J24" s="521"/>
      <c r="K24" s="520"/>
      <c r="L24" s="520"/>
      <c r="M24" s="520"/>
      <c r="N24" s="520"/>
      <c r="O24" s="520">
        <f t="shared" si="1"/>
        <v>578.62</v>
      </c>
      <c r="P24" s="525"/>
      <c r="Q24" s="528"/>
      <c r="R24" s="528"/>
      <c r="S24" s="528"/>
      <c r="T24" s="528"/>
      <c r="U24" s="529">
        <f t="shared" si="2"/>
        <v>0</v>
      </c>
      <c r="V24" s="530"/>
      <c r="W24" s="531">
        <f t="shared" si="3"/>
        <v>578.62</v>
      </c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8"/>
    </row>
    <row r="25" spans="1:35" ht="35.1" hidden="1" customHeight="1" x14ac:dyDescent="0.25">
      <c r="A25" s="78">
        <v>9</v>
      </c>
      <c r="B25" s="515" t="s">
        <v>250</v>
      </c>
      <c r="C25" s="28" t="s">
        <v>254</v>
      </c>
      <c r="D25" s="520">
        <f>15336.021</f>
        <v>15336.021000000001</v>
      </c>
      <c r="E25" s="520"/>
      <c r="F25" s="540"/>
      <c r="G25" s="520"/>
      <c r="H25" s="520"/>
      <c r="I25" s="520"/>
      <c r="J25" s="521"/>
      <c r="K25" s="520"/>
      <c r="L25" s="520"/>
      <c r="M25" s="520"/>
      <c r="N25" s="520"/>
      <c r="O25" s="520">
        <f t="shared" si="1"/>
        <v>15336.021000000001</v>
      </c>
      <c r="P25" s="525"/>
      <c r="Q25" s="528"/>
      <c r="R25" s="528"/>
      <c r="S25" s="528"/>
      <c r="T25" s="528"/>
      <c r="U25" s="529">
        <f t="shared" si="2"/>
        <v>0</v>
      </c>
      <c r="V25" s="530"/>
      <c r="W25" s="531">
        <f t="shared" si="3"/>
        <v>15336.021000000001</v>
      </c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8"/>
    </row>
    <row r="26" spans="1:35" ht="35.1" hidden="1" customHeight="1" x14ac:dyDescent="0.25">
      <c r="A26" s="78">
        <v>10</v>
      </c>
      <c r="B26" s="131" t="s">
        <v>264</v>
      </c>
      <c r="C26" s="28" t="s">
        <v>265</v>
      </c>
      <c r="D26" s="520"/>
      <c r="E26" s="520"/>
      <c r="F26" s="540"/>
      <c r="G26" s="520"/>
      <c r="H26" s="520"/>
      <c r="I26" s="520"/>
      <c r="J26" s="521"/>
      <c r="K26" s="520"/>
      <c r="M26" s="520"/>
      <c r="N26" s="520"/>
      <c r="O26" s="520">
        <f t="shared" si="1"/>
        <v>0</v>
      </c>
      <c r="P26" s="525"/>
      <c r="Q26" s="520">
        <v>3850000</v>
      </c>
      <c r="R26" s="528"/>
      <c r="S26" s="528"/>
      <c r="T26" s="528"/>
      <c r="U26" s="529">
        <f t="shared" si="2"/>
        <v>3850000</v>
      </c>
      <c r="V26" s="530"/>
      <c r="W26" s="531">
        <f t="shared" si="3"/>
        <v>3850000</v>
      </c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8"/>
    </row>
    <row r="27" spans="1:35" ht="35.1" hidden="1" customHeight="1" x14ac:dyDescent="0.25">
      <c r="A27" s="78"/>
      <c r="B27" s="131" t="s">
        <v>266</v>
      </c>
      <c r="C27" s="28" t="s">
        <v>269</v>
      </c>
      <c r="D27" s="520"/>
      <c r="E27" s="520"/>
      <c r="F27" s="521"/>
      <c r="G27" s="520"/>
      <c r="H27" s="520"/>
      <c r="I27" s="520"/>
      <c r="J27" s="521"/>
      <c r="K27" s="520"/>
      <c r="L27" s="520"/>
      <c r="M27" s="520"/>
      <c r="N27" s="520"/>
      <c r="O27" s="520">
        <f t="shared" si="1"/>
        <v>0</v>
      </c>
      <c r="P27" s="525"/>
      <c r="Q27" s="528"/>
      <c r="R27" s="528"/>
      <c r="S27" s="528"/>
      <c r="T27" s="528"/>
      <c r="U27" s="529">
        <f t="shared" si="2"/>
        <v>0</v>
      </c>
      <c r="V27" s="530"/>
      <c r="W27" s="531">
        <f t="shared" si="3"/>
        <v>0</v>
      </c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8"/>
    </row>
    <row r="28" spans="1:35" ht="35.1" hidden="1" customHeight="1" x14ac:dyDescent="0.25">
      <c r="A28" s="569"/>
      <c r="B28" s="572" t="s">
        <v>267</v>
      </c>
      <c r="C28" s="571" t="s">
        <v>268</v>
      </c>
      <c r="D28" s="520"/>
      <c r="E28" s="520"/>
      <c r="F28" s="521"/>
      <c r="G28" s="520"/>
      <c r="H28" s="520"/>
      <c r="I28" s="520"/>
      <c r="J28" s="521"/>
      <c r="K28" s="520"/>
      <c r="L28" s="520"/>
      <c r="M28" s="520"/>
      <c r="N28" s="520"/>
      <c r="O28" s="520">
        <f>SUM(D28:N28)</f>
        <v>0</v>
      </c>
      <c r="P28" s="525"/>
      <c r="Q28" s="528"/>
      <c r="R28" s="528"/>
      <c r="S28" s="528"/>
      <c r="T28" s="528"/>
      <c r="U28" s="529">
        <f>SUM(Q28:T28)</f>
        <v>0</v>
      </c>
      <c r="V28" s="530"/>
      <c r="W28" s="531">
        <f>O28+U28</f>
        <v>0</v>
      </c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8"/>
    </row>
    <row r="29" spans="1:35" ht="35.1" hidden="1" customHeight="1" x14ac:dyDescent="0.25">
      <c r="A29" s="78">
        <v>11</v>
      </c>
      <c r="B29" s="131" t="s">
        <v>276</v>
      </c>
      <c r="C29" s="28" t="s">
        <v>225</v>
      </c>
      <c r="D29" s="520"/>
      <c r="E29" s="520"/>
      <c r="F29" s="521"/>
      <c r="G29" s="520"/>
      <c r="H29" s="520">
        <f>1200+324</f>
        <v>1524</v>
      </c>
      <c r="I29" s="520"/>
      <c r="J29" s="521"/>
      <c r="K29" s="520"/>
      <c r="L29" s="520"/>
      <c r="M29" s="520"/>
      <c r="N29" s="520"/>
      <c r="O29" s="520">
        <f t="shared" si="1"/>
        <v>1524</v>
      </c>
      <c r="P29" s="525"/>
      <c r="Q29" s="528"/>
      <c r="R29" s="528"/>
      <c r="S29" s="528"/>
      <c r="T29" s="528"/>
      <c r="U29" s="529">
        <f t="shared" si="2"/>
        <v>0</v>
      </c>
      <c r="V29" s="530"/>
      <c r="W29" s="531">
        <f t="shared" si="3"/>
        <v>1524</v>
      </c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8"/>
    </row>
    <row r="30" spans="1:35" ht="35.1" hidden="1" customHeight="1" x14ac:dyDescent="0.25">
      <c r="A30" s="78">
        <v>12</v>
      </c>
      <c r="B30" s="131" t="s">
        <v>279</v>
      </c>
      <c r="C30" s="28" t="s">
        <v>225</v>
      </c>
      <c r="D30" s="520"/>
      <c r="E30" s="520"/>
      <c r="F30" s="521"/>
      <c r="G30" s="520"/>
      <c r="H30" s="520">
        <f>1778</f>
        <v>1778</v>
      </c>
      <c r="I30" s="520"/>
      <c r="J30" s="521"/>
      <c r="K30" s="520"/>
      <c r="L30" s="520"/>
      <c r="M30" s="520"/>
      <c r="N30" s="520"/>
      <c r="O30" s="520">
        <f t="shared" si="1"/>
        <v>1778</v>
      </c>
      <c r="P30" s="525"/>
      <c r="Q30" s="528"/>
      <c r="R30" s="528"/>
      <c r="S30" s="528"/>
      <c r="T30" s="528"/>
      <c r="U30" s="529">
        <f t="shared" si="2"/>
        <v>0</v>
      </c>
      <c r="V30" s="530"/>
      <c r="W30" s="531">
        <f t="shared" si="3"/>
        <v>1778</v>
      </c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8"/>
    </row>
    <row r="31" spans="1:35" ht="30" hidden="1" customHeight="1" x14ac:dyDescent="0.25">
      <c r="A31" s="78">
        <v>13</v>
      </c>
      <c r="B31" s="515" t="s">
        <v>282</v>
      </c>
      <c r="C31" s="28" t="s">
        <v>281</v>
      </c>
      <c r="D31" s="520"/>
      <c r="E31" s="520"/>
      <c r="F31" s="520"/>
      <c r="G31" s="520"/>
      <c r="H31" s="520"/>
      <c r="I31" s="520">
        <f>1800</f>
        <v>1800</v>
      </c>
      <c r="J31" s="520"/>
      <c r="K31" s="520"/>
      <c r="L31" s="520"/>
      <c r="M31" s="520"/>
      <c r="N31" s="520"/>
      <c r="O31" s="520">
        <f t="shared" si="1"/>
        <v>1800</v>
      </c>
      <c r="P31" s="525"/>
      <c r="Q31" s="528"/>
      <c r="R31" s="528"/>
      <c r="S31" s="528"/>
      <c r="T31" s="528"/>
      <c r="U31" s="529">
        <f t="shared" si="2"/>
        <v>0</v>
      </c>
      <c r="V31" s="530"/>
      <c r="W31" s="531">
        <f t="shared" si="3"/>
        <v>1800</v>
      </c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8"/>
    </row>
    <row r="32" spans="1:35" ht="30" hidden="1" customHeight="1" x14ac:dyDescent="0.25">
      <c r="A32" s="78"/>
      <c r="B32" s="131" t="s">
        <v>293</v>
      </c>
      <c r="C32" s="28" t="s">
        <v>292</v>
      </c>
      <c r="D32" s="520"/>
      <c r="E32" s="520"/>
      <c r="F32" s="520"/>
      <c r="G32" s="520"/>
      <c r="H32" s="520"/>
      <c r="I32" s="520"/>
      <c r="J32" s="520"/>
      <c r="K32" s="520"/>
      <c r="L32" s="520"/>
      <c r="M32" s="520"/>
      <c r="N32" s="520"/>
      <c r="O32" s="520">
        <f t="shared" ref="O32:O43" si="4">SUM(D32:N32)</f>
        <v>0</v>
      </c>
      <c r="P32" s="525"/>
      <c r="Q32" s="520"/>
      <c r="R32" s="528"/>
      <c r="S32" s="528"/>
      <c r="T32" s="528"/>
      <c r="U32" s="529">
        <f t="shared" ref="U32:U43" si="5">SUM(Q32:T32)</f>
        <v>0</v>
      </c>
      <c r="V32" s="530"/>
      <c r="W32" s="531">
        <f t="shared" ref="W32:W43" si="6">O32+U32</f>
        <v>0</v>
      </c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8"/>
    </row>
    <row r="33" spans="1:35" ht="30" hidden="1" customHeight="1" x14ac:dyDescent="0.25">
      <c r="A33" s="78"/>
      <c r="B33" s="131" t="s">
        <v>294</v>
      </c>
      <c r="C33" s="28" t="s">
        <v>296</v>
      </c>
      <c r="D33" s="520"/>
      <c r="E33" s="520"/>
      <c r="F33" s="520"/>
      <c r="G33" s="520"/>
      <c r="H33" s="520"/>
      <c r="I33" s="520"/>
      <c r="J33" s="520"/>
      <c r="K33" s="520"/>
      <c r="L33" s="520"/>
      <c r="M33" s="520"/>
      <c r="N33" s="520"/>
      <c r="O33" s="520">
        <f t="shared" si="4"/>
        <v>0</v>
      </c>
      <c r="P33" s="525"/>
      <c r="Q33" s="528"/>
      <c r="R33" s="520"/>
      <c r="S33" s="528"/>
      <c r="T33" s="528"/>
      <c r="U33" s="529">
        <f t="shared" si="5"/>
        <v>0</v>
      </c>
      <c r="V33" s="530"/>
      <c r="W33" s="531">
        <f t="shared" si="6"/>
        <v>0</v>
      </c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8"/>
    </row>
    <row r="34" spans="1:35" ht="30" hidden="1" customHeight="1" x14ac:dyDescent="0.25">
      <c r="A34" s="78"/>
      <c r="B34" s="574" t="s">
        <v>295</v>
      </c>
      <c r="C34" s="28" t="s">
        <v>297</v>
      </c>
      <c r="D34" s="520"/>
      <c r="E34" s="520"/>
      <c r="F34" s="520"/>
      <c r="G34" s="520"/>
      <c r="H34" s="520"/>
      <c r="I34" s="520"/>
      <c r="J34" s="520"/>
      <c r="K34" s="520"/>
      <c r="L34" s="520"/>
      <c r="M34" s="520"/>
      <c r="N34" s="520"/>
      <c r="O34" s="520">
        <f t="shared" si="4"/>
        <v>0</v>
      </c>
      <c r="P34" s="525"/>
      <c r="Q34" s="528"/>
      <c r="R34" s="528"/>
      <c r="S34" s="528"/>
      <c r="T34" s="528"/>
      <c r="U34" s="529">
        <f t="shared" si="5"/>
        <v>0</v>
      </c>
      <c r="V34" s="530"/>
      <c r="W34" s="531">
        <f t="shared" si="6"/>
        <v>0</v>
      </c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8"/>
    </row>
    <row r="35" spans="1:35" ht="30" hidden="1" customHeight="1" x14ac:dyDescent="0.25">
      <c r="A35" s="78"/>
      <c r="B35" s="131"/>
      <c r="C35" s="28"/>
      <c r="D35" s="520"/>
      <c r="E35" s="520"/>
      <c r="F35" s="520"/>
      <c r="G35" s="520"/>
      <c r="H35" s="520"/>
      <c r="I35" s="520"/>
      <c r="J35" s="520"/>
      <c r="K35" s="520"/>
      <c r="L35" s="520"/>
      <c r="M35" s="520"/>
      <c r="N35" s="520"/>
      <c r="O35" s="520">
        <f t="shared" si="4"/>
        <v>0</v>
      </c>
      <c r="P35" s="525"/>
      <c r="Q35" s="528"/>
      <c r="R35" s="528"/>
      <c r="S35" s="528"/>
      <c r="T35" s="528"/>
      <c r="U35" s="529">
        <f t="shared" si="5"/>
        <v>0</v>
      </c>
      <c r="V35" s="530"/>
      <c r="W35" s="531">
        <f t="shared" si="6"/>
        <v>0</v>
      </c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8"/>
    </row>
    <row r="36" spans="1:35" ht="30" hidden="1" customHeight="1" x14ac:dyDescent="0.25">
      <c r="A36" s="78"/>
      <c r="B36" s="131"/>
      <c r="C36" s="28"/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N36" s="520"/>
      <c r="O36" s="520">
        <f t="shared" si="4"/>
        <v>0</v>
      </c>
      <c r="P36" s="525"/>
      <c r="Q36" s="528"/>
      <c r="R36" s="528"/>
      <c r="S36" s="528"/>
      <c r="T36" s="528"/>
      <c r="U36" s="529">
        <f t="shared" si="5"/>
        <v>0</v>
      </c>
      <c r="V36" s="530"/>
      <c r="W36" s="531">
        <f t="shared" si="6"/>
        <v>0</v>
      </c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8"/>
    </row>
    <row r="37" spans="1:35" ht="30" hidden="1" customHeight="1" x14ac:dyDescent="0.25">
      <c r="A37" s="78"/>
      <c r="B37" s="131"/>
      <c r="C37" s="28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>
        <f>SUM(D37:N37)</f>
        <v>0</v>
      </c>
      <c r="P37" s="525"/>
      <c r="Q37" s="528"/>
      <c r="R37" s="528"/>
      <c r="S37" s="528"/>
      <c r="T37" s="528"/>
      <c r="U37" s="529">
        <f>SUM(Q37:T37)</f>
        <v>0</v>
      </c>
      <c r="V37" s="530"/>
      <c r="W37" s="531">
        <f>O37+U37</f>
        <v>0</v>
      </c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8"/>
    </row>
    <row r="38" spans="1:35" ht="30" hidden="1" customHeight="1" x14ac:dyDescent="0.25">
      <c r="A38" s="78"/>
      <c r="B38" s="131"/>
      <c r="C38" s="28"/>
      <c r="D38" s="520"/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520">
        <f t="shared" si="4"/>
        <v>0</v>
      </c>
      <c r="P38" s="525"/>
      <c r="Q38" s="528"/>
      <c r="R38" s="528"/>
      <c r="S38" s="528"/>
      <c r="T38" s="528"/>
      <c r="U38" s="529">
        <f t="shared" si="5"/>
        <v>0</v>
      </c>
      <c r="V38" s="530"/>
      <c r="W38" s="531">
        <f t="shared" si="6"/>
        <v>0</v>
      </c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8"/>
    </row>
    <row r="39" spans="1:35" ht="30" hidden="1" customHeight="1" x14ac:dyDescent="0.25">
      <c r="A39" s="78"/>
      <c r="B39" s="131"/>
      <c r="C39" s="28"/>
      <c r="D39" s="520"/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0">
        <f t="shared" si="4"/>
        <v>0</v>
      </c>
      <c r="P39" s="525"/>
      <c r="Q39" s="528"/>
      <c r="R39" s="528"/>
      <c r="S39" s="528"/>
      <c r="T39" s="528"/>
      <c r="U39" s="529">
        <f t="shared" si="5"/>
        <v>0</v>
      </c>
      <c r="V39" s="530"/>
      <c r="W39" s="531">
        <f t="shared" si="6"/>
        <v>0</v>
      </c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8"/>
    </row>
    <row r="40" spans="1:35" ht="30" hidden="1" customHeight="1" x14ac:dyDescent="0.25">
      <c r="A40" s="78"/>
      <c r="B40" s="131"/>
      <c r="C40" s="28"/>
      <c r="D40" s="520"/>
      <c r="E40" s="520"/>
      <c r="F40" s="520"/>
      <c r="G40" s="520"/>
      <c r="H40" s="520"/>
      <c r="I40" s="520"/>
      <c r="J40" s="520"/>
      <c r="K40" s="520"/>
      <c r="L40" s="520"/>
      <c r="M40" s="520"/>
      <c r="N40" s="520"/>
      <c r="O40" s="520">
        <f t="shared" si="4"/>
        <v>0</v>
      </c>
      <c r="P40" s="525"/>
      <c r="Q40" s="528"/>
      <c r="R40" s="528"/>
      <c r="S40" s="528"/>
      <c r="T40" s="528"/>
      <c r="U40" s="529">
        <f t="shared" si="5"/>
        <v>0</v>
      </c>
      <c r="V40" s="530"/>
      <c r="W40" s="531">
        <f t="shared" si="6"/>
        <v>0</v>
      </c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8"/>
    </row>
    <row r="41" spans="1:35" ht="30" hidden="1" customHeight="1" x14ac:dyDescent="0.25">
      <c r="A41" s="78"/>
      <c r="B41" s="131"/>
      <c r="C41" s="28"/>
      <c r="D41" s="520"/>
      <c r="E41" s="520"/>
      <c r="F41" s="520"/>
      <c r="G41" s="520"/>
      <c r="H41" s="520"/>
      <c r="I41" s="520"/>
      <c r="J41" s="520"/>
      <c r="K41" s="520"/>
      <c r="L41" s="520"/>
      <c r="M41" s="520"/>
      <c r="N41" s="520"/>
      <c r="O41" s="520">
        <f t="shared" si="4"/>
        <v>0</v>
      </c>
      <c r="P41" s="525"/>
      <c r="Q41" s="528"/>
      <c r="R41" s="528"/>
      <c r="S41" s="528"/>
      <c r="T41" s="528"/>
      <c r="U41" s="529">
        <f t="shared" si="5"/>
        <v>0</v>
      </c>
      <c r="V41" s="530"/>
      <c r="W41" s="531">
        <f t="shared" si="6"/>
        <v>0</v>
      </c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8"/>
    </row>
    <row r="42" spans="1:35" ht="30" hidden="1" customHeight="1" x14ac:dyDescent="0.25">
      <c r="A42" s="78"/>
      <c r="B42" s="131"/>
      <c r="C42" s="28"/>
      <c r="D42" s="520"/>
      <c r="E42" s="520"/>
      <c r="F42" s="520"/>
      <c r="G42" s="520"/>
      <c r="H42" s="520"/>
      <c r="I42" s="520"/>
      <c r="J42" s="520"/>
      <c r="K42" s="520"/>
      <c r="L42" s="520"/>
      <c r="M42" s="520"/>
      <c r="N42" s="520"/>
      <c r="O42" s="520">
        <f t="shared" si="4"/>
        <v>0</v>
      </c>
      <c r="P42" s="525"/>
      <c r="Q42" s="528"/>
      <c r="R42" s="528"/>
      <c r="S42" s="528"/>
      <c r="T42" s="528"/>
      <c r="U42" s="529">
        <f t="shared" si="5"/>
        <v>0</v>
      </c>
      <c r="V42" s="530"/>
      <c r="W42" s="531">
        <f t="shared" si="6"/>
        <v>0</v>
      </c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8"/>
    </row>
    <row r="43" spans="1:35" ht="30" hidden="1" customHeight="1" x14ac:dyDescent="0.25">
      <c r="A43" s="78"/>
      <c r="B43" s="131"/>
      <c r="C43" s="28"/>
      <c r="D43" s="520"/>
      <c r="E43" s="520"/>
      <c r="F43" s="520"/>
      <c r="G43" s="520"/>
      <c r="H43" s="520"/>
      <c r="I43" s="520"/>
      <c r="J43" s="520"/>
      <c r="K43" s="520"/>
      <c r="L43" s="520"/>
      <c r="M43" s="520"/>
      <c r="N43" s="520"/>
      <c r="O43" s="520">
        <f t="shared" si="4"/>
        <v>0</v>
      </c>
      <c r="P43" s="525"/>
      <c r="Q43" s="528"/>
      <c r="R43" s="528"/>
      <c r="S43" s="528"/>
      <c r="T43" s="528"/>
      <c r="U43" s="529">
        <f t="shared" si="5"/>
        <v>0</v>
      </c>
      <c r="V43" s="530"/>
      <c r="W43" s="531">
        <f t="shared" si="6"/>
        <v>0</v>
      </c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8"/>
    </row>
    <row r="44" spans="1:35" ht="30" hidden="1" customHeight="1" x14ac:dyDescent="0.25">
      <c r="A44" s="78"/>
      <c r="B44" s="131"/>
      <c r="C44" s="39"/>
      <c r="D44" s="520"/>
      <c r="E44" s="520"/>
      <c r="F44" s="520"/>
      <c r="G44" s="520"/>
      <c r="H44" s="520"/>
      <c r="I44" s="520"/>
      <c r="J44" s="520"/>
      <c r="K44" s="520"/>
      <c r="L44" s="520"/>
      <c r="M44" s="520"/>
      <c r="N44" s="520"/>
      <c r="O44" s="520">
        <f>SUM(D44:N44)</f>
        <v>0</v>
      </c>
      <c r="P44" s="525"/>
      <c r="Q44" s="528"/>
      <c r="R44" s="528"/>
      <c r="S44" s="528"/>
      <c r="T44" s="528"/>
      <c r="U44" s="529">
        <f>SUM(Q44:T44)</f>
        <v>0</v>
      </c>
      <c r="V44" s="530"/>
      <c r="W44" s="531">
        <f>O44+U44</f>
        <v>0</v>
      </c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8"/>
    </row>
    <row r="45" spans="1:35" ht="35.1" hidden="1" customHeight="1" thickBot="1" x14ac:dyDescent="0.3">
      <c r="A45" s="66"/>
      <c r="B45" s="112"/>
      <c r="C45" s="28"/>
      <c r="D45" s="525"/>
      <c r="E45" s="525"/>
      <c r="F45" s="525"/>
      <c r="G45" s="525"/>
      <c r="H45" s="525"/>
      <c r="I45" s="525"/>
      <c r="J45" s="525"/>
      <c r="K45" s="525"/>
      <c r="L45" s="525"/>
      <c r="M45" s="525"/>
      <c r="N45" s="525"/>
      <c r="O45" s="520"/>
      <c r="P45" s="525"/>
      <c r="Q45" s="525"/>
      <c r="R45" s="525"/>
      <c r="S45" s="525"/>
      <c r="T45" s="525"/>
      <c r="U45" s="532"/>
      <c r="V45" s="533"/>
      <c r="W45" s="534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8"/>
    </row>
    <row r="46" spans="1:35" ht="35.1" hidden="1" customHeight="1" thickTop="1" thickBot="1" x14ac:dyDescent="0.3">
      <c r="A46" s="35"/>
      <c r="B46" s="36"/>
      <c r="C46" s="44" t="s">
        <v>19</v>
      </c>
      <c r="D46" s="398">
        <f t="shared" ref="D46:O46" si="7">SUM(D17:D45)</f>
        <v>32530.041000000001</v>
      </c>
      <c r="E46" s="398">
        <f t="shared" si="7"/>
        <v>0</v>
      </c>
      <c r="F46" s="398">
        <f t="shared" si="7"/>
        <v>1597.75</v>
      </c>
      <c r="G46" s="398">
        <f t="shared" si="7"/>
        <v>0</v>
      </c>
      <c r="H46" s="398">
        <f t="shared" si="7"/>
        <v>-4858.375</v>
      </c>
      <c r="I46" s="398">
        <f t="shared" si="7"/>
        <v>1800</v>
      </c>
      <c r="J46" s="398">
        <f t="shared" si="7"/>
        <v>0</v>
      </c>
      <c r="K46" s="398">
        <f t="shared" si="7"/>
        <v>0</v>
      </c>
      <c r="L46" s="398">
        <f t="shared" si="7"/>
        <v>0</v>
      </c>
      <c r="M46" s="398">
        <f t="shared" si="7"/>
        <v>0</v>
      </c>
      <c r="N46" s="398">
        <f t="shared" si="7"/>
        <v>950</v>
      </c>
      <c r="O46" s="398">
        <f t="shared" si="7"/>
        <v>32019.416000000005</v>
      </c>
      <c r="P46" s="398"/>
      <c r="Q46" s="398">
        <f>SUM(Q17:Q45)</f>
        <v>3850000</v>
      </c>
      <c r="R46" s="398">
        <f>SUM(R17:R45)</f>
        <v>0</v>
      </c>
      <c r="S46" s="398">
        <f>SUM(S17:S45)</f>
        <v>0</v>
      </c>
      <c r="T46" s="398">
        <f>SUM(T17:T45)</f>
        <v>0</v>
      </c>
      <c r="U46" s="398">
        <f>SUM(U17:U45)</f>
        <v>3850000</v>
      </c>
      <c r="V46" s="399"/>
      <c r="W46" s="400">
        <f>SUM(W17:W45)</f>
        <v>3882019.4160000002</v>
      </c>
    </row>
    <row r="47" spans="1:35" ht="35.1" hidden="1" customHeight="1" thickTop="1" thickBot="1" x14ac:dyDescent="0.3">
      <c r="A47" s="35"/>
      <c r="B47" s="36"/>
      <c r="C47" s="44" t="s">
        <v>118</v>
      </c>
      <c r="D47" s="535">
        <f t="shared" ref="D47:O47" si="8">D16+D46</f>
        <v>2257168.2960000006</v>
      </c>
      <c r="E47" s="535">
        <f t="shared" si="8"/>
        <v>0</v>
      </c>
      <c r="F47" s="535">
        <f t="shared" si="8"/>
        <v>53782.75</v>
      </c>
      <c r="G47" s="535">
        <f t="shared" si="8"/>
        <v>8854057</v>
      </c>
      <c r="H47" s="535">
        <f t="shared" si="8"/>
        <v>2338414.37</v>
      </c>
      <c r="I47" s="535">
        <f t="shared" si="8"/>
        <v>1800</v>
      </c>
      <c r="J47" s="535">
        <f t="shared" si="8"/>
        <v>50000</v>
      </c>
      <c r="K47" s="535">
        <f t="shared" si="8"/>
        <v>1050154</v>
      </c>
      <c r="L47" s="535">
        <f t="shared" si="8"/>
        <v>1511000</v>
      </c>
      <c r="M47" s="535">
        <f t="shared" si="8"/>
        <v>16300</v>
      </c>
      <c r="N47" s="535">
        <f t="shared" si="8"/>
        <v>959</v>
      </c>
      <c r="O47" s="536">
        <f t="shared" si="8"/>
        <v>16133635.415999999</v>
      </c>
      <c r="P47" s="536"/>
      <c r="Q47" s="536">
        <f>Q16+Q46</f>
        <v>5960000</v>
      </c>
      <c r="R47" s="536">
        <f>R16+R46</f>
        <v>861226</v>
      </c>
      <c r="S47" s="536">
        <f>S16+S46</f>
        <v>0</v>
      </c>
      <c r="T47" s="536">
        <f>T16+T46</f>
        <v>0</v>
      </c>
      <c r="U47" s="536">
        <f>U16+U46</f>
        <v>6821226</v>
      </c>
      <c r="V47" s="537"/>
      <c r="W47" s="538">
        <f t="shared" ref="W47:W92" si="9">O47+U47</f>
        <v>22954861.416000001</v>
      </c>
    </row>
    <row r="48" spans="1:35" ht="35.1" hidden="1" customHeight="1" thickTop="1" thickBot="1" x14ac:dyDescent="0.3">
      <c r="A48" s="35"/>
      <c r="B48" s="36"/>
      <c r="C48" s="39" t="s">
        <v>190</v>
      </c>
      <c r="D48" s="535"/>
      <c r="E48" s="535"/>
      <c r="F48" s="535"/>
      <c r="G48" s="535"/>
      <c r="H48" s="535"/>
      <c r="I48" s="535"/>
      <c r="J48" s="535"/>
      <c r="K48" s="535"/>
      <c r="L48" s="535"/>
      <c r="M48" s="535"/>
      <c r="N48" s="536"/>
      <c r="O48" s="536"/>
      <c r="P48" s="536"/>
      <c r="Q48" s="536"/>
      <c r="R48" s="536">
        <v>3162371.2149999999</v>
      </c>
      <c r="S48" s="536"/>
      <c r="T48" s="536"/>
      <c r="U48" s="535">
        <f>SUM(Q48:T48)</f>
        <v>3162371.2149999999</v>
      </c>
      <c r="V48" s="539"/>
      <c r="W48" s="538">
        <f t="shared" si="9"/>
        <v>3162371.2149999999</v>
      </c>
    </row>
    <row r="49" spans="1:23" ht="35.1" hidden="1" customHeight="1" thickTop="1" thickBot="1" x14ac:dyDescent="0.3">
      <c r="A49" s="35"/>
      <c r="B49" s="511" t="s">
        <v>137</v>
      </c>
      <c r="C49" s="44" t="s">
        <v>191</v>
      </c>
      <c r="D49" s="535">
        <f t="shared" ref="D49:U49" si="10">D47+D48</f>
        <v>2257168.2960000006</v>
      </c>
      <c r="E49" s="535">
        <f t="shared" si="10"/>
        <v>0</v>
      </c>
      <c r="F49" s="535">
        <f t="shared" si="10"/>
        <v>53782.75</v>
      </c>
      <c r="G49" s="535">
        <f t="shared" si="10"/>
        <v>8854057</v>
      </c>
      <c r="H49" s="535">
        <f t="shared" si="10"/>
        <v>2338414.37</v>
      </c>
      <c r="I49" s="535">
        <f t="shared" si="10"/>
        <v>1800</v>
      </c>
      <c r="J49" s="535">
        <f t="shared" si="10"/>
        <v>50000</v>
      </c>
      <c r="K49" s="535">
        <f t="shared" si="10"/>
        <v>1050154</v>
      </c>
      <c r="L49" s="535">
        <f t="shared" si="10"/>
        <v>1511000</v>
      </c>
      <c r="M49" s="535">
        <f t="shared" si="10"/>
        <v>16300</v>
      </c>
      <c r="N49" s="535">
        <f t="shared" si="10"/>
        <v>959</v>
      </c>
      <c r="O49" s="536">
        <f t="shared" si="10"/>
        <v>16133635.415999999</v>
      </c>
      <c r="P49" s="536"/>
      <c r="Q49" s="536">
        <f t="shared" si="10"/>
        <v>5960000</v>
      </c>
      <c r="R49" s="536">
        <f t="shared" si="10"/>
        <v>4023597.2149999999</v>
      </c>
      <c r="S49" s="536">
        <f t="shared" si="10"/>
        <v>0</v>
      </c>
      <c r="T49" s="536">
        <f t="shared" si="10"/>
        <v>0</v>
      </c>
      <c r="U49" s="535">
        <f t="shared" si="10"/>
        <v>9983597.2149999999</v>
      </c>
      <c r="V49" s="539"/>
      <c r="W49" s="538">
        <f t="shared" si="9"/>
        <v>26117232.630999997</v>
      </c>
    </row>
    <row r="50" spans="1:23" ht="24.95" hidden="1" customHeight="1" x14ac:dyDescent="0.25">
      <c r="A50" s="22"/>
      <c r="B50" s="23"/>
      <c r="C50" s="211" t="s">
        <v>18</v>
      </c>
      <c r="D50" s="25">
        <f t="shared" ref="D50:U50" si="11">D49</f>
        <v>2257168.2960000006</v>
      </c>
      <c r="E50" s="25">
        <f t="shared" si="11"/>
        <v>0</v>
      </c>
      <c r="F50" s="25">
        <f t="shared" si="11"/>
        <v>53782.75</v>
      </c>
      <c r="G50" s="25">
        <f t="shared" si="11"/>
        <v>8854057</v>
      </c>
      <c r="H50" s="25">
        <f t="shared" si="11"/>
        <v>2338414.37</v>
      </c>
      <c r="I50" s="25">
        <f t="shared" si="11"/>
        <v>1800</v>
      </c>
      <c r="J50" s="25">
        <f t="shared" si="11"/>
        <v>50000</v>
      </c>
      <c r="K50" s="25">
        <f t="shared" si="11"/>
        <v>1050154</v>
      </c>
      <c r="L50" s="25">
        <f t="shared" si="11"/>
        <v>1511000</v>
      </c>
      <c r="M50" s="25">
        <f t="shared" si="11"/>
        <v>16300</v>
      </c>
      <c r="N50" s="25">
        <f t="shared" si="11"/>
        <v>959</v>
      </c>
      <c r="O50" s="25">
        <f t="shared" si="11"/>
        <v>16133635.415999999</v>
      </c>
      <c r="P50" s="25"/>
      <c r="Q50" s="25">
        <f t="shared" si="11"/>
        <v>5960000</v>
      </c>
      <c r="R50" s="25">
        <f>R49</f>
        <v>4023597.2149999999</v>
      </c>
      <c r="S50" s="25">
        <f>S49</f>
        <v>0</v>
      </c>
      <c r="T50" s="25">
        <f t="shared" si="11"/>
        <v>0</v>
      </c>
      <c r="U50" s="25">
        <f t="shared" si="11"/>
        <v>9983597.2149999999</v>
      </c>
      <c r="V50" s="135"/>
      <c r="W50" s="371">
        <f t="shared" si="9"/>
        <v>26117232.630999997</v>
      </c>
    </row>
    <row r="51" spans="1:23" ht="24.95" hidden="1" customHeight="1" x14ac:dyDescent="0.2">
      <c r="A51" s="217">
        <v>1</v>
      </c>
      <c r="B51" s="432" t="s">
        <v>322</v>
      </c>
      <c r="C51" s="41" t="s">
        <v>324</v>
      </c>
      <c r="D51" s="165"/>
      <c r="E51" s="165"/>
      <c r="F51" s="165">
        <f>61</f>
        <v>61</v>
      </c>
      <c r="H51" s="165"/>
      <c r="I51" s="165">
        <f>1</f>
        <v>1</v>
      </c>
      <c r="J51" s="165"/>
      <c r="K51" s="165"/>
      <c r="L51" s="165"/>
      <c r="M51" s="165"/>
      <c r="N51" s="165"/>
      <c r="O51" s="165">
        <f t="shared" ref="O51:O91" si="12">SUM(D51:N51)</f>
        <v>62</v>
      </c>
      <c r="P51" s="165"/>
      <c r="Q51" s="165"/>
      <c r="R51" s="165"/>
      <c r="S51" s="165"/>
      <c r="T51" s="165"/>
      <c r="U51" s="165">
        <f t="shared" ref="U51:U91" si="13">SUM(Q51:T51)</f>
        <v>0</v>
      </c>
      <c r="V51" s="382"/>
      <c r="W51" s="372">
        <f t="shared" si="9"/>
        <v>62</v>
      </c>
    </row>
    <row r="52" spans="1:23" ht="24.95" hidden="1" customHeight="1" x14ac:dyDescent="0.2">
      <c r="A52" s="217">
        <v>2</v>
      </c>
      <c r="B52" s="432" t="s">
        <v>323</v>
      </c>
      <c r="C52" s="41" t="s">
        <v>225</v>
      </c>
      <c r="D52" s="165"/>
      <c r="E52" s="165"/>
      <c r="F52" s="165"/>
      <c r="H52" s="165">
        <f>800+216</f>
        <v>1016</v>
      </c>
      <c r="I52" s="165"/>
      <c r="J52" s="165"/>
      <c r="K52" s="165"/>
      <c r="L52" s="165"/>
      <c r="M52" s="165"/>
      <c r="N52" s="165"/>
      <c r="O52" s="165">
        <f t="shared" si="12"/>
        <v>1016</v>
      </c>
      <c r="P52" s="165"/>
      <c r="Q52" s="165"/>
      <c r="R52" s="165"/>
      <c r="S52" s="165"/>
      <c r="T52" s="165"/>
      <c r="U52" s="165">
        <f t="shared" si="13"/>
        <v>0</v>
      </c>
      <c r="V52" s="382"/>
      <c r="W52" s="372">
        <f t="shared" si="9"/>
        <v>1016</v>
      </c>
    </row>
    <row r="53" spans="1:23" ht="24.95" hidden="1" customHeight="1" x14ac:dyDescent="0.2">
      <c r="A53" s="217">
        <v>3</v>
      </c>
      <c r="B53" s="432" t="s">
        <v>350</v>
      </c>
      <c r="C53" s="41" t="s">
        <v>351</v>
      </c>
      <c r="D53" s="165">
        <f>3253.747</f>
        <v>3253.7469999999998</v>
      </c>
      <c r="E53" s="165"/>
      <c r="F53" s="165"/>
      <c r="H53" s="165"/>
      <c r="I53" s="165"/>
      <c r="J53" s="165"/>
      <c r="K53" s="165"/>
      <c r="L53" s="165"/>
      <c r="M53" s="165"/>
      <c r="N53" s="165"/>
      <c r="O53" s="165">
        <f t="shared" si="12"/>
        <v>3253.7469999999998</v>
      </c>
      <c r="P53" s="165"/>
      <c r="Q53" s="165"/>
      <c r="R53" s="165"/>
      <c r="S53" s="165"/>
      <c r="T53" s="165"/>
      <c r="U53" s="165">
        <f t="shared" si="13"/>
        <v>0</v>
      </c>
      <c r="V53" s="382"/>
      <c r="W53" s="372">
        <f t="shared" si="9"/>
        <v>3253.7469999999998</v>
      </c>
    </row>
    <row r="54" spans="1:23" ht="24.95" hidden="1" customHeight="1" x14ac:dyDescent="0.2">
      <c r="A54" s="217">
        <v>4</v>
      </c>
      <c r="B54" s="432" t="s">
        <v>350</v>
      </c>
      <c r="C54" s="41" t="s">
        <v>352</v>
      </c>
      <c r="D54" s="165">
        <v>3978.2860000000001</v>
      </c>
      <c r="E54" s="165"/>
      <c r="F54" s="165"/>
      <c r="H54" s="165"/>
      <c r="I54" s="165"/>
      <c r="J54" s="165"/>
      <c r="K54" s="165"/>
      <c r="L54" s="165"/>
      <c r="M54" s="165"/>
      <c r="N54" s="165"/>
      <c r="O54" s="165">
        <f t="shared" si="12"/>
        <v>3978.2860000000001</v>
      </c>
      <c r="P54" s="165"/>
      <c r="Q54" s="165"/>
      <c r="R54" s="165"/>
      <c r="S54" s="165"/>
      <c r="T54" s="165"/>
      <c r="U54" s="165">
        <f t="shared" si="13"/>
        <v>0</v>
      </c>
      <c r="V54" s="382"/>
      <c r="W54" s="372">
        <f t="shared" si="9"/>
        <v>3978.2860000000001</v>
      </c>
    </row>
    <row r="55" spans="1:23" ht="24.95" hidden="1" customHeight="1" x14ac:dyDescent="0.2">
      <c r="A55" s="217">
        <v>5</v>
      </c>
      <c r="B55" s="432" t="s">
        <v>350</v>
      </c>
      <c r="C55" s="41" t="s">
        <v>362</v>
      </c>
      <c r="D55" s="165">
        <v>620.08500000000004</v>
      </c>
      <c r="E55" s="165"/>
      <c r="F55" s="165"/>
      <c r="H55" s="165"/>
      <c r="I55" s="165"/>
      <c r="J55" s="165"/>
      <c r="K55" s="165"/>
      <c r="L55" s="165"/>
      <c r="M55" s="165"/>
      <c r="N55" s="165"/>
      <c r="O55" s="165">
        <f t="shared" si="12"/>
        <v>620.08500000000004</v>
      </c>
      <c r="P55" s="165"/>
      <c r="Q55" s="165"/>
      <c r="R55" s="165"/>
      <c r="S55" s="165"/>
      <c r="T55" s="165"/>
      <c r="U55" s="165">
        <f t="shared" si="13"/>
        <v>0</v>
      </c>
      <c r="V55" s="382"/>
      <c r="W55" s="372">
        <f t="shared" si="9"/>
        <v>620.08500000000004</v>
      </c>
    </row>
    <row r="56" spans="1:23" ht="24.95" hidden="1" customHeight="1" x14ac:dyDescent="0.2">
      <c r="A56" s="217">
        <v>6</v>
      </c>
      <c r="B56" s="432" t="s">
        <v>337</v>
      </c>
      <c r="C56" s="41" t="s">
        <v>225</v>
      </c>
      <c r="D56" s="165"/>
      <c r="E56" s="165"/>
      <c r="F56" s="165"/>
      <c r="G56" s="165"/>
      <c r="H56" s="165">
        <f>800+216</f>
        <v>1016</v>
      </c>
      <c r="I56" s="165"/>
      <c r="J56" s="165"/>
      <c r="K56" s="165"/>
      <c r="L56" s="165"/>
      <c r="M56" s="165"/>
      <c r="N56" s="165"/>
      <c r="O56" s="165">
        <f t="shared" si="12"/>
        <v>1016</v>
      </c>
      <c r="P56" s="165"/>
      <c r="Q56" s="165"/>
      <c r="R56" s="165"/>
      <c r="S56" s="165"/>
      <c r="T56" s="165"/>
      <c r="U56" s="165">
        <f t="shared" si="13"/>
        <v>0</v>
      </c>
      <c r="V56" s="382"/>
      <c r="W56" s="372">
        <f t="shared" si="9"/>
        <v>1016</v>
      </c>
    </row>
    <row r="57" spans="1:23" ht="24.95" hidden="1" customHeight="1" x14ac:dyDescent="0.2">
      <c r="A57" s="217">
        <v>7</v>
      </c>
      <c r="B57" s="432" t="s">
        <v>353</v>
      </c>
      <c r="C57" s="41" t="s">
        <v>354</v>
      </c>
      <c r="D57" s="165">
        <v>23531.8</v>
      </c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>
        <f t="shared" si="12"/>
        <v>23531.8</v>
      </c>
      <c r="P57" s="165"/>
      <c r="Q57" s="165"/>
      <c r="R57" s="165"/>
      <c r="S57" s="165"/>
      <c r="T57" s="165"/>
      <c r="U57" s="165">
        <f t="shared" si="13"/>
        <v>0</v>
      </c>
      <c r="V57" s="382"/>
      <c r="W57" s="372">
        <f t="shared" si="9"/>
        <v>23531.8</v>
      </c>
    </row>
    <row r="58" spans="1:23" ht="24.95" hidden="1" customHeight="1" x14ac:dyDescent="0.2">
      <c r="A58" s="217">
        <v>8</v>
      </c>
      <c r="B58" s="432" t="s">
        <v>367</v>
      </c>
      <c r="C58" s="41" t="s">
        <v>366</v>
      </c>
      <c r="D58" s="165"/>
      <c r="E58" s="165">
        <f>6478.459</f>
        <v>6478.4589999999998</v>
      </c>
      <c r="F58" s="165"/>
      <c r="G58" s="165"/>
      <c r="H58" s="165"/>
      <c r="I58" s="165"/>
      <c r="J58" s="165"/>
      <c r="K58" s="165"/>
      <c r="L58" s="165"/>
      <c r="M58" s="165"/>
      <c r="N58" s="165"/>
      <c r="O58" s="165">
        <f t="shared" si="12"/>
        <v>6478.4589999999998</v>
      </c>
      <c r="P58" s="165"/>
      <c r="Q58" s="165"/>
      <c r="R58" s="165"/>
      <c r="S58" s="165"/>
      <c r="T58" s="165"/>
      <c r="U58" s="165">
        <f t="shared" si="13"/>
        <v>0</v>
      </c>
      <c r="V58" s="382"/>
      <c r="W58" s="372">
        <f t="shared" si="9"/>
        <v>6478.4589999999998</v>
      </c>
    </row>
    <row r="59" spans="1:23" ht="24.95" hidden="1" customHeight="1" x14ac:dyDescent="0.2">
      <c r="A59" s="217">
        <v>9</v>
      </c>
      <c r="B59" s="432" t="s">
        <v>369</v>
      </c>
      <c r="C59" s="41" t="s">
        <v>368</v>
      </c>
      <c r="D59" s="165"/>
      <c r="E59" s="165"/>
      <c r="F59" s="165"/>
      <c r="G59" s="165"/>
      <c r="H59" s="165">
        <f>3916</f>
        <v>3916</v>
      </c>
      <c r="I59" s="165"/>
      <c r="J59" s="165"/>
      <c r="K59" s="165"/>
      <c r="L59" s="165"/>
      <c r="M59" s="165"/>
      <c r="N59" s="165"/>
      <c r="O59" s="165">
        <f t="shared" si="12"/>
        <v>3916</v>
      </c>
      <c r="P59" s="165"/>
      <c r="Q59" s="165"/>
      <c r="R59" s="165"/>
      <c r="S59" s="165"/>
      <c r="T59" s="165"/>
      <c r="U59" s="165">
        <f t="shared" si="13"/>
        <v>0</v>
      </c>
      <c r="V59" s="382"/>
      <c r="W59" s="372">
        <f t="shared" si="9"/>
        <v>3916</v>
      </c>
    </row>
    <row r="60" spans="1:23" ht="24.95" hidden="1" customHeight="1" x14ac:dyDescent="0.2">
      <c r="A60" s="217">
        <v>10</v>
      </c>
      <c r="B60" s="604" t="s">
        <v>375</v>
      </c>
      <c r="C60" s="41" t="s">
        <v>374</v>
      </c>
      <c r="D60" s="165"/>
      <c r="E60" s="165"/>
      <c r="F60" s="165"/>
      <c r="G60" s="165"/>
      <c r="H60" s="165">
        <f>1600+432</f>
        <v>2032</v>
      </c>
      <c r="I60" s="165"/>
      <c r="J60" s="165"/>
      <c r="K60" s="165"/>
      <c r="L60" s="165"/>
      <c r="M60" s="165"/>
      <c r="N60" s="165"/>
      <c r="O60" s="165">
        <f t="shared" si="12"/>
        <v>2032</v>
      </c>
      <c r="P60" s="165"/>
      <c r="Q60" s="165"/>
      <c r="R60" s="165"/>
      <c r="S60" s="165"/>
      <c r="T60" s="165"/>
      <c r="U60" s="165">
        <f t="shared" si="13"/>
        <v>0</v>
      </c>
      <c r="V60" s="382"/>
      <c r="W60" s="372">
        <f t="shared" si="9"/>
        <v>2032</v>
      </c>
    </row>
    <row r="61" spans="1:23" ht="33" hidden="1" customHeight="1" x14ac:dyDescent="0.2">
      <c r="A61" s="217">
        <v>11</v>
      </c>
      <c r="B61" s="438" t="s">
        <v>381</v>
      </c>
      <c r="C61" s="41" t="s">
        <v>382</v>
      </c>
      <c r="D61" s="165"/>
      <c r="E61" s="165"/>
      <c r="F61" s="165"/>
      <c r="G61" s="165"/>
      <c r="H61" s="165"/>
      <c r="I61" s="165"/>
      <c r="J61" s="165"/>
      <c r="K61" s="165">
        <f>-243526</f>
        <v>-243526</v>
      </c>
      <c r="L61" s="165"/>
      <c r="M61" s="165"/>
      <c r="N61" s="165"/>
      <c r="O61" s="165">
        <f t="shared" si="12"/>
        <v>-243526</v>
      </c>
      <c r="P61" s="165"/>
      <c r="Q61" s="165"/>
      <c r="R61" s="165"/>
      <c r="S61" s="165"/>
      <c r="T61" s="165"/>
      <c r="U61" s="165">
        <f t="shared" si="13"/>
        <v>0</v>
      </c>
      <c r="V61" s="382"/>
      <c r="W61" s="372">
        <f t="shared" si="9"/>
        <v>-243526</v>
      </c>
    </row>
    <row r="62" spans="1:23" ht="24.95" hidden="1" customHeight="1" x14ac:dyDescent="0.2">
      <c r="A62" s="217">
        <v>12</v>
      </c>
      <c r="B62" s="433" t="s">
        <v>412</v>
      </c>
      <c r="C62" s="28" t="s">
        <v>413</v>
      </c>
      <c r="D62" s="165"/>
      <c r="E62" s="165"/>
      <c r="F62" s="165"/>
      <c r="G62" s="165"/>
      <c r="H62" s="165">
        <f>89</f>
        <v>89</v>
      </c>
      <c r="I62" s="165"/>
      <c r="J62" s="165"/>
      <c r="K62" s="165"/>
      <c r="L62" s="165"/>
      <c r="M62" s="165"/>
      <c r="N62" s="165"/>
      <c r="O62" s="165">
        <f t="shared" si="12"/>
        <v>89</v>
      </c>
      <c r="P62" s="165"/>
      <c r="Q62" s="165"/>
      <c r="R62" s="165"/>
      <c r="S62" s="165"/>
      <c r="T62" s="165"/>
      <c r="U62" s="165">
        <f t="shared" si="13"/>
        <v>0</v>
      </c>
      <c r="V62" s="382"/>
      <c r="W62" s="372">
        <f t="shared" si="9"/>
        <v>89</v>
      </c>
    </row>
    <row r="63" spans="1:23" ht="24.95" hidden="1" customHeight="1" x14ac:dyDescent="0.2">
      <c r="A63" s="217">
        <v>13</v>
      </c>
      <c r="B63" s="611" t="s">
        <v>420</v>
      </c>
      <c r="C63" s="28" t="s">
        <v>225</v>
      </c>
      <c r="D63" s="165"/>
      <c r="E63" s="165"/>
      <c r="F63" s="165"/>
      <c r="G63" s="165"/>
      <c r="H63" s="165">
        <f>2400+648</f>
        <v>3048</v>
      </c>
      <c r="I63" s="165"/>
      <c r="J63" s="165"/>
      <c r="K63" s="165"/>
      <c r="L63" s="165"/>
      <c r="M63" s="165"/>
      <c r="N63" s="165"/>
      <c r="O63" s="165">
        <f t="shared" si="12"/>
        <v>3048</v>
      </c>
      <c r="P63" s="165"/>
      <c r="Q63" s="165"/>
      <c r="R63" s="165"/>
      <c r="S63" s="165"/>
      <c r="T63" s="165"/>
      <c r="U63" s="165">
        <f t="shared" si="13"/>
        <v>0</v>
      </c>
      <c r="V63" s="382"/>
      <c r="W63" s="372">
        <f t="shared" si="9"/>
        <v>3048</v>
      </c>
    </row>
    <row r="64" spans="1:23" ht="24.95" hidden="1" customHeight="1" x14ac:dyDescent="0.2">
      <c r="A64" s="217">
        <v>14</v>
      </c>
      <c r="B64" s="611" t="s">
        <v>435</v>
      </c>
      <c r="C64" s="41" t="s">
        <v>362</v>
      </c>
      <c r="D64" s="165">
        <f>586.268</f>
        <v>586.26800000000003</v>
      </c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>
        <f t="shared" si="12"/>
        <v>586.26800000000003</v>
      </c>
      <c r="P64" s="165"/>
      <c r="Q64" s="165"/>
      <c r="R64" s="165"/>
      <c r="S64" s="165"/>
      <c r="T64" s="165"/>
      <c r="U64" s="165">
        <f t="shared" si="13"/>
        <v>0</v>
      </c>
      <c r="V64" s="382"/>
      <c r="W64" s="372">
        <f t="shared" si="9"/>
        <v>586.26800000000003</v>
      </c>
    </row>
    <row r="65" spans="1:23" ht="24.95" hidden="1" customHeight="1" x14ac:dyDescent="0.2">
      <c r="A65" s="217">
        <v>15</v>
      </c>
      <c r="B65" s="611" t="s">
        <v>435</v>
      </c>
      <c r="C65" s="41" t="s">
        <v>352</v>
      </c>
      <c r="D65" s="165">
        <f>3848.145</f>
        <v>3848.145</v>
      </c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>
        <f t="shared" si="12"/>
        <v>3848.145</v>
      </c>
      <c r="P65" s="165"/>
      <c r="Q65" s="165"/>
      <c r="R65" s="165"/>
      <c r="S65" s="165"/>
      <c r="T65" s="165"/>
      <c r="U65" s="165">
        <f t="shared" si="13"/>
        <v>0</v>
      </c>
      <c r="V65" s="382"/>
      <c r="W65" s="372">
        <f t="shared" si="9"/>
        <v>3848.145</v>
      </c>
    </row>
    <row r="66" spans="1:23" ht="24.95" hidden="1" customHeight="1" x14ac:dyDescent="0.2">
      <c r="A66" s="217">
        <v>16</v>
      </c>
      <c r="B66" s="611" t="s">
        <v>435</v>
      </c>
      <c r="C66" s="41" t="s">
        <v>351</v>
      </c>
      <c r="D66" s="165">
        <v>2900.7559999999999</v>
      </c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>
        <f t="shared" si="12"/>
        <v>2900.7559999999999</v>
      </c>
      <c r="P66" s="165"/>
      <c r="Q66" s="165"/>
      <c r="R66" s="165"/>
      <c r="S66" s="165"/>
      <c r="T66" s="165"/>
      <c r="U66" s="165">
        <f t="shared" si="13"/>
        <v>0</v>
      </c>
      <c r="V66" s="382"/>
      <c r="W66" s="372">
        <f t="shared" si="9"/>
        <v>2900.7559999999999</v>
      </c>
    </row>
    <row r="67" spans="1:23" ht="24.95" hidden="1" customHeight="1" x14ac:dyDescent="0.2">
      <c r="A67" s="217">
        <v>17</v>
      </c>
      <c r="B67" s="611" t="s">
        <v>444</v>
      </c>
      <c r="C67" s="41" t="s">
        <v>354</v>
      </c>
      <c r="D67" s="165">
        <v>23107.741000000002</v>
      </c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>
        <f t="shared" si="12"/>
        <v>23107.741000000002</v>
      </c>
      <c r="P67" s="165"/>
      <c r="Q67" s="165"/>
      <c r="R67" s="165"/>
      <c r="S67" s="165"/>
      <c r="T67" s="165"/>
      <c r="U67" s="165">
        <f t="shared" si="13"/>
        <v>0</v>
      </c>
      <c r="V67" s="382"/>
      <c r="W67" s="372">
        <f t="shared" si="9"/>
        <v>23107.741000000002</v>
      </c>
    </row>
    <row r="68" spans="1:23" ht="24.95" hidden="1" customHeight="1" x14ac:dyDescent="0.2">
      <c r="A68" s="217">
        <v>18</v>
      </c>
      <c r="B68" s="611" t="s">
        <v>432</v>
      </c>
      <c r="C68" s="28" t="s">
        <v>431</v>
      </c>
      <c r="D68" s="165">
        <v>36094</v>
      </c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>
        <f t="shared" si="12"/>
        <v>36094</v>
      </c>
      <c r="P68" s="165"/>
      <c r="Q68" s="165"/>
      <c r="R68" s="165"/>
      <c r="S68" s="165"/>
      <c r="T68" s="165"/>
      <c r="U68" s="165">
        <f t="shared" si="13"/>
        <v>0</v>
      </c>
      <c r="V68" s="382"/>
      <c r="W68" s="372">
        <f t="shared" si="9"/>
        <v>36094</v>
      </c>
    </row>
    <row r="69" spans="1:23" ht="36.75" hidden="1" customHeight="1" x14ac:dyDescent="0.2">
      <c r="A69" s="217">
        <v>19</v>
      </c>
      <c r="B69" s="613" t="s">
        <v>434</v>
      </c>
      <c r="C69" s="28" t="s">
        <v>433</v>
      </c>
      <c r="D69" s="165"/>
      <c r="E69" s="165"/>
      <c r="F69" s="165">
        <f>297</f>
        <v>297</v>
      </c>
      <c r="G69" s="165"/>
      <c r="H69" s="165"/>
      <c r="I69" s="165"/>
      <c r="J69" s="165"/>
      <c r="K69" s="165"/>
      <c r="L69" s="165"/>
      <c r="M69" s="165"/>
      <c r="N69" s="165"/>
      <c r="O69" s="165">
        <f t="shared" si="12"/>
        <v>297</v>
      </c>
      <c r="P69" s="165"/>
      <c r="Q69" s="165"/>
      <c r="R69" s="165"/>
      <c r="S69" s="165"/>
      <c r="T69" s="165"/>
      <c r="U69" s="165">
        <f t="shared" si="13"/>
        <v>0</v>
      </c>
      <c r="V69" s="382"/>
      <c r="W69" s="372">
        <f t="shared" si="9"/>
        <v>297</v>
      </c>
    </row>
    <row r="70" spans="1:23" ht="24.95" hidden="1" customHeight="1" x14ac:dyDescent="0.2">
      <c r="A70" s="217">
        <v>20</v>
      </c>
      <c r="B70" s="612" t="s">
        <v>447</v>
      </c>
      <c r="C70" s="28" t="s">
        <v>374</v>
      </c>
      <c r="D70" s="165"/>
      <c r="E70" s="165"/>
      <c r="F70" s="165"/>
      <c r="G70" s="165"/>
      <c r="H70" s="165">
        <f>1500+405</f>
        <v>1905</v>
      </c>
      <c r="I70" s="165"/>
      <c r="J70" s="165"/>
      <c r="K70" s="165"/>
      <c r="L70" s="165"/>
      <c r="M70" s="165"/>
      <c r="N70" s="165"/>
      <c r="O70" s="165">
        <f t="shared" si="12"/>
        <v>1905</v>
      </c>
      <c r="P70" s="165"/>
      <c r="Q70" s="165"/>
      <c r="R70" s="165"/>
      <c r="S70" s="165"/>
      <c r="T70" s="165"/>
      <c r="U70" s="165">
        <f t="shared" si="13"/>
        <v>0</v>
      </c>
      <c r="V70" s="382"/>
      <c r="W70" s="372">
        <f t="shared" si="9"/>
        <v>1905</v>
      </c>
    </row>
    <row r="71" spans="1:23" ht="24.95" hidden="1" customHeight="1" x14ac:dyDescent="0.2">
      <c r="A71" s="40"/>
      <c r="B71" s="31"/>
      <c r="C71" s="28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>
        <f t="shared" si="12"/>
        <v>0</v>
      </c>
      <c r="P71" s="165"/>
      <c r="Q71" s="165"/>
      <c r="R71" s="165"/>
      <c r="S71" s="165"/>
      <c r="T71" s="165"/>
      <c r="U71" s="165">
        <f t="shared" si="13"/>
        <v>0</v>
      </c>
      <c r="V71" s="382"/>
      <c r="W71" s="372">
        <f t="shared" si="9"/>
        <v>0</v>
      </c>
    </row>
    <row r="72" spans="1:23" ht="24.95" hidden="1" customHeight="1" x14ac:dyDescent="0.2">
      <c r="A72" s="40"/>
      <c r="B72" s="32"/>
      <c r="C72" s="28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>
        <f t="shared" si="12"/>
        <v>0</v>
      </c>
      <c r="P72" s="165"/>
      <c r="Q72" s="165"/>
      <c r="R72" s="165"/>
      <c r="S72" s="165"/>
      <c r="T72" s="165"/>
      <c r="U72" s="165">
        <f t="shared" si="13"/>
        <v>0</v>
      </c>
      <c r="V72" s="382"/>
      <c r="W72" s="372">
        <f t="shared" si="9"/>
        <v>0</v>
      </c>
    </row>
    <row r="73" spans="1:23" ht="24.95" hidden="1" customHeight="1" x14ac:dyDescent="0.2">
      <c r="A73" s="40"/>
      <c r="B73" s="32"/>
      <c r="C73" s="41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>
        <f t="shared" si="12"/>
        <v>0</v>
      </c>
      <c r="P73" s="165"/>
      <c r="Q73" s="165"/>
      <c r="R73" s="165"/>
      <c r="S73" s="165"/>
      <c r="T73" s="165"/>
      <c r="U73" s="165">
        <f t="shared" si="13"/>
        <v>0</v>
      </c>
      <c r="V73" s="382"/>
      <c r="W73" s="372">
        <f t="shared" si="9"/>
        <v>0</v>
      </c>
    </row>
    <row r="74" spans="1:23" ht="24.95" hidden="1" customHeight="1" x14ac:dyDescent="0.2">
      <c r="A74" s="40"/>
      <c r="B74" s="31"/>
      <c r="C74" s="41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>
        <f t="shared" si="12"/>
        <v>0</v>
      </c>
      <c r="P74" s="165"/>
      <c r="Q74" s="165"/>
      <c r="R74" s="165"/>
      <c r="S74" s="165"/>
      <c r="T74" s="165"/>
      <c r="U74" s="165">
        <f t="shared" si="13"/>
        <v>0</v>
      </c>
      <c r="V74" s="382"/>
      <c r="W74" s="372">
        <f t="shared" si="9"/>
        <v>0</v>
      </c>
    </row>
    <row r="75" spans="1:23" ht="24.95" hidden="1" customHeight="1" x14ac:dyDescent="0.2">
      <c r="A75" s="40"/>
      <c r="B75" s="31"/>
      <c r="C75" s="41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>
        <f t="shared" si="12"/>
        <v>0</v>
      </c>
      <c r="P75" s="165"/>
      <c r="Q75" s="165"/>
      <c r="R75" s="165"/>
      <c r="S75" s="165"/>
      <c r="T75" s="165"/>
      <c r="U75" s="165">
        <f t="shared" si="13"/>
        <v>0</v>
      </c>
      <c r="V75" s="382"/>
      <c r="W75" s="372">
        <f t="shared" si="9"/>
        <v>0</v>
      </c>
    </row>
    <row r="76" spans="1:23" ht="24.95" hidden="1" customHeight="1" x14ac:dyDescent="0.2">
      <c r="A76" s="40"/>
      <c r="B76" s="31"/>
      <c r="C76" s="118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>
        <f t="shared" si="12"/>
        <v>0</v>
      </c>
      <c r="P76" s="165"/>
      <c r="Q76" s="165"/>
      <c r="R76" s="165"/>
      <c r="S76" s="165"/>
      <c r="T76" s="165"/>
      <c r="U76" s="165">
        <f t="shared" si="13"/>
        <v>0</v>
      </c>
      <c r="V76" s="382"/>
      <c r="W76" s="372">
        <f t="shared" si="9"/>
        <v>0</v>
      </c>
    </row>
    <row r="77" spans="1:23" ht="24.95" hidden="1" customHeight="1" x14ac:dyDescent="0.2">
      <c r="A77" s="40"/>
      <c r="B77" s="31"/>
      <c r="C77" s="118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>
        <f t="shared" si="12"/>
        <v>0</v>
      </c>
      <c r="P77" s="165"/>
      <c r="Q77" s="165"/>
      <c r="R77" s="165"/>
      <c r="S77" s="165"/>
      <c r="T77" s="165"/>
      <c r="U77" s="165">
        <f t="shared" si="13"/>
        <v>0</v>
      </c>
      <c r="V77" s="382"/>
      <c r="W77" s="372">
        <f t="shared" si="9"/>
        <v>0</v>
      </c>
    </row>
    <row r="78" spans="1:23" ht="24.95" hidden="1" customHeight="1" x14ac:dyDescent="0.2">
      <c r="A78" s="40"/>
      <c r="B78" s="31"/>
      <c r="C78" s="41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>
        <f t="shared" si="12"/>
        <v>0</v>
      </c>
      <c r="P78" s="165"/>
      <c r="Q78" s="165"/>
      <c r="R78" s="165"/>
      <c r="S78" s="165"/>
      <c r="T78" s="165"/>
      <c r="U78" s="165">
        <f t="shared" si="13"/>
        <v>0</v>
      </c>
      <c r="V78" s="382"/>
      <c r="W78" s="372">
        <f t="shared" si="9"/>
        <v>0</v>
      </c>
    </row>
    <row r="79" spans="1:23" ht="24.95" hidden="1" customHeight="1" x14ac:dyDescent="0.2">
      <c r="A79" s="40"/>
      <c r="B79" s="31"/>
      <c r="C79" s="41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>
        <f t="shared" si="12"/>
        <v>0</v>
      </c>
      <c r="P79" s="165"/>
      <c r="Q79" s="165"/>
      <c r="R79" s="165"/>
      <c r="S79" s="165"/>
      <c r="T79" s="165"/>
      <c r="U79" s="165">
        <f t="shared" si="13"/>
        <v>0</v>
      </c>
      <c r="V79" s="382"/>
      <c r="W79" s="372">
        <f t="shared" si="9"/>
        <v>0</v>
      </c>
    </row>
    <row r="80" spans="1:23" ht="24.95" hidden="1" customHeight="1" x14ac:dyDescent="0.2">
      <c r="A80" s="40"/>
      <c r="B80" s="31"/>
      <c r="C80" s="41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>
        <f t="shared" si="12"/>
        <v>0</v>
      </c>
      <c r="P80" s="165"/>
      <c r="Q80" s="165"/>
      <c r="R80" s="165"/>
      <c r="S80" s="165"/>
      <c r="T80" s="165"/>
      <c r="U80" s="165">
        <f t="shared" si="13"/>
        <v>0</v>
      </c>
      <c r="V80" s="382"/>
      <c r="W80" s="372">
        <f t="shared" si="9"/>
        <v>0</v>
      </c>
    </row>
    <row r="81" spans="1:23" ht="24.95" hidden="1" customHeight="1" x14ac:dyDescent="0.2">
      <c r="A81" s="40"/>
      <c r="B81" s="31"/>
      <c r="C81" s="41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>
        <f t="shared" si="12"/>
        <v>0</v>
      </c>
      <c r="P81" s="165"/>
      <c r="Q81" s="165"/>
      <c r="R81" s="165"/>
      <c r="S81" s="165"/>
      <c r="T81" s="165"/>
      <c r="U81" s="165">
        <f t="shared" si="13"/>
        <v>0</v>
      </c>
      <c r="V81" s="382"/>
      <c r="W81" s="372">
        <f t="shared" si="9"/>
        <v>0</v>
      </c>
    </row>
    <row r="82" spans="1:23" ht="24.95" hidden="1" customHeight="1" x14ac:dyDescent="0.2">
      <c r="A82" s="40"/>
      <c r="B82" s="31"/>
      <c r="C82" s="41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>
        <f t="shared" si="12"/>
        <v>0</v>
      </c>
      <c r="P82" s="165"/>
      <c r="Q82" s="165"/>
      <c r="R82" s="165"/>
      <c r="S82" s="165"/>
      <c r="T82" s="165"/>
      <c r="U82" s="165">
        <f t="shared" si="13"/>
        <v>0</v>
      </c>
      <c r="V82" s="382"/>
      <c r="W82" s="372">
        <f t="shared" si="9"/>
        <v>0</v>
      </c>
    </row>
    <row r="83" spans="1:23" ht="24.95" hidden="1" customHeight="1" x14ac:dyDescent="0.2">
      <c r="A83" s="40"/>
      <c r="B83" s="117"/>
      <c r="C83" s="41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>
        <f t="shared" si="12"/>
        <v>0</v>
      </c>
      <c r="P83" s="165"/>
      <c r="Q83" s="165"/>
      <c r="R83" s="165"/>
      <c r="S83" s="165"/>
      <c r="T83" s="165"/>
      <c r="U83" s="165">
        <f t="shared" si="13"/>
        <v>0</v>
      </c>
      <c r="V83" s="382"/>
      <c r="W83" s="372">
        <f t="shared" si="9"/>
        <v>0</v>
      </c>
    </row>
    <row r="84" spans="1:23" ht="24.95" hidden="1" customHeight="1" x14ac:dyDescent="0.2">
      <c r="A84" s="40"/>
      <c r="B84" s="117"/>
      <c r="C84" s="41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>
        <f t="shared" si="12"/>
        <v>0</v>
      </c>
      <c r="P84" s="165"/>
      <c r="Q84" s="165"/>
      <c r="R84" s="165"/>
      <c r="S84" s="165"/>
      <c r="T84" s="165"/>
      <c r="U84" s="165">
        <f t="shared" si="13"/>
        <v>0</v>
      </c>
      <c r="V84" s="382"/>
      <c r="W84" s="372">
        <f t="shared" si="9"/>
        <v>0</v>
      </c>
    </row>
    <row r="85" spans="1:23" ht="24.95" hidden="1" customHeight="1" x14ac:dyDescent="0.2">
      <c r="A85" s="40"/>
      <c r="B85" s="117"/>
      <c r="C85" s="41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>
        <f t="shared" si="12"/>
        <v>0</v>
      </c>
      <c r="P85" s="165"/>
      <c r="Q85" s="165"/>
      <c r="R85" s="165"/>
      <c r="S85" s="165"/>
      <c r="T85" s="165"/>
      <c r="U85" s="165">
        <f t="shared" si="13"/>
        <v>0</v>
      </c>
      <c r="V85" s="382"/>
      <c r="W85" s="372">
        <f t="shared" si="9"/>
        <v>0</v>
      </c>
    </row>
    <row r="86" spans="1:23" ht="24.95" hidden="1" customHeight="1" x14ac:dyDescent="0.2">
      <c r="A86" s="40"/>
      <c r="B86" s="117"/>
      <c r="C86" s="41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>
        <f t="shared" si="12"/>
        <v>0</v>
      </c>
      <c r="P86" s="165"/>
      <c r="Q86" s="165"/>
      <c r="R86" s="165"/>
      <c r="S86" s="165"/>
      <c r="T86" s="165"/>
      <c r="U86" s="165">
        <f t="shared" si="13"/>
        <v>0</v>
      </c>
      <c r="V86" s="382"/>
      <c r="W86" s="372">
        <f t="shared" si="9"/>
        <v>0</v>
      </c>
    </row>
    <row r="87" spans="1:23" ht="24.95" hidden="1" customHeight="1" x14ac:dyDescent="0.2">
      <c r="A87" s="40"/>
      <c r="B87" s="117"/>
      <c r="C87" s="41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>
        <f t="shared" si="12"/>
        <v>0</v>
      </c>
      <c r="P87" s="165"/>
      <c r="Q87" s="165"/>
      <c r="R87" s="165"/>
      <c r="S87" s="165"/>
      <c r="T87" s="165"/>
      <c r="U87" s="165">
        <f t="shared" si="13"/>
        <v>0</v>
      </c>
      <c r="V87" s="382"/>
      <c r="W87" s="372">
        <f t="shared" si="9"/>
        <v>0</v>
      </c>
    </row>
    <row r="88" spans="1:23" ht="24.95" hidden="1" customHeight="1" x14ac:dyDescent="0.2">
      <c r="A88" s="40"/>
      <c r="B88" s="117"/>
      <c r="C88" s="41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>
        <f t="shared" si="12"/>
        <v>0</v>
      </c>
      <c r="P88" s="165"/>
      <c r="Q88" s="165"/>
      <c r="R88" s="165"/>
      <c r="S88" s="165"/>
      <c r="T88" s="165"/>
      <c r="U88" s="165">
        <f t="shared" si="13"/>
        <v>0</v>
      </c>
      <c r="V88" s="382"/>
      <c r="W88" s="372">
        <f t="shared" si="9"/>
        <v>0</v>
      </c>
    </row>
    <row r="89" spans="1:23" ht="24.95" hidden="1" customHeight="1" x14ac:dyDescent="0.2">
      <c r="A89" s="40"/>
      <c r="B89" s="117"/>
      <c r="C89" s="41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>
        <f t="shared" si="12"/>
        <v>0</v>
      </c>
      <c r="P89" s="165"/>
      <c r="Q89" s="165"/>
      <c r="R89" s="165"/>
      <c r="S89" s="165"/>
      <c r="T89" s="165"/>
      <c r="U89" s="165">
        <f t="shared" si="13"/>
        <v>0</v>
      </c>
      <c r="V89" s="382"/>
      <c r="W89" s="372">
        <f t="shared" si="9"/>
        <v>0</v>
      </c>
    </row>
    <row r="90" spans="1:23" ht="24.95" hidden="1" customHeight="1" x14ac:dyDescent="0.2">
      <c r="A90" s="40"/>
      <c r="B90" s="117"/>
      <c r="C90" s="41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>
        <f t="shared" si="12"/>
        <v>0</v>
      </c>
      <c r="P90" s="165"/>
      <c r="Q90" s="165"/>
      <c r="R90" s="165"/>
      <c r="S90" s="165"/>
      <c r="T90" s="165"/>
      <c r="U90" s="165">
        <f t="shared" si="13"/>
        <v>0</v>
      </c>
      <c r="V90" s="382"/>
      <c r="W90" s="372">
        <f t="shared" si="9"/>
        <v>0</v>
      </c>
    </row>
    <row r="91" spans="1:23" ht="24.95" hidden="1" customHeight="1" x14ac:dyDescent="0.2">
      <c r="A91" s="40"/>
      <c r="B91" s="117"/>
      <c r="C91" s="41" t="s">
        <v>50</v>
      </c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>
        <f t="shared" si="12"/>
        <v>0</v>
      </c>
      <c r="P91" s="165"/>
      <c r="Q91" s="165"/>
      <c r="R91" s="165"/>
      <c r="S91" s="165"/>
      <c r="T91" s="165"/>
      <c r="U91" s="165">
        <f t="shared" si="13"/>
        <v>0</v>
      </c>
      <c r="V91" s="382"/>
      <c r="W91" s="372">
        <f t="shared" si="9"/>
        <v>0</v>
      </c>
    </row>
    <row r="92" spans="1:23" ht="24.95" hidden="1" customHeight="1" thickBot="1" x14ac:dyDescent="0.25">
      <c r="A92" s="40"/>
      <c r="B92" s="98"/>
      <c r="C92" s="99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383"/>
      <c r="W92" s="373">
        <f t="shared" si="9"/>
        <v>0</v>
      </c>
    </row>
    <row r="93" spans="1:23" ht="24.95" hidden="1" customHeight="1" thickTop="1" thickBot="1" x14ac:dyDescent="0.25">
      <c r="A93" s="47"/>
      <c r="B93" s="103" t="s">
        <v>142</v>
      </c>
      <c r="C93" s="44" t="s">
        <v>19</v>
      </c>
      <c r="D93" s="169">
        <f t="shared" ref="D93:O93" si="14">SUM(D51:D92)</f>
        <v>97920.828000000009</v>
      </c>
      <c r="E93" s="197">
        <f t="shared" si="14"/>
        <v>6478.4589999999998</v>
      </c>
      <c r="F93" s="169">
        <f t="shared" si="14"/>
        <v>358</v>
      </c>
      <c r="G93" s="169">
        <f t="shared" si="14"/>
        <v>0</v>
      </c>
      <c r="H93" s="169">
        <f t="shared" si="14"/>
        <v>13022</v>
      </c>
      <c r="I93" s="169">
        <f t="shared" si="14"/>
        <v>1</v>
      </c>
      <c r="J93" s="169">
        <f t="shared" si="14"/>
        <v>0</v>
      </c>
      <c r="K93" s="197">
        <f t="shared" si="14"/>
        <v>-243526</v>
      </c>
      <c r="L93" s="169">
        <f t="shared" si="14"/>
        <v>0</v>
      </c>
      <c r="M93" s="169">
        <f t="shared" si="14"/>
        <v>0</v>
      </c>
      <c r="N93" s="169">
        <f t="shared" si="14"/>
        <v>0</v>
      </c>
      <c r="O93" s="169">
        <f t="shared" si="14"/>
        <v>-125745.71299999999</v>
      </c>
      <c r="P93" s="169"/>
      <c r="Q93" s="169">
        <f>SUM(Q51:Q92)</f>
        <v>0</v>
      </c>
      <c r="R93" s="169">
        <f>SUM(R51:R92)</f>
        <v>0</v>
      </c>
      <c r="S93" s="169">
        <f>SUM(S51:S92)</f>
        <v>0</v>
      </c>
      <c r="T93" s="169">
        <f>SUM(T51:T92)</f>
        <v>0</v>
      </c>
      <c r="U93" s="169">
        <f>SUM(U51:U92)</f>
        <v>0</v>
      </c>
      <c r="V93" s="177"/>
      <c r="W93" s="374">
        <f>SUM(W51:W92)</f>
        <v>-125745.71299999999</v>
      </c>
    </row>
    <row r="94" spans="1:23" ht="24.95" hidden="1" customHeight="1" thickTop="1" x14ac:dyDescent="0.2">
      <c r="A94" s="40"/>
      <c r="B94" s="31"/>
      <c r="C94" s="41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>
        <f t="shared" ref="O94:O104" si="15">SUM(D94:N94)</f>
        <v>0</v>
      </c>
      <c r="P94" s="165"/>
      <c r="Q94" s="165"/>
      <c r="R94" s="165"/>
      <c r="S94" s="165"/>
      <c r="T94" s="165"/>
      <c r="U94" s="165">
        <f t="shared" ref="U94:U104" si="16">SUM(Q94:T94)</f>
        <v>0</v>
      </c>
      <c r="V94" s="382"/>
      <c r="W94" s="372">
        <f t="shared" ref="W94:W103" si="17">O94+U94</f>
        <v>0</v>
      </c>
    </row>
    <row r="95" spans="1:23" ht="24.95" hidden="1" customHeight="1" x14ac:dyDescent="0.2">
      <c r="A95" s="40"/>
      <c r="B95" s="31"/>
      <c r="C95" s="41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>
        <f t="shared" si="15"/>
        <v>0</v>
      </c>
      <c r="P95" s="165"/>
      <c r="Q95" s="165"/>
      <c r="R95" s="165"/>
      <c r="S95" s="165"/>
      <c r="T95" s="165"/>
      <c r="U95" s="165">
        <f t="shared" si="16"/>
        <v>0</v>
      </c>
      <c r="V95" s="382"/>
      <c r="W95" s="372">
        <f t="shared" si="17"/>
        <v>0</v>
      </c>
    </row>
    <row r="96" spans="1:23" ht="24.95" hidden="1" customHeight="1" x14ac:dyDescent="0.2">
      <c r="A96" s="40"/>
      <c r="B96" s="32"/>
      <c r="C96" s="41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>
        <f t="shared" si="15"/>
        <v>0</v>
      </c>
      <c r="P96" s="165"/>
      <c r="Q96" s="165"/>
      <c r="R96" s="165"/>
      <c r="S96" s="165"/>
      <c r="T96" s="165"/>
      <c r="U96" s="165">
        <f t="shared" si="16"/>
        <v>0</v>
      </c>
      <c r="V96" s="382"/>
      <c r="W96" s="372">
        <f t="shared" si="17"/>
        <v>0</v>
      </c>
    </row>
    <row r="97" spans="1:23" ht="24.95" hidden="1" customHeight="1" x14ac:dyDescent="0.2">
      <c r="A97" s="40"/>
      <c r="B97" s="32"/>
      <c r="C97" s="41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>
        <f t="shared" si="15"/>
        <v>0</v>
      </c>
      <c r="P97" s="165"/>
      <c r="Q97" s="165"/>
      <c r="R97" s="165"/>
      <c r="S97" s="165"/>
      <c r="T97" s="165"/>
      <c r="U97" s="165">
        <f t="shared" si="16"/>
        <v>0</v>
      </c>
      <c r="V97" s="382"/>
      <c r="W97" s="372">
        <f t="shared" si="17"/>
        <v>0</v>
      </c>
    </row>
    <row r="98" spans="1:23" ht="24.95" hidden="1" customHeight="1" x14ac:dyDescent="0.2">
      <c r="A98" s="40"/>
      <c r="B98" s="32"/>
      <c r="C98" s="41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>
        <f t="shared" si="15"/>
        <v>0</v>
      </c>
      <c r="P98" s="165"/>
      <c r="Q98" s="165"/>
      <c r="R98" s="165"/>
      <c r="S98" s="165"/>
      <c r="T98" s="165"/>
      <c r="U98" s="165">
        <f t="shared" si="16"/>
        <v>0</v>
      </c>
      <c r="V98" s="382"/>
      <c r="W98" s="372">
        <f t="shared" si="17"/>
        <v>0</v>
      </c>
    </row>
    <row r="99" spans="1:23" ht="24.95" hidden="1" customHeight="1" x14ac:dyDescent="0.2">
      <c r="A99" s="40"/>
      <c r="B99" s="32"/>
      <c r="C99" s="41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>
        <f t="shared" si="15"/>
        <v>0</v>
      </c>
      <c r="P99" s="165"/>
      <c r="Q99" s="165"/>
      <c r="R99" s="165"/>
      <c r="S99" s="165"/>
      <c r="T99" s="165"/>
      <c r="U99" s="165">
        <f t="shared" si="16"/>
        <v>0</v>
      </c>
      <c r="V99" s="382"/>
      <c r="W99" s="372">
        <f t="shared" si="17"/>
        <v>0</v>
      </c>
    </row>
    <row r="100" spans="1:23" ht="24.95" hidden="1" customHeight="1" x14ac:dyDescent="0.2">
      <c r="A100" s="40"/>
      <c r="B100" s="32"/>
      <c r="C100" s="41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>
        <f t="shared" si="15"/>
        <v>0</v>
      </c>
      <c r="P100" s="165"/>
      <c r="Q100" s="165"/>
      <c r="R100" s="165"/>
      <c r="S100" s="165"/>
      <c r="T100" s="165"/>
      <c r="U100" s="165">
        <f t="shared" si="16"/>
        <v>0</v>
      </c>
      <c r="V100" s="382"/>
      <c r="W100" s="372">
        <f t="shared" si="17"/>
        <v>0</v>
      </c>
    </row>
    <row r="101" spans="1:23" ht="24.95" hidden="1" customHeight="1" x14ac:dyDescent="0.2">
      <c r="A101" s="40"/>
      <c r="B101" s="31"/>
      <c r="C101" s="41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>
        <f t="shared" si="15"/>
        <v>0</v>
      </c>
      <c r="P101" s="165"/>
      <c r="Q101" s="165"/>
      <c r="R101" s="165"/>
      <c r="S101" s="165"/>
      <c r="T101" s="165"/>
      <c r="U101" s="165">
        <f t="shared" si="16"/>
        <v>0</v>
      </c>
      <c r="V101" s="382"/>
      <c r="W101" s="372">
        <f t="shared" si="17"/>
        <v>0</v>
      </c>
    </row>
    <row r="102" spans="1:23" ht="24.95" hidden="1" customHeight="1" x14ac:dyDescent="0.2">
      <c r="A102" s="40"/>
      <c r="B102" s="31"/>
      <c r="C102" s="41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>
        <f t="shared" si="15"/>
        <v>0</v>
      </c>
      <c r="P102" s="165"/>
      <c r="Q102" s="165"/>
      <c r="R102" s="165"/>
      <c r="S102" s="165"/>
      <c r="T102" s="165"/>
      <c r="U102" s="165">
        <f t="shared" si="16"/>
        <v>0</v>
      </c>
      <c r="V102" s="382"/>
      <c r="W102" s="372">
        <f t="shared" si="17"/>
        <v>0</v>
      </c>
    </row>
    <row r="103" spans="1:23" ht="24.95" hidden="1" customHeight="1" x14ac:dyDescent="0.2">
      <c r="A103" s="40"/>
      <c r="B103" s="31"/>
      <c r="C103" s="41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>
        <f t="shared" si="15"/>
        <v>0</v>
      </c>
      <c r="P103" s="165"/>
      <c r="Q103" s="165"/>
      <c r="R103" s="165"/>
      <c r="S103" s="165"/>
      <c r="T103" s="165"/>
      <c r="U103" s="165">
        <f t="shared" si="16"/>
        <v>0</v>
      </c>
      <c r="V103" s="382"/>
      <c r="W103" s="372">
        <f t="shared" si="17"/>
        <v>0</v>
      </c>
    </row>
    <row r="104" spans="1:23" ht="24.95" hidden="1" customHeight="1" thickBot="1" x14ac:dyDescent="0.25">
      <c r="A104" s="40"/>
      <c r="B104" s="32"/>
      <c r="C104" s="34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>
        <f t="shared" si="15"/>
        <v>0</v>
      </c>
      <c r="P104" s="165"/>
      <c r="Q104" s="165"/>
      <c r="R104" s="165"/>
      <c r="S104" s="165"/>
      <c r="T104" s="165"/>
      <c r="U104" s="165">
        <f t="shared" si="16"/>
        <v>0</v>
      </c>
      <c r="V104" s="382"/>
      <c r="W104" s="372"/>
    </row>
    <row r="105" spans="1:23" ht="24.95" hidden="1" customHeight="1" thickTop="1" thickBot="1" x14ac:dyDescent="0.25">
      <c r="A105" s="42"/>
      <c r="B105" s="104" t="s">
        <v>45</v>
      </c>
      <c r="C105" s="44" t="s">
        <v>19</v>
      </c>
      <c r="D105" s="169">
        <f t="shared" ref="D105:Q105" si="18">SUM(D94:D97)</f>
        <v>0</v>
      </c>
      <c r="E105" s="169">
        <f t="shared" si="18"/>
        <v>0</v>
      </c>
      <c r="F105" s="169">
        <f t="shared" si="18"/>
        <v>0</v>
      </c>
      <c r="G105" s="169">
        <f t="shared" si="18"/>
        <v>0</v>
      </c>
      <c r="H105" s="169">
        <f t="shared" si="18"/>
        <v>0</v>
      </c>
      <c r="I105" s="169">
        <f t="shared" si="18"/>
        <v>0</v>
      </c>
      <c r="J105" s="169">
        <f t="shared" si="18"/>
        <v>0</v>
      </c>
      <c r="K105" s="169">
        <f t="shared" si="18"/>
        <v>0</v>
      </c>
      <c r="L105" s="169">
        <f t="shared" si="18"/>
        <v>0</v>
      </c>
      <c r="M105" s="169">
        <f t="shared" si="18"/>
        <v>0</v>
      </c>
      <c r="N105" s="169">
        <f>SUM(N94:N97)</f>
        <v>0</v>
      </c>
      <c r="O105" s="169">
        <f t="shared" si="18"/>
        <v>0</v>
      </c>
      <c r="P105" s="169"/>
      <c r="Q105" s="169">
        <f t="shared" si="18"/>
        <v>0</v>
      </c>
      <c r="R105" s="169">
        <f>SUM(R94:R97)</f>
        <v>0</v>
      </c>
      <c r="S105" s="169"/>
      <c r="T105" s="169">
        <f>SUM(T94:T97)</f>
        <v>0</v>
      </c>
      <c r="U105" s="169">
        <f>SUM(U94:U97)</f>
        <v>0</v>
      </c>
      <c r="V105" s="177"/>
      <c r="W105" s="374">
        <f>SUM(W94:W97)</f>
        <v>0</v>
      </c>
    </row>
    <row r="106" spans="1:23" ht="24.95" hidden="1" customHeight="1" thickTop="1" thickBot="1" x14ac:dyDescent="0.25">
      <c r="A106" s="42"/>
      <c r="B106" s="615" t="s">
        <v>448</v>
      </c>
      <c r="C106" s="44" t="s">
        <v>118</v>
      </c>
      <c r="D106" s="196">
        <f t="shared" ref="D106:O106" si="19">D50+D93+D105</f>
        <v>2355089.1240000008</v>
      </c>
      <c r="E106" s="196">
        <f t="shared" si="19"/>
        <v>6478.4589999999998</v>
      </c>
      <c r="F106" s="196">
        <f t="shared" si="19"/>
        <v>54140.75</v>
      </c>
      <c r="G106" s="196">
        <f t="shared" si="19"/>
        <v>8854057</v>
      </c>
      <c r="H106" s="196">
        <f t="shared" si="19"/>
        <v>2351436.37</v>
      </c>
      <c r="I106" s="196">
        <f t="shared" si="19"/>
        <v>1801</v>
      </c>
      <c r="J106" s="196">
        <f t="shared" si="19"/>
        <v>50000</v>
      </c>
      <c r="K106" s="196">
        <f t="shared" si="19"/>
        <v>806628</v>
      </c>
      <c r="L106" s="196">
        <f t="shared" si="19"/>
        <v>1511000</v>
      </c>
      <c r="M106" s="196">
        <f t="shared" si="19"/>
        <v>16300</v>
      </c>
      <c r="N106" s="196">
        <f t="shared" si="19"/>
        <v>959</v>
      </c>
      <c r="O106" s="196">
        <f t="shared" si="19"/>
        <v>16007889.703</v>
      </c>
      <c r="P106" s="196"/>
      <c r="Q106" s="196">
        <f>Q50+Q93+Q105</f>
        <v>5960000</v>
      </c>
      <c r="R106" s="196">
        <f>R50+R93+R105</f>
        <v>4023597.2149999999</v>
      </c>
      <c r="S106" s="196">
        <f>S50+S93+S105</f>
        <v>0</v>
      </c>
      <c r="T106" s="196">
        <f>T50+T93+T105</f>
        <v>0</v>
      </c>
      <c r="U106" s="196">
        <f>U50+U93+U105</f>
        <v>9983597.2149999999</v>
      </c>
      <c r="V106" s="268"/>
      <c r="W106" s="374">
        <f>W50+W93+W105</f>
        <v>25991486.917999998</v>
      </c>
    </row>
    <row r="107" spans="1:23" ht="24.95" customHeight="1" x14ac:dyDescent="0.2">
      <c r="A107" s="175"/>
      <c r="B107" s="176" t="s">
        <v>143</v>
      </c>
      <c r="C107" s="212" t="s">
        <v>18</v>
      </c>
      <c r="D107" s="213">
        <f>D106</f>
        <v>2355089.1240000008</v>
      </c>
      <c r="E107" s="213">
        <f t="shared" ref="E107:L107" si="20">E106</f>
        <v>6478.4589999999998</v>
      </c>
      <c r="F107" s="213">
        <f t="shared" si="20"/>
        <v>54140.75</v>
      </c>
      <c r="G107" s="213">
        <f t="shared" si="20"/>
        <v>8854057</v>
      </c>
      <c r="H107" s="213">
        <f t="shared" si="20"/>
        <v>2351436.37</v>
      </c>
      <c r="I107" s="213">
        <f t="shared" si="20"/>
        <v>1801</v>
      </c>
      <c r="J107" s="213">
        <f t="shared" si="20"/>
        <v>50000</v>
      </c>
      <c r="K107" s="213">
        <f t="shared" si="20"/>
        <v>806628</v>
      </c>
      <c r="L107" s="213">
        <f t="shared" si="20"/>
        <v>1511000</v>
      </c>
      <c r="M107" s="213">
        <f t="shared" ref="M107:U107" si="21">M106</f>
        <v>16300</v>
      </c>
      <c r="N107" s="213">
        <f t="shared" si="21"/>
        <v>959</v>
      </c>
      <c r="O107" s="213">
        <f t="shared" si="21"/>
        <v>16007889.703</v>
      </c>
      <c r="P107" s="213"/>
      <c r="Q107" s="213">
        <f t="shared" si="21"/>
        <v>5960000</v>
      </c>
      <c r="R107" s="213">
        <f t="shared" si="21"/>
        <v>4023597.2149999999</v>
      </c>
      <c r="S107" s="213"/>
      <c r="T107" s="213">
        <f t="shared" si="21"/>
        <v>0</v>
      </c>
      <c r="U107" s="213">
        <f t="shared" si="21"/>
        <v>9983597.2149999999</v>
      </c>
      <c r="V107" s="384"/>
      <c r="W107" s="375">
        <f t="shared" ref="W107:W128" si="22">O107+U107</f>
        <v>25991486.917999998</v>
      </c>
    </row>
    <row r="108" spans="1:23" ht="39" customHeight="1" x14ac:dyDescent="0.2">
      <c r="A108" s="40">
        <v>1</v>
      </c>
      <c r="B108" s="298" t="s">
        <v>459</v>
      </c>
      <c r="C108" s="28" t="s">
        <v>460</v>
      </c>
      <c r="D108" s="165"/>
      <c r="E108" s="165"/>
      <c r="F108" s="165"/>
      <c r="G108" s="165"/>
      <c r="H108" s="165"/>
      <c r="I108" s="165"/>
      <c r="J108" s="165">
        <v>200000</v>
      </c>
      <c r="K108" s="165"/>
      <c r="L108" s="165"/>
      <c r="M108" s="165"/>
      <c r="O108" s="165">
        <f t="shared" ref="O108:O128" si="23">SUM(D108:N108)</f>
        <v>200000</v>
      </c>
      <c r="P108" s="165"/>
      <c r="Q108" s="165"/>
      <c r="R108" s="165"/>
      <c r="S108" s="165"/>
      <c r="T108" s="165"/>
      <c r="U108" s="165">
        <f t="shared" ref="U108:U128" si="24">SUM(Q108:T108)</f>
        <v>0</v>
      </c>
      <c r="V108" s="382"/>
      <c r="W108" s="372">
        <f t="shared" si="22"/>
        <v>200000</v>
      </c>
    </row>
    <row r="109" spans="1:23" ht="24.95" customHeight="1" x14ac:dyDescent="0.2">
      <c r="A109" s="40">
        <v>2</v>
      </c>
      <c r="B109" s="622" t="s">
        <v>481</v>
      </c>
      <c r="C109" s="28" t="s">
        <v>480</v>
      </c>
      <c r="D109" s="165"/>
      <c r="E109" s="165"/>
      <c r="F109" s="165">
        <f>2418.8</f>
        <v>2418.8000000000002</v>
      </c>
      <c r="G109" s="165"/>
      <c r="H109" s="165"/>
      <c r="I109" s="165"/>
      <c r="J109" s="165"/>
      <c r="K109" s="165"/>
      <c r="L109" s="165"/>
      <c r="M109" s="165"/>
      <c r="O109" s="165">
        <f t="shared" si="23"/>
        <v>2418.8000000000002</v>
      </c>
      <c r="P109" s="165"/>
      <c r="Q109" s="165"/>
      <c r="R109" s="165"/>
      <c r="S109" s="165"/>
      <c r="T109" s="165"/>
      <c r="U109" s="165">
        <f t="shared" si="24"/>
        <v>0</v>
      </c>
      <c r="V109" s="382"/>
      <c r="W109" s="372">
        <f t="shared" si="22"/>
        <v>2418.8000000000002</v>
      </c>
    </row>
    <row r="110" spans="1:23" ht="24.95" customHeight="1" x14ac:dyDescent="0.2">
      <c r="A110" s="40">
        <v>3</v>
      </c>
      <c r="B110" s="220" t="s">
        <v>496</v>
      </c>
      <c r="C110" s="28" t="s">
        <v>495</v>
      </c>
      <c r="D110" s="165"/>
      <c r="E110" s="165"/>
      <c r="F110" s="165"/>
      <c r="G110" s="165"/>
      <c r="H110" s="165">
        <f>109+807+794</f>
        <v>1710</v>
      </c>
      <c r="I110" s="165"/>
      <c r="J110" s="165"/>
      <c r="K110" s="165"/>
      <c r="L110" s="165"/>
      <c r="M110" s="165"/>
      <c r="O110" s="165">
        <f t="shared" si="23"/>
        <v>1710</v>
      </c>
      <c r="P110" s="165"/>
      <c r="Q110" s="165"/>
      <c r="R110" s="165"/>
      <c r="S110" s="165"/>
      <c r="T110" s="165"/>
      <c r="U110" s="165">
        <f>SUM(Q110:T110)</f>
        <v>0</v>
      </c>
      <c r="V110" s="382"/>
      <c r="W110" s="372">
        <f t="shared" si="22"/>
        <v>1710</v>
      </c>
    </row>
    <row r="111" spans="1:23" ht="24.95" customHeight="1" x14ac:dyDescent="0.2">
      <c r="A111" s="40">
        <v>4</v>
      </c>
      <c r="B111" s="220" t="s">
        <v>504</v>
      </c>
      <c r="C111" s="28" t="s">
        <v>505</v>
      </c>
      <c r="D111" s="165"/>
      <c r="E111" s="165"/>
      <c r="F111" s="165"/>
      <c r="G111" s="165"/>
      <c r="H111" s="165">
        <f>11+13+432+11</f>
        <v>467</v>
      </c>
      <c r="I111" s="165"/>
      <c r="J111" s="165"/>
      <c r="K111" s="165"/>
      <c r="L111" s="165"/>
      <c r="M111" s="165"/>
      <c r="N111" s="165"/>
      <c r="O111" s="165">
        <f t="shared" si="23"/>
        <v>467</v>
      </c>
      <c r="P111" s="165"/>
      <c r="Q111" s="165"/>
      <c r="R111" s="165"/>
      <c r="S111" s="165"/>
      <c r="T111" s="165"/>
      <c r="U111" s="165">
        <f t="shared" si="24"/>
        <v>0</v>
      </c>
      <c r="V111" s="382"/>
      <c r="W111" s="372">
        <f t="shared" si="22"/>
        <v>467</v>
      </c>
    </row>
    <row r="112" spans="1:23" ht="33.75" customHeight="1" x14ac:dyDescent="0.2">
      <c r="A112" s="40">
        <v>5</v>
      </c>
      <c r="B112" s="220" t="s">
        <v>512</v>
      </c>
      <c r="C112" s="28" t="s">
        <v>551</v>
      </c>
      <c r="D112" s="165"/>
      <c r="E112" s="165"/>
      <c r="F112" s="165"/>
      <c r="G112" s="165"/>
      <c r="H112" s="165"/>
      <c r="I112" s="165"/>
      <c r="J112" s="165">
        <f>21500</f>
        <v>21500</v>
      </c>
      <c r="L112" s="165"/>
      <c r="M112" s="165"/>
      <c r="N112" s="165"/>
      <c r="O112" s="165">
        <f t="shared" si="23"/>
        <v>21500</v>
      </c>
      <c r="P112" s="165"/>
      <c r="Q112" s="165"/>
      <c r="R112" s="165"/>
      <c r="S112" s="165"/>
      <c r="T112" s="165"/>
      <c r="U112" s="165">
        <f t="shared" si="24"/>
        <v>0</v>
      </c>
      <c r="V112" s="382"/>
      <c r="W112" s="372">
        <f t="shared" si="22"/>
        <v>21500</v>
      </c>
    </row>
    <row r="113" spans="1:23" ht="33.75" customHeight="1" x14ac:dyDescent="0.2">
      <c r="A113" s="40">
        <v>6</v>
      </c>
      <c r="B113" s="220" t="s">
        <v>521</v>
      </c>
      <c r="C113" s="28" t="s">
        <v>525</v>
      </c>
      <c r="D113" s="165">
        <f>10795</f>
        <v>10795</v>
      </c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>
        <f t="shared" si="23"/>
        <v>10795</v>
      </c>
      <c r="P113" s="165"/>
      <c r="Q113" s="165"/>
      <c r="R113" s="165"/>
      <c r="S113" s="165"/>
      <c r="T113" s="165"/>
      <c r="U113" s="165">
        <f t="shared" si="24"/>
        <v>0</v>
      </c>
      <c r="V113" s="382"/>
      <c r="W113" s="372">
        <f t="shared" si="22"/>
        <v>10795</v>
      </c>
    </row>
    <row r="114" spans="1:23" ht="24.95" customHeight="1" x14ac:dyDescent="0.2">
      <c r="A114" s="40">
        <v>7</v>
      </c>
      <c r="B114" s="222" t="s">
        <v>526</v>
      </c>
      <c r="C114" s="33" t="s">
        <v>527</v>
      </c>
      <c r="D114" s="165">
        <f>785.476</f>
        <v>785.476</v>
      </c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>
        <f t="shared" si="23"/>
        <v>785.476</v>
      </c>
      <c r="P114" s="165"/>
      <c r="Q114" s="165"/>
      <c r="R114" s="165"/>
      <c r="S114" s="165"/>
      <c r="T114" s="165"/>
      <c r="U114" s="165">
        <f t="shared" si="24"/>
        <v>0</v>
      </c>
      <c r="V114" s="382"/>
      <c r="W114" s="372">
        <f t="shared" si="22"/>
        <v>785.476</v>
      </c>
    </row>
    <row r="115" spans="1:23" ht="24.95" customHeight="1" x14ac:dyDescent="0.2">
      <c r="A115" s="40">
        <v>8</v>
      </c>
      <c r="B115" s="222" t="s">
        <v>526</v>
      </c>
      <c r="C115" s="34" t="s">
        <v>528</v>
      </c>
      <c r="D115" s="165">
        <v>1185.2080000000001</v>
      </c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>
        <f t="shared" si="23"/>
        <v>1185.2080000000001</v>
      </c>
      <c r="P115" s="165"/>
      <c r="Q115" s="165"/>
      <c r="R115" s="165"/>
      <c r="S115" s="165"/>
      <c r="T115" s="165"/>
      <c r="U115" s="165">
        <f t="shared" si="24"/>
        <v>0</v>
      </c>
      <c r="V115" s="382"/>
      <c r="W115" s="372">
        <f t="shared" si="22"/>
        <v>1185.2080000000001</v>
      </c>
    </row>
    <row r="116" spans="1:23" ht="24.95" customHeight="1" x14ac:dyDescent="0.2">
      <c r="A116" s="40">
        <v>9</v>
      </c>
      <c r="B116" s="222" t="s">
        <v>526</v>
      </c>
      <c r="C116" s="41" t="s">
        <v>529</v>
      </c>
      <c r="D116" s="165">
        <v>184.98599999999999</v>
      </c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>
        <f t="shared" si="23"/>
        <v>184.98599999999999</v>
      </c>
      <c r="P116" s="165"/>
      <c r="Q116" s="165"/>
      <c r="R116" s="165"/>
      <c r="S116" s="165"/>
      <c r="T116" s="165"/>
      <c r="U116" s="165">
        <f t="shared" si="24"/>
        <v>0</v>
      </c>
      <c r="V116" s="382"/>
      <c r="W116" s="372">
        <f t="shared" si="22"/>
        <v>184.98599999999999</v>
      </c>
    </row>
    <row r="117" spans="1:23" ht="24.95" customHeight="1" x14ac:dyDescent="0.2">
      <c r="A117" s="40">
        <v>10</v>
      </c>
      <c r="B117" s="623" t="s">
        <v>530</v>
      </c>
      <c r="C117" s="41" t="s">
        <v>531</v>
      </c>
      <c r="D117" s="165">
        <v>7559.1279999999997</v>
      </c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>
        <f>SUM(D117:N117)</f>
        <v>7559.1279999999997</v>
      </c>
      <c r="P117" s="165"/>
      <c r="Q117" s="165"/>
      <c r="R117" s="165"/>
      <c r="S117" s="165"/>
      <c r="T117" s="165"/>
      <c r="U117" s="165">
        <f>SUM(Q117:T117)</f>
        <v>0</v>
      </c>
      <c r="V117" s="382"/>
      <c r="W117" s="372">
        <f>O117+U117</f>
        <v>7559.1279999999997</v>
      </c>
    </row>
    <row r="118" spans="1:23" ht="24.95" customHeight="1" x14ac:dyDescent="0.2">
      <c r="A118" s="40">
        <v>11</v>
      </c>
      <c r="B118" s="219" t="s">
        <v>534</v>
      </c>
      <c r="C118" s="41" t="s">
        <v>374</v>
      </c>
      <c r="D118" s="165"/>
      <c r="E118" s="165"/>
      <c r="F118" s="165"/>
      <c r="G118" s="165"/>
      <c r="H118" s="165">
        <f>2000+540</f>
        <v>2540</v>
      </c>
      <c r="I118" s="165"/>
      <c r="J118" s="165"/>
      <c r="K118" s="165"/>
      <c r="L118" s="165"/>
      <c r="M118" s="165"/>
      <c r="N118" s="165"/>
      <c r="O118" s="165">
        <f t="shared" si="23"/>
        <v>2540</v>
      </c>
      <c r="P118" s="165"/>
      <c r="Q118" s="165"/>
      <c r="R118" s="165"/>
      <c r="S118" s="165"/>
      <c r="T118" s="165"/>
      <c r="U118" s="165">
        <f t="shared" si="24"/>
        <v>0</v>
      </c>
      <c r="V118" s="382"/>
      <c r="W118" s="372">
        <f t="shared" si="22"/>
        <v>2540</v>
      </c>
    </row>
    <row r="119" spans="1:23" ht="24.95" hidden="1" customHeight="1" x14ac:dyDescent="0.2">
      <c r="A119" s="40"/>
      <c r="B119" s="219"/>
      <c r="C119" s="41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>
        <f t="shared" si="23"/>
        <v>0</v>
      </c>
      <c r="P119" s="165"/>
      <c r="Q119" s="165"/>
      <c r="R119" s="165"/>
      <c r="S119" s="165"/>
      <c r="T119" s="165"/>
      <c r="U119" s="165">
        <f t="shared" si="24"/>
        <v>0</v>
      </c>
      <c r="V119" s="382"/>
      <c r="W119" s="372">
        <f t="shared" si="22"/>
        <v>0</v>
      </c>
    </row>
    <row r="120" spans="1:23" ht="24.95" hidden="1" customHeight="1" x14ac:dyDescent="0.2">
      <c r="A120" s="40"/>
      <c r="B120" s="219"/>
      <c r="C120" s="41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>
        <f t="shared" si="23"/>
        <v>0</v>
      </c>
      <c r="P120" s="165"/>
      <c r="Q120" s="165"/>
      <c r="R120" s="165"/>
      <c r="S120" s="165"/>
      <c r="T120" s="165"/>
      <c r="U120" s="165">
        <f t="shared" si="24"/>
        <v>0</v>
      </c>
      <c r="V120" s="382"/>
      <c r="W120" s="372">
        <f t="shared" si="22"/>
        <v>0</v>
      </c>
    </row>
    <row r="121" spans="1:23" ht="24.95" hidden="1" customHeight="1" x14ac:dyDescent="0.2">
      <c r="A121" s="40"/>
      <c r="B121" s="31"/>
      <c r="C121" s="41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>
        <f t="shared" si="23"/>
        <v>0</v>
      </c>
      <c r="P121" s="165"/>
      <c r="Q121" s="165"/>
      <c r="R121" s="165"/>
      <c r="S121" s="165"/>
      <c r="T121" s="165"/>
      <c r="U121" s="165">
        <f t="shared" si="24"/>
        <v>0</v>
      </c>
      <c r="V121" s="382"/>
      <c r="W121" s="372">
        <f t="shared" si="22"/>
        <v>0</v>
      </c>
    </row>
    <row r="122" spans="1:23" ht="24.95" hidden="1" customHeight="1" x14ac:dyDescent="0.2">
      <c r="A122" s="40"/>
      <c r="B122" s="220"/>
      <c r="C122" s="41"/>
      <c r="D122" s="165"/>
      <c r="E122" s="165"/>
      <c r="G122" s="165"/>
      <c r="H122" s="165"/>
      <c r="I122" s="165"/>
      <c r="J122" s="165"/>
      <c r="K122" s="165"/>
      <c r="L122" s="165"/>
      <c r="M122" s="165"/>
      <c r="N122" s="165"/>
      <c r="O122" s="165">
        <f>SUM(D122:N122)</f>
        <v>0</v>
      </c>
      <c r="P122" s="165"/>
      <c r="Q122" s="165"/>
      <c r="R122" s="165"/>
      <c r="S122" s="165"/>
      <c r="T122" s="165"/>
      <c r="U122" s="165">
        <f t="shared" si="24"/>
        <v>0</v>
      </c>
      <c r="V122" s="382"/>
      <c r="W122" s="372">
        <f t="shared" si="22"/>
        <v>0</v>
      </c>
    </row>
    <row r="123" spans="1:23" ht="24.95" hidden="1" customHeight="1" x14ac:dyDescent="0.2">
      <c r="A123" s="40"/>
      <c r="B123" s="45"/>
      <c r="C123" s="33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>
        <f t="shared" si="23"/>
        <v>0</v>
      </c>
      <c r="P123" s="165"/>
      <c r="Q123" s="165"/>
      <c r="R123" s="165"/>
      <c r="S123" s="165"/>
      <c r="T123" s="165"/>
      <c r="U123" s="165">
        <f t="shared" si="24"/>
        <v>0</v>
      </c>
      <c r="V123" s="382"/>
      <c r="W123" s="372">
        <f t="shared" si="22"/>
        <v>0</v>
      </c>
    </row>
    <row r="124" spans="1:23" ht="24.95" hidden="1" customHeight="1" x14ac:dyDescent="0.2">
      <c r="A124" s="40"/>
      <c r="B124" s="117"/>
      <c r="C124" s="41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>
        <f t="shared" si="23"/>
        <v>0</v>
      </c>
      <c r="P124" s="165"/>
      <c r="Q124" s="165"/>
      <c r="R124" s="165"/>
      <c r="S124" s="165"/>
      <c r="T124" s="165"/>
      <c r="U124" s="165">
        <f t="shared" si="24"/>
        <v>0</v>
      </c>
      <c r="V124" s="382"/>
      <c r="W124" s="372">
        <f t="shared" si="22"/>
        <v>0</v>
      </c>
    </row>
    <row r="125" spans="1:23" ht="24.95" hidden="1" customHeight="1" x14ac:dyDescent="0.2">
      <c r="A125" s="40"/>
      <c r="B125" s="174"/>
      <c r="C125" s="41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>
        <f t="shared" si="23"/>
        <v>0</v>
      </c>
      <c r="P125" s="165"/>
      <c r="Q125" s="165"/>
      <c r="R125" s="165"/>
      <c r="S125" s="165"/>
      <c r="T125" s="165"/>
      <c r="U125" s="165">
        <f t="shared" si="24"/>
        <v>0</v>
      </c>
      <c r="V125" s="382"/>
      <c r="W125" s="372">
        <f t="shared" si="22"/>
        <v>0</v>
      </c>
    </row>
    <row r="126" spans="1:23" ht="24.95" hidden="1" customHeight="1" x14ac:dyDescent="0.2">
      <c r="A126" s="40"/>
      <c r="B126" s="174"/>
      <c r="C126" s="41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>
        <f t="shared" si="23"/>
        <v>0</v>
      </c>
      <c r="P126" s="165"/>
      <c r="Q126" s="165"/>
      <c r="R126" s="165"/>
      <c r="S126" s="165"/>
      <c r="T126" s="165"/>
      <c r="U126" s="165">
        <f t="shared" si="24"/>
        <v>0</v>
      </c>
      <c r="V126" s="382"/>
      <c r="W126" s="372">
        <f t="shared" si="22"/>
        <v>0</v>
      </c>
    </row>
    <row r="127" spans="1:23" ht="24.95" hidden="1" customHeight="1" x14ac:dyDescent="0.2">
      <c r="A127" s="40"/>
      <c r="B127" s="174"/>
      <c r="C127" s="41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>
        <f t="shared" si="23"/>
        <v>0</v>
      </c>
      <c r="P127" s="165"/>
      <c r="Q127" s="165"/>
      <c r="R127" s="165"/>
      <c r="S127" s="165"/>
      <c r="T127" s="165"/>
      <c r="U127" s="165">
        <f t="shared" si="24"/>
        <v>0</v>
      </c>
      <c r="V127" s="382"/>
      <c r="W127" s="372">
        <f t="shared" si="22"/>
        <v>0</v>
      </c>
    </row>
    <row r="128" spans="1:23" ht="24.95" hidden="1" customHeight="1" x14ac:dyDescent="0.2">
      <c r="A128" s="40"/>
      <c r="B128" s="117"/>
      <c r="C128" s="41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>
        <f t="shared" si="23"/>
        <v>0</v>
      </c>
      <c r="P128" s="165"/>
      <c r="Q128" s="165"/>
      <c r="R128" s="165"/>
      <c r="S128" s="165"/>
      <c r="T128" s="165"/>
      <c r="U128" s="165">
        <f t="shared" si="24"/>
        <v>0</v>
      </c>
      <c r="V128" s="382"/>
      <c r="W128" s="372">
        <f t="shared" si="22"/>
        <v>0</v>
      </c>
    </row>
    <row r="129" spans="1:24" ht="24.95" customHeight="1" x14ac:dyDescent="0.2">
      <c r="A129" s="40"/>
      <c r="B129" s="117"/>
      <c r="C129" s="41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382"/>
      <c r="W129" s="372"/>
    </row>
    <row r="130" spans="1:24" ht="13.5" customHeight="1" thickBot="1" x14ac:dyDescent="0.25">
      <c r="A130" s="40"/>
      <c r="B130" s="32"/>
      <c r="C130" s="34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382"/>
      <c r="W130" s="372"/>
    </row>
    <row r="131" spans="1:24" ht="24.95" customHeight="1" thickTop="1" thickBot="1" x14ac:dyDescent="0.25">
      <c r="A131" s="46"/>
      <c r="B131" s="42" t="s">
        <v>143</v>
      </c>
      <c r="C131" s="44" t="s">
        <v>19</v>
      </c>
      <c r="D131" s="196">
        <f t="shared" ref="D131:O131" si="25">SUM(D108:D130)</f>
        <v>20509.798000000003</v>
      </c>
      <c r="E131" s="196">
        <f t="shared" si="25"/>
        <v>0</v>
      </c>
      <c r="F131" s="196">
        <f t="shared" si="25"/>
        <v>2418.8000000000002</v>
      </c>
      <c r="G131" s="196">
        <f t="shared" si="25"/>
        <v>0</v>
      </c>
      <c r="H131" s="196">
        <f t="shared" si="25"/>
        <v>4717</v>
      </c>
      <c r="I131" s="196">
        <f t="shared" si="25"/>
        <v>0</v>
      </c>
      <c r="J131" s="196">
        <f t="shared" si="25"/>
        <v>221500</v>
      </c>
      <c r="K131" s="196">
        <f t="shared" si="25"/>
        <v>0</v>
      </c>
      <c r="L131" s="196">
        <f t="shared" si="25"/>
        <v>0</v>
      </c>
      <c r="M131" s="196">
        <f t="shared" si="25"/>
        <v>0</v>
      </c>
      <c r="N131" s="196">
        <f t="shared" si="25"/>
        <v>0</v>
      </c>
      <c r="O131" s="196">
        <f t="shared" si="25"/>
        <v>249145.598</v>
      </c>
      <c r="P131" s="295"/>
      <c r="Q131" s="196">
        <f>SUM(Q108:Q130)</f>
        <v>0</v>
      </c>
      <c r="R131" s="196">
        <f>SUM(R108:R130)</f>
        <v>0</v>
      </c>
      <c r="S131" s="196">
        <f>SUM(S108:S130)</f>
        <v>0</v>
      </c>
      <c r="T131" s="196">
        <f>SUM(T108:T130)</f>
        <v>0</v>
      </c>
      <c r="U131" s="196">
        <f>SUM(U108:U130)</f>
        <v>0</v>
      </c>
      <c r="V131" s="385"/>
      <c r="W131" s="374">
        <f>O131+U131</f>
        <v>249145.598</v>
      </c>
    </row>
    <row r="132" spans="1:24" ht="24.95" customHeight="1" thickTop="1" x14ac:dyDescent="0.2">
      <c r="A132" s="199"/>
      <c r="B132" s="214"/>
      <c r="C132" s="492"/>
      <c r="D132" s="493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  <c r="R132" s="252"/>
      <c r="S132" s="252"/>
      <c r="T132" s="252"/>
      <c r="U132" s="252"/>
      <c r="V132" s="386"/>
      <c r="W132" s="376"/>
      <c r="X132" s="29"/>
    </row>
    <row r="133" spans="1:24" ht="24.95" hidden="1" customHeight="1" x14ac:dyDescent="0.2">
      <c r="A133" s="40"/>
      <c r="B133" s="48"/>
      <c r="C133" s="28" t="s">
        <v>146</v>
      </c>
      <c r="D133" s="150"/>
      <c r="E133" s="150"/>
      <c r="F133" s="150"/>
      <c r="G133" s="150"/>
      <c r="H133" s="165"/>
      <c r="I133" s="150"/>
      <c r="J133" s="150"/>
      <c r="K133" s="150"/>
      <c r="L133" s="150"/>
      <c r="M133" s="150"/>
      <c r="N133" s="150"/>
      <c r="O133" s="150">
        <f t="shared" ref="O133:O147" si="26">SUM(D133:N133)</f>
        <v>0</v>
      </c>
      <c r="P133" s="150"/>
      <c r="Q133" s="150"/>
      <c r="R133" s="150"/>
      <c r="S133" s="150"/>
      <c r="T133" s="150"/>
      <c r="U133" s="150">
        <f t="shared" ref="U133:U147" si="27">SUM(Q133:T133)</f>
        <v>0</v>
      </c>
      <c r="V133" s="387"/>
      <c r="W133" s="372">
        <f t="shared" ref="W133:W147" si="28">O133+U133</f>
        <v>0</v>
      </c>
    </row>
    <row r="134" spans="1:24" ht="24.95" hidden="1" customHeight="1" x14ac:dyDescent="0.2">
      <c r="A134" s="40"/>
      <c r="B134" s="48"/>
      <c r="C134" s="28"/>
      <c r="D134" s="150"/>
      <c r="E134" s="150"/>
      <c r="F134" s="150"/>
      <c r="G134" s="150"/>
      <c r="H134" s="165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387"/>
      <c r="W134" s="372"/>
    </row>
    <row r="135" spans="1:24" ht="24.95" customHeight="1" x14ac:dyDescent="0.2">
      <c r="A135" s="40"/>
      <c r="B135" s="48" t="s">
        <v>537</v>
      </c>
      <c r="C135" s="49" t="s">
        <v>20</v>
      </c>
      <c r="D135" s="318"/>
      <c r="E135" s="150"/>
      <c r="F135" s="150"/>
      <c r="G135" s="150">
        <v>35000</v>
      </c>
      <c r="H135" s="150"/>
      <c r="I135" s="150"/>
      <c r="J135" s="150"/>
      <c r="K135" s="150"/>
      <c r="L135" s="150"/>
      <c r="M135" s="150"/>
      <c r="N135" s="150"/>
      <c r="O135" s="150">
        <f t="shared" si="26"/>
        <v>35000</v>
      </c>
      <c r="P135" s="150"/>
      <c r="Q135" s="150"/>
      <c r="R135" s="150"/>
      <c r="S135" s="150"/>
      <c r="T135" s="150"/>
      <c r="U135" s="150">
        <f t="shared" si="27"/>
        <v>0</v>
      </c>
      <c r="V135" s="387"/>
      <c r="W135" s="372">
        <f t="shared" si="28"/>
        <v>35000</v>
      </c>
    </row>
    <row r="136" spans="1:24" ht="24.95" customHeight="1" x14ac:dyDescent="0.2">
      <c r="A136" s="40"/>
      <c r="B136" s="48" t="s">
        <v>317</v>
      </c>
      <c r="C136" s="49" t="s">
        <v>20</v>
      </c>
      <c r="E136" s="150"/>
      <c r="F136" s="150"/>
      <c r="G136" s="150">
        <v>300</v>
      </c>
      <c r="H136" s="150"/>
      <c r="I136" s="150"/>
      <c r="J136" s="150"/>
      <c r="K136" s="150"/>
      <c r="L136" s="150"/>
      <c r="M136" s="150"/>
      <c r="N136" s="150"/>
      <c r="O136" s="150">
        <f t="shared" si="26"/>
        <v>300</v>
      </c>
      <c r="P136" s="150"/>
      <c r="Q136" s="150"/>
      <c r="R136" s="150"/>
      <c r="S136" s="150"/>
      <c r="T136" s="150"/>
      <c r="U136" s="150">
        <f t="shared" si="27"/>
        <v>0</v>
      </c>
      <c r="V136" s="387"/>
      <c r="W136" s="372">
        <f t="shared" si="28"/>
        <v>300</v>
      </c>
    </row>
    <row r="137" spans="1:24" ht="24.95" customHeight="1" x14ac:dyDescent="0.2">
      <c r="A137" s="40"/>
      <c r="B137" s="48" t="s">
        <v>542</v>
      </c>
      <c r="C137" s="49" t="s">
        <v>20</v>
      </c>
      <c r="D137" s="150"/>
      <c r="E137" s="150"/>
      <c r="F137" s="150"/>
      <c r="G137" s="150">
        <v>-50150</v>
      </c>
      <c r="H137" s="150">
        <f>-29665-185</f>
        <v>-29850</v>
      </c>
      <c r="I137" s="150"/>
      <c r="J137" s="150"/>
      <c r="K137" s="150"/>
      <c r="L137" s="150"/>
      <c r="M137" s="150"/>
      <c r="N137" s="150"/>
      <c r="O137" s="150">
        <f t="shared" si="26"/>
        <v>-80000</v>
      </c>
      <c r="P137" s="150"/>
      <c r="Q137" s="150"/>
      <c r="R137" s="150"/>
      <c r="S137" s="150"/>
      <c r="T137" s="150"/>
      <c r="U137" s="150">
        <f t="shared" si="27"/>
        <v>0</v>
      </c>
      <c r="V137" s="387"/>
      <c r="W137" s="372">
        <f t="shared" si="28"/>
        <v>-80000</v>
      </c>
    </row>
    <row r="138" spans="1:24" ht="24.95" customHeight="1" x14ac:dyDescent="0.2">
      <c r="A138" s="40"/>
      <c r="B138" s="48" t="s">
        <v>544</v>
      </c>
      <c r="C138" s="49" t="s">
        <v>20</v>
      </c>
      <c r="D138" s="150"/>
      <c r="E138" s="150"/>
      <c r="F138" s="150"/>
      <c r="G138" s="150"/>
      <c r="H138" s="150"/>
      <c r="I138" s="150"/>
      <c r="J138" s="150"/>
      <c r="K138" s="150"/>
      <c r="L138" s="150">
        <v>-455033</v>
      </c>
      <c r="M138" s="150"/>
      <c r="N138" s="150"/>
      <c r="O138" s="150">
        <f t="shared" si="26"/>
        <v>-455033</v>
      </c>
      <c r="P138" s="150"/>
      <c r="Q138" s="150"/>
      <c r="R138" s="150"/>
      <c r="S138" s="150"/>
      <c r="T138" s="150"/>
      <c r="U138" s="150">
        <f t="shared" si="27"/>
        <v>0</v>
      </c>
      <c r="V138" s="387"/>
      <c r="W138" s="372">
        <f t="shared" si="28"/>
        <v>-455033</v>
      </c>
    </row>
    <row r="139" spans="1:24" ht="24.95" customHeight="1" x14ac:dyDescent="0.2">
      <c r="A139" s="40"/>
      <c r="B139" s="48" t="s">
        <v>545</v>
      </c>
      <c r="C139" s="49" t="s">
        <v>20</v>
      </c>
      <c r="D139" s="150"/>
      <c r="E139" s="150"/>
      <c r="F139" s="150"/>
      <c r="G139" s="150"/>
      <c r="H139" s="150">
        <f>7766+560</f>
        <v>8326</v>
      </c>
      <c r="I139" s="150"/>
      <c r="J139" s="150"/>
      <c r="K139" s="150"/>
      <c r="L139" s="150">
        <v>127110</v>
      </c>
      <c r="M139" s="150"/>
      <c r="N139" s="150"/>
      <c r="O139" s="150">
        <f t="shared" si="26"/>
        <v>135436</v>
      </c>
      <c r="P139" s="150"/>
      <c r="Q139" s="150"/>
      <c r="R139" s="150"/>
      <c r="S139" s="150"/>
      <c r="T139" s="150"/>
      <c r="U139" s="150">
        <f t="shared" si="27"/>
        <v>0</v>
      </c>
      <c r="V139" s="387"/>
      <c r="W139" s="372">
        <f t="shared" si="28"/>
        <v>135436</v>
      </c>
    </row>
    <row r="140" spans="1:24" ht="24.95" customHeight="1" x14ac:dyDescent="0.2">
      <c r="A140" s="40"/>
      <c r="B140" s="48" t="s">
        <v>546</v>
      </c>
      <c r="C140" s="49" t="s">
        <v>20</v>
      </c>
      <c r="D140" s="150"/>
      <c r="E140" s="150"/>
      <c r="F140" s="150"/>
      <c r="G140" s="150"/>
      <c r="H140" s="150"/>
      <c r="I140" s="150"/>
      <c r="J140" s="150"/>
      <c r="K140" s="150"/>
      <c r="L140" s="150">
        <v>-34526</v>
      </c>
      <c r="M140" s="150"/>
      <c r="N140" s="150"/>
      <c r="O140" s="150">
        <f t="shared" si="26"/>
        <v>-34526</v>
      </c>
      <c r="Q140" s="150"/>
      <c r="R140" s="150"/>
      <c r="S140" s="150"/>
      <c r="T140" s="150"/>
      <c r="U140" s="150">
        <f t="shared" si="27"/>
        <v>0</v>
      </c>
      <c r="V140" s="387"/>
      <c r="W140" s="372">
        <f t="shared" si="28"/>
        <v>-34526</v>
      </c>
    </row>
    <row r="141" spans="1:24" ht="24.95" customHeight="1" x14ac:dyDescent="0.2">
      <c r="A141" s="40"/>
      <c r="B141" s="48" t="s">
        <v>547</v>
      </c>
      <c r="C141" s="49" t="s">
        <v>20</v>
      </c>
      <c r="D141" s="150"/>
      <c r="E141" s="150"/>
      <c r="F141" s="150"/>
      <c r="G141" s="150">
        <v>10000</v>
      </c>
      <c r="H141" s="150">
        <f>60500+16335</f>
        <v>76835</v>
      </c>
      <c r="I141" s="150"/>
      <c r="J141" s="150"/>
      <c r="K141" s="150"/>
      <c r="L141" s="150"/>
      <c r="M141" s="150"/>
      <c r="N141" s="150"/>
      <c r="O141" s="150">
        <f t="shared" si="26"/>
        <v>86835</v>
      </c>
      <c r="Q141" s="150"/>
      <c r="R141" s="150"/>
      <c r="S141" s="150"/>
      <c r="T141" s="150"/>
      <c r="U141" s="150">
        <f t="shared" si="27"/>
        <v>0</v>
      </c>
      <c r="V141" s="387"/>
      <c r="W141" s="372">
        <f t="shared" si="28"/>
        <v>86835</v>
      </c>
    </row>
    <row r="142" spans="1:24" ht="24.95" hidden="1" customHeight="1" x14ac:dyDescent="0.2">
      <c r="A142" s="40"/>
      <c r="B142" s="48" t="s">
        <v>52</v>
      </c>
      <c r="C142" s="49" t="s">
        <v>20</v>
      </c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>
        <f t="shared" si="26"/>
        <v>0</v>
      </c>
      <c r="P142" s="150"/>
      <c r="Q142" s="150"/>
      <c r="R142" s="150"/>
      <c r="S142" s="150"/>
      <c r="T142" s="150"/>
      <c r="U142" s="150">
        <f t="shared" si="27"/>
        <v>0</v>
      </c>
      <c r="V142" s="387"/>
      <c r="W142" s="372">
        <f t="shared" si="28"/>
        <v>0</v>
      </c>
    </row>
    <row r="143" spans="1:24" ht="24.95" hidden="1" customHeight="1" x14ac:dyDescent="0.2">
      <c r="A143" s="40"/>
      <c r="B143" s="48" t="s">
        <v>22</v>
      </c>
      <c r="C143" s="49" t="s">
        <v>20</v>
      </c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>
        <f t="shared" si="26"/>
        <v>0</v>
      </c>
      <c r="P143" s="392"/>
      <c r="Q143" s="150"/>
      <c r="R143" s="150"/>
      <c r="S143" s="150"/>
      <c r="T143" s="150"/>
      <c r="U143" s="150">
        <f t="shared" si="27"/>
        <v>0</v>
      </c>
      <c r="V143" s="387"/>
      <c r="W143" s="372">
        <f t="shared" si="28"/>
        <v>0</v>
      </c>
    </row>
    <row r="144" spans="1:24" ht="24.95" hidden="1" customHeight="1" x14ac:dyDescent="0.2">
      <c r="A144" s="40"/>
      <c r="B144" s="48" t="s">
        <v>53</v>
      </c>
      <c r="C144" s="49" t="s">
        <v>20</v>
      </c>
      <c r="D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>
        <f t="shared" si="26"/>
        <v>0</v>
      </c>
      <c r="P144" s="150"/>
      <c r="Q144" s="150"/>
      <c r="R144" s="150"/>
      <c r="S144" s="150"/>
      <c r="T144" s="150"/>
      <c r="U144" s="150">
        <f t="shared" si="27"/>
        <v>0</v>
      </c>
      <c r="V144" s="387"/>
      <c r="W144" s="372">
        <f t="shared" si="28"/>
        <v>0</v>
      </c>
    </row>
    <row r="145" spans="1:24" ht="24.95" hidden="1" customHeight="1" x14ac:dyDescent="0.2">
      <c r="A145" s="40"/>
      <c r="B145" s="48" t="s">
        <v>84</v>
      </c>
      <c r="C145" s="49" t="s">
        <v>20</v>
      </c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>
        <f t="shared" si="26"/>
        <v>0</v>
      </c>
      <c r="P145" s="150"/>
      <c r="Q145" s="150"/>
      <c r="R145" s="150"/>
      <c r="S145" s="150"/>
      <c r="T145" s="150"/>
      <c r="U145" s="150">
        <f t="shared" si="27"/>
        <v>0</v>
      </c>
      <c r="V145" s="387"/>
      <c r="W145" s="372">
        <f t="shared" si="28"/>
        <v>0</v>
      </c>
    </row>
    <row r="146" spans="1:24" ht="24.95" hidden="1" customHeight="1" x14ac:dyDescent="0.2">
      <c r="A146" s="40"/>
      <c r="B146" s="48" t="s">
        <v>85</v>
      </c>
      <c r="C146" s="49" t="s">
        <v>20</v>
      </c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>
        <f t="shared" si="26"/>
        <v>0</v>
      </c>
      <c r="P146" s="150"/>
      <c r="Q146" s="150"/>
      <c r="R146" s="150"/>
      <c r="S146" s="150"/>
      <c r="T146" s="150"/>
      <c r="U146" s="150">
        <f t="shared" si="27"/>
        <v>0</v>
      </c>
      <c r="V146" s="387"/>
      <c r="W146" s="372">
        <f t="shared" si="28"/>
        <v>0</v>
      </c>
    </row>
    <row r="147" spans="1:24" ht="24.95" hidden="1" customHeight="1" x14ac:dyDescent="0.2">
      <c r="A147" s="40"/>
      <c r="B147" s="48"/>
      <c r="C147" s="41" t="s">
        <v>50</v>
      </c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>
        <f t="shared" si="26"/>
        <v>0</v>
      </c>
      <c r="P147" s="150"/>
      <c r="Q147" s="150"/>
      <c r="R147" s="150"/>
      <c r="S147" s="150"/>
      <c r="T147" s="150"/>
      <c r="U147" s="150">
        <f t="shared" si="27"/>
        <v>0</v>
      </c>
      <c r="V147" s="387"/>
      <c r="W147" s="372">
        <f t="shared" si="28"/>
        <v>0</v>
      </c>
    </row>
    <row r="148" spans="1:24" ht="24.95" customHeight="1" thickBot="1" x14ac:dyDescent="0.25">
      <c r="A148" s="40"/>
      <c r="B148" s="48"/>
      <c r="C148" s="49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387"/>
      <c r="W148" s="372"/>
    </row>
    <row r="149" spans="1:24" ht="24.95" customHeight="1" thickTop="1" thickBot="1" x14ac:dyDescent="0.25">
      <c r="A149" s="47"/>
      <c r="B149" s="43"/>
      <c r="C149" s="44" t="s">
        <v>23</v>
      </c>
      <c r="D149" s="158">
        <f t="shared" ref="D149:O149" si="29">SUM(D133:D148)</f>
        <v>0</v>
      </c>
      <c r="E149" s="158">
        <f t="shared" si="29"/>
        <v>0</v>
      </c>
      <c r="F149" s="158">
        <f t="shared" si="29"/>
        <v>0</v>
      </c>
      <c r="G149" s="158">
        <f t="shared" si="29"/>
        <v>-4850</v>
      </c>
      <c r="H149" s="158">
        <f t="shared" si="29"/>
        <v>55311</v>
      </c>
      <c r="I149" s="158">
        <f t="shared" si="29"/>
        <v>0</v>
      </c>
      <c r="J149" s="158">
        <f t="shared" si="29"/>
        <v>0</v>
      </c>
      <c r="K149" s="158">
        <f t="shared" si="29"/>
        <v>0</v>
      </c>
      <c r="L149" s="158">
        <f t="shared" si="29"/>
        <v>-362449</v>
      </c>
      <c r="M149" s="158">
        <f t="shared" si="29"/>
        <v>0</v>
      </c>
      <c r="N149" s="158">
        <f t="shared" si="29"/>
        <v>0</v>
      </c>
      <c r="O149" s="158">
        <f t="shared" si="29"/>
        <v>-311988</v>
      </c>
      <c r="P149" s="158"/>
      <c r="Q149" s="158">
        <f>SUM(Q133:Q148)</f>
        <v>0</v>
      </c>
      <c r="R149" s="158">
        <f>SUM(R133:R148)</f>
        <v>0</v>
      </c>
      <c r="S149" s="158">
        <f>SUM(S133:S148)</f>
        <v>0</v>
      </c>
      <c r="T149" s="158">
        <f>SUM(T133:T148)</f>
        <v>0</v>
      </c>
      <c r="U149" s="158">
        <f>SUM(U133:U148)</f>
        <v>0</v>
      </c>
      <c r="V149" s="267"/>
      <c r="W149" s="377">
        <f>O149+U149</f>
        <v>-311988</v>
      </c>
    </row>
    <row r="150" spans="1:24" ht="9.9499999999999993" customHeight="1" thickTop="1" thickBot="1" x14ac:dyDescent="0.25">
      <c r="A150" s="179"/>
      <c r="B150" s="180"/>
      <c r="C150" s="181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388"/>
      <c r="V150" s="183"/>
      <c r="W150" s="378"/>
    </row>
    <row r="151" spans="1:24" ht="24.95" hidden="1" customHeight="1" x14ac:dyDescent="0.2">
      <c r="A151" s="184"/>
      <c r="B151" s="185"/>
      <c r="C151" s="193" t="s">
        <v>50</v>
      </c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>
        <f>SUM(D151:N151)</f>
        <v>0</v>
      </c>
      <c r="P151" s="186"/>
      <c r="Q151" s="186"/>
      <c r="R151" s="186"/>
      <c r="S151" s="186"/>
      <c r="T151" s="186"/>
      <c r="U151" s="389">
        <f>SUM(Q151:T151)</f>
        <v>0</v>
      </c>
      <c r="V151" s="390"/>
      <c r="W151" s="372">
        <f>O151+U151</f>
        <v>0</v>
      </c>
    </row>
    <row r="152" spans="1:24" ht="9.9499999999999993" hidden="1" customHeight="1" thickBot="1" x14ac:dyDescent="0.25">
      <c r="A152" s="188"/>
      <c r="B152" s="189"/>
      <c r="C152" s="190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391"/>
      <c r="V152" s="192"/>
      <c r="W152" s="379"/>
    </row>
    <row r="153" spans="1:24" ht="24.95" customHeight="1" thickTop="1" thickBot="1" x14ac:dyDescent="0.25">
      <c r="A153" s="88"/>
      <c r="B153" s="616" t="s">
        <v>449</v>
      </c>
      <c r="C153" s="44" t="s">
        <v>118</v>
      </c>
      <c r="D153" s="196">
        <f t="shared" ref="D153:O153" si="30">D107+D131+D149</f>
        <v>2375598.9220000007</v>
      </c>
      <c r="E153" s="196">
        <f t="shared" si="30"/>
        <v>6478.4589999999998</v>
      </c>
      <c r="F153" s="196">
        <f t="shared" si="30"/>
        <v>56559.55</v>
      </c>
      <c r="G153" s="196">
        <f t="shared" si="30"/>
        <v>8849207</v>
      </c>
      <c r="H153" s="196">
        <f t="shared" si="30"/>
        <v>2411464.37</v>
      </c>
      <c r="I153" s="196">
        <f t="shared" si="30"/>
        <v>1801</v>
      </c>
      <c r="J153" s="196">
        <f t="shared" si="30"/>
        <v>271500</v>
      </c>
      <c r="K153" s="196">
        <f t="shared" si="30"/>
        <v>806628</v>
      </c>
      <c r="L153" s="196">
        <f t="shared" si="30"/>
        <v>1148551</v>
      </c>
      <c r="M153" s="196">
        <f t="shared" si="30"/>
        <v>16300</v>
      </c>
      <c r="N153" s="196">
        <f t="shared" si="30"/>
        <v>959</v>
      </c>
      <c r="O153" s="196">
        <f t="shared" si="30"/>
        <v>15945047.300999999</v>
      </c>
      <c r="P153" s="196"/>
      <c r="Q153" s="196">
        <f>Q107+Q131+Q149</f>
        <v>5960000</v>
      </c>
      <c r="R153" s="196">
        <f>R107+R131+R149</f>
        <v>4023597.2149999999</v>
      </c>
      <c r="S153" s="196">
        <f>S107+S131+S149</f>
        <v>0</v>
      </c>
      <c r="T153" s="196">
        <f>T107+T131+T149</f>
        <v>0</v>
      </c>
      <c r="U153" s="196">
        <f>U107+U131+U149</f>
        <v>9983597.2149999999</v>
      </c>
      <c r="V153" s="268"/>
      <c r="W153" s="374">
        <f>W107+W131+W149</f>
        <v>25928644.515999999</v>
      </c>
      <c r="X153" s="29"/>
    </row>
    <row r="154" spans="1:24" ht="24.95" customHeight="1" thickTop="1" x14ac:dyDescent="0.25"/>
    <row r="155" spans="1:24" ht="24.95" customHeight="1" x14ac:dyDescent="0.25"/>
    <row r="156" spans="1:24" ht="24.95" customHeight="1" x14ac:dyDescent="0.25"/>
    <row r="157" spans="1:24" ht="24.95" customHeight="1" x14ac:dyDescent="0.25"/>
    <row r="158" spans="1:24" ht="24.95" customHeight="1" x14ac:dyDescent="0.25"/>
    <row r="159" spans="1:24" ht="24.95" customHeight="1" x14ac:dyDescent="0.25"/>
    <row r="160" spans="1:24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441" spans="9:9" x14ac:dyDescent="0.25">
      <c r="I441" s="50">
        <f>-10437-1367-86-236+13-6357-200+31+71-310-1500-799-55-443-3970</f>
        <v>-25645</v>
      </c>
    </row>
  </sheetData>
  <mergeCells count="5">
    <mergeCell ref="D7:F7"/>
    <mergeCell ref="J7:K7"/>
    <mergeCell ref="Q7:T7"/>
    <mergeCell ref="A2:W2"/>
    <mergeCell ref="A4:W4"/>
  </mergeCells>
  <phoneticPr fontId="3" type="noConversion"/>
  <printOptions horizontalCentered="1" verticalCentered="1"/>
  <pageMargins left="0" right="0" top="0.51181102362204722" bottom="0.55118110236220474" header="7.874015748031496E-2" footer="7.874015748031496E-2"/>
  <pageSetup paperSize="9" scale="44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92"/>
  <sheetViews>
    <sheetView zoomScale="71" zoomScaleNormal="71" workbookViewId="0">
      <selection activeCell="Z1" sqref="Z1"/>
    </sheetView>
  </sheetViews>
  <sheetFormatPr defaultRowHeight="16.5" x14ac:dyDescent="0.25"/>
  <cols>
    <col min="1" max="1" width="3.85546875" style="89" customWidth="1"/>
    <col min="2" max="2" width="10.7109375" style="1" hidden="1" customWidth="1"/>
    <col min="3" max="3" width="53.7109375" style="2" customWidth="1"/>
    <col min="4" max="5" width="12.7109375" style="2" customWidth="1"/>
    <col min="6" max="6" width="14.5703125" style="2" customWidth="1"/>
    <col min="7" max="7" width="13.5703125" style="2" customWidth="1"/>
    <col min="8" max="9" width="12.7109375" style="2" customWidth="1"/>
    <col min="10" max="10" width="13.7109375" style="2" customWidth="1"/>
    <col min="11" max="11" width="14.85546875" style="2" customWidth="1"/>
    <col min="12" max="12" width="14.140625" style="2" customWidth="1"/>
    <col min="13" max="15" width="12.7109375" style="2" customWidth="1"/>
    <col min="16" max="16" width="11.7109375" style="2" customWidth="1"/>
    <col min="17" max="17" width="14.140625" style="2" customWidth="1"/>
    <col min="18" max="18" width="14.7109375" style="2" customWidth="1"/>
    <col min="19" max="19" width="1.7109375" style="2" customWidth="1"/>
    <col min="20" max="20" width="13.5703125" style="2" customWidth="1"/>
    <col min="21" max="21" width="14.140625" style="2" customWidth="1"/>
    <col min="22" max="22" width="12.7109375" style="2" customWidth="1"/>
    <col min="23" max="23" width="11.85546875" style="2" customWidth="1"/>
    <col min="24" max="24" width="13.5703125" style="2" customWidth="1"/>
    <col min="25" max="25" width="16.7109375" style="2" customWidth="1"/>
    <col min="26" max="26" width="16.7109375" style="51" customWidth="1"/>
    <col min="27" max="27" width="18.28515625" style="51" customWidth="1"/>
    <col min="28" max="28" width="16.28515625" style="51" customWidth="1"/>
    <col min="29" max="31" width="10.42578125" style="51" customWidth="1"/>
    <col min="32" max="32" width="12.28515625" style="51" customWidth="1"/>
    <col min="33" max="33" width="14" style="51" customWidth="1"/>
    <col min="34" max="34" width="12.28515625" style="51" customWidth="1"/>
    <col min="35" max="36" width="10.42578125" style="51" customWidth="1"/>
    <col min="37" max="37" width="12.28515625" style="51" customWidth="1"/>
    <col min="38" max="38" width="9.140625" style="51"/>
    <col min="39" max="40" width="10.42578125" style="51" customWidth="1"/>
    <col min="41" max="41" width="12.28515625" style="51" customWidth="1"/>
    <col min="42" max="42" width="12.7109375" style="51" customWidth="1"/>
    <col min="43" max="16384" width="9.140625" style="2"/>
  </cols>
  <sheetData>
    <row r="1" spans="1:42" ht="16.5" customHeight="1" x14ac:dyDescent="0.25">
      <c r="Z1" s="178" t="s">
        <v>67</v>
      </c>
      <c r="AA1" s="178"/>
    </row>
    <row r="2" spans="1:42" ht="30" customHeight="1" x14ac:dyDescent="0.2">
      <c r="A2" s="647" t="s">
        <v>0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303"/>
    </row>
    <row r="3" spans="1:42" ht="30" customHeight="1" x14ac:dyDescent="0.2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303"/>
    </row>
    <row r="4" spans="1:42" ht="50.1" customHeight="1" x14ac:dyDescent="0.2">
      <c r="A4" s="648" t="s">
        <v>452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7"/>
      <c r="X4" s="647"/>
      <c r="Y4" s="647"/>
      <c r="Z4" s="647"/>
      <c r="AA4" s="303"/>
    </row>
    <row r="5" spans="1:42" ht="24.95" customHeight="1" x14ac:dyDescent="0.2">
      <c r="A5" s="403"/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303"/>
    </row>
    <row r="6" spans="1:42" ht="17.25" customHeight="1" thickBo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6" t="s">
        <v>1</v>
      </c>
      <c r="AA6" s="304"/>
    </row>
    <row r="7" spans="1:42" ht="17.25" thickBot="1" x14ac:dyDescent="0.3">
      <c r="A7" s="53"/>
      <c r="B7" s="8"/>
      <c r="C7" s="9"/>
      <c r="D7" s="649" t="s">
        <v>24</v>
      </c>
      <c r="E7" s="649"/>
      <c r="F7" s="649"/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649"/>
      <c r="R7" s="649"/>
      <c r="S7" s="649"/>
      <c r="T7" s="649"/>
      <c r="U7" s="649"/>
      <c r="V7" s="649"/>
      <c r="W7" s="649"/>
      <c r="X7" s="649"/>
      <c r="Y7" s="649"/>
      <c r="Z7" s="649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</row>
    <row r="8" spans="1:42" ht="17.25" customHeight="1" thickTop="1" x14ac:dyDescent="0.25">
      <c r="A8" s="55"/>
      <c r="B8" s="12"/>
      <c r="C8" s="13"/>
      <c r="D8" s="650" t="s">
        <v>134</v>
      </c>
      <c r="E8" s="651"/>
      <c r="F8" s="651"/>
      <c r="G8" s="651"/>
      <c r="H8" s="651"/>
      <c r="I8" s="651"/>
      <c r="J8" s="651"/>
      <c r="K8" s="652"/>
      <c r="L8" s="653" t="s">
        <v>135</v>
      </c>
      <c r="M8" s="654"/>
      <c r="N8" s="654"/>
      <c r="O8" s="654"/>
      <c r="P8" s="654"/>
      <c r="Q8" s="652"/>
      <c r="R8" s="417" t="s">
        <v>103</v>
      </c>
      <c r="S8" s="417"/>
      <c r="T8" s="653" t="s">
        <v>136</v>
      </c>
      <c r="U8" s="654"/>
      <c r="V8" s="654"/>
      <c r="W8" s="655"/>
      <c r="X8" s="421" t="s">
        <v>114</v>
      </c>
      <c r="Y8" s="321" t="s">
        <v>2</v>
      </c>
      <c r="Z8" s="336"/>
      <c r="AA8" s="5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54"/>
    </row>
    <row r="9" spans="1:42" x14ac:dyDescent="0.25">
      <c r="A9" s="18" t="s">
        <v>8</v>
      </c>
      <c r="B9" s="12"/>
      <c r="C9" s="13" t="s">
        <v>3</v>
      </c>
      <c r="D9" s="56"/>
      <c r="E9" s="194" t="s">
        <v>29</v>
      </c>
      <c r="F9" s="57"/>
      <c r="G9" s="57" t="s">
        <v>25</v>
      </c>
      <c r="H9" s="57" t="s">
        <v>89</v>
      </c>
      <c r="I9" s="57" t="s">
        <v>90</v>
      </c>
      <c r="J9" s="57" t="s">
        <v>90</v>
      </c>
      <c r="K9" s="194"/>
      <c r="L9" s="57"/>
      <c r="M9" s="57"/>
      <c r="N9" s="57" t="s">
        <v>4</v>
      </c>
      <c r="O9" s="57" t="s">
        <v>119</v>
      </c>
      <c r="P9" s="58" t="s">
        <v>120</v>
      </c>
      <c r="Q9" s="194" t="s">
        <v>4</v>
      </c>
      <c r="R9" s="418" t="s">
        <v>104</v>
      </c>
      <c r="S9" s="418"/>
      <c r="T9" s="17" t="s">
        <v>121</v>
      </c>
      <c r="U9" s="17" t="s">
        <v>122</v>
      </c>
      <c r="V9" s="17" t="s">
        <v>192</v>
      </c>
      <c r="W9" s="17" t="s">
        <v>4</v>
      </c>
      <c r="X9" s="422" t="s">
        <v>115</v>
      </c>
      <c r="Y9" s="322" t="s">
        <v>27</v>
      </c>
      <c r="Z9" s="234" t="s">
        <v>26</v>
      </c>
      <c r="AA9" s="54"/>
      <c r="AB9" s="4"/>
      <c r="AC9" s="4"/>
      <c r="AD9" s="4"/>
      <c r="AE9" s="4"/>
      <c r="AF9" s="4"/>
      <c r="AG9" s="4"/>
      <c r="AH9" s="4"/>
      <c r="AI9" s="4"/>
      <c r="AJ9" s="646"/>
      <c r="AK9" s="646"/>
      <c r="AL9" s="4"/>
      <c r="AM9" s="4"/>
      <c r="AN9" s="4"/>
      <c r="AO9" s="4"/>
      <c r="AP9" s="54"/>
    </row>
    <row r="10" spans="1:42" ht="16.5" customHeight="1" x14ac:dyDescent="0.25">
      <c r="A10" s="11"/>
      <c r="B10" s="12"/>
      <c r="C10" s="13" t="s">
        <v>9</v>
      </c>
      <c r="D10" s="57" t="s">
        <v>28</v>
      </c>
      <c r="E10" s="57" t="s">
        <v>54</v>
      </c>
      <c r="F10" s="57" t="s">
        <v>30</v>
      </c>
      <c r="G10" s="57" t="s">
        <v>31</v>
      </c>
      <c r="H10" s="57" t="s">
        <v>91</v>
      </c>
      <c r="I10" s="57" t="s">
        <v>56</v>
      </c>
      <c r="J10" s="57" t="s">
        <v>56</v>
      </c>
      <c r="K10" s="57" t="s">
        <v>34</v>
      </c>
      <c r="L10" s="57" t="s">
        <v>123</v>
      </c>
      <c r="M10" s="57" t="s">
        <v>124</v>
      </c>
      <c r="N10" s="57" t="s">
        <v>125</v>
      </c>
      <c r="O10" s="57" t="s">
        <v>126</v>
      </c>
      <c r="P10" s="57" t="s">
        <v>42</v>
      </c>
      <c r="Q10" s="57" t="s">
        <v>125</v>
      </c>
      <c r="R10" s="419" t="s">
        <v>32</v>
      </c>
      <c r="S10" s="419"/>
      <c r="T10" s="13" t="s">
        <v>127</v>
      </c>
      <c r="U10" s="13" t="s">
        <v>108</v>
      </c>
      <c r="V10" s="13" t="s">
        <v>193</v>
      </c>
      <c r="W10" s="17" t="s">
        <v>152</v>
      </c>
      <c r="X10" s="357" t="s">
        <v>32</v>
      </c>
      <c r="Y10" s="322" t="s">
        <v>12</v>
      </c>
      <c r="Z10" s="234" t="s">
        <v>35</v>
      </c>
      <c r="AA10" s="5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54"/>
    </row>
    <row r="11" spans="1:42" x14ac:dyDescent="0.25">
      <c r="A11" s="55"/>
      <c r="B11" s="12"/>
      <c r="C11" s="13" t="s">
        <v>13</v>
      </c>
      <c r="D11" s="57" t="s">
        <v>36</v>
      </c>
      <c r="E11" s="57" t="s">
        <v>41</v>
      </c>
      <c r="F11" s="57" t="s">
        <v>32</v>
      </c>
      <c r="G11" s="57" t="s">
        <v>37</v>
      </c>
      <c r="H11" s="57" t="s">
        <v>93</v>
      </c>
      <c r="I11" s="57" t="s">
        <v>94</v>
      </c>
      <c r="J11" s="57" t="s">
        <v>94</v>
      </c>
      <c r="K11" s="57"/>
      <c r="L11" s="57"/>
      <c r="M11" s="57"/>
      <c r="N11" s="57" t="s">
        <v>56</v>
      </c>
      <c r="O11" s="57" t="s">
        <v>38</v>
      </c>
      <c r="P11" s="57"/>
      <c r="Q11" s="57" t="s">
        <v>56</v>
      </c>
      <c r="R11" s="419" t="s">
        <v>12</v>
      </c>
      <c r="S11" s="419"/>
      <c r="T11" s="13" t="s">
        <v>128</v>
      </c>
      <c r="U11" s="13" t="s">
        <v>110</v>
      </c>
      <c r="V11" s="13" t="s">
        <v>196</v>
      </c>
      <c r="W11" s="17" t="s">
        <v>153</v>
      </c>
      <c r="X11" s="357" t="s">
        <v>12</v>
      </c>
      <c r="Y11" s="97" t="s">
        <v>140</v>
      </c>
      <c r="Z11" s="234" t="s">
        <v>40</v>
      </c>
      <c r="AA11" s="305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54"/>
    </row>
    <row r="12" spans="1:42" x14ac:dyDescent="0.25">
      <c r="A12" s="55"/>
      <c r="B12" s="12"/>
      <c r="C12" s="13"/>
      <c r="D12" s="59"/>
      <c r="E12" s="57" t="s">
        <v>141</v>
      </c>
      <c r="F12" s="57"/>
      <c r="G12" s="123"/>
      <c r="H12" s="60"/>
      <c r="I12" s="123" t="s">
        <v>129</v>
      </c>
      <c r="J12" s="123" t="s">
        <v>130</v>
      </c>
      <c r="K12" s="57"/>
      <c r="L12" s="60"/>
      <c r="M12" s="57"/>
      <c r="N12" s="57" t="s">
        <v>131</v>
      </c>
      <c r="O12" s="57" t="s">
        <v>132</v>
      </c>
      <c r="P12" s="57"/>
      <c r="Q12" s="57" t="s">
        <v>132</v>
      </c>
      <c r="R12" s="420" t="s">
        <v>138</v>
      </c>
      <c r="S12" s="420"/>
      <c r="T12" s="13" t="s">
        <v>133</v>
      </c>
      <c r="U12" s="13" t="s">
        <v>39</v>
      </c>
      <c r="V12" s="13" t="s">
        <v>197</v>
      </c>
      <c r="W12" s="13" t="s">
        <v>32</v>
      </c>
      <c r="X12" s="305" t="s">
        <v>139</v>
      </c>
      <c r="Y12" s="322"/>
      <c r="Z12" s="234"/>
      <c r="AA12" s="5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54"/>
    </row>
    <row r="13" spans="1:42" hidden="1" x14ac:dyDescent="0.25">
      <c r="A13" s="113"/>
      <c r="B13" s="106"/>
      <c r="C13" s="107"/>
      <c r="D13" s="108" t="s">
        <v>155</v>
      </c>
      <c r="E13" s="16" t="s">
        <v>156</v>
      </c>
      <c r="F13" s="16" t="s">
        <v>157</v>
      </c>
      <c r="G13" s="17" t="s">
        <v>158</v>
      </c>
      <c r="H13" s="114" t="s">
        <v>159</v>
      </c>
      <c r="I13" s="13" t="s">
        <v>160</v>
      </c>
      <c r="J13" s="17" t="s">
        <v>161</v>
      </c>
      <c r="K13" s="107" t="s">
        <v>162</v>
      </c>
      <c r="L13" s="114" t="s">
        <v>163</v>
      </c>
      <c r="M13" s="114" t="s">
        <v>164</v>
      </c>
      <c r="N13" s="114" t="s">
        <v>165</v>
      </c>
      <c r="O13" s="115" t="s">
        <v>166</v>
      </c>
      <c r="P13" s="107" t="s">
        <v>167</v>
      </c>
      <c r="Q13" s="107" t="s">
        <v>168</v>
      </c>
      <c r="R13" s="107"/>
      <c r="S13" s="107"/>
      <c r="T13" s="107" t="s">
        <v>169</v>
      </c>
      <c r="U13" s="107" t="s">
        <v>170</v>
      </c>
      <c r="V13" s="107" t="s">
        <v>171</v>
      </c>
      <c r="W13" s="116" t="s">
        <v>172</v>
      </c>
      <c r="X13" s="410"/>
      <c r="Y13" s="323"/>
      <c r="Z13" s="235"/>
      <c r="AA13" s="5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54"/>
    </row>
    <row r="14" spans="1:42" ht="18" customHeight="1" thickBot="1" x14ac:dyDescent="0.3">
      <c r="A14" s="184">
        <v>1</v>
      </c>
      <c r="B14" s="210"/>
      <c r="C14" s="207">
        <v>2</v>
      </c>
      <c r="D14" s="207">
        <v>3</v>
      </c>
      <c r="E14" s="207">
        <v>4</v>
      </c>
      <c r="F14" s="207">
        <v>5</v>
      </c>
      <c r="G14" s="207">
        <v>6</v>
      </c>
      <c r="H14" s="207">
        <v>7</v>
      </c>
      <c r="I14" s="207">
        <v>8</v>
      </c>
      <c r="J14" s="207">
        <v>9</v>
      </c>
      <c r="K14" s="207">
        <v>10</v>
      </c>
      <c r="L14" s="207">
        <v>11</v>
      </c>
      <c r="M14" s="207">
        <v>12</v>
      </c>
      <c r="N14" s="207">
        <v>13</v>
      </c>
      <c r="O14" s="207">
        <v>14</v>
      </c>
      <c r="P14" s="207">
        <v>15</v>
      </c>
      <c r="Q14" s="207">
        <v>16</v>
      </c>
      <c r="R14" s="207">
        <v>17</v>
      </c>
      <c r="S14" s="207"/>
      <c r="T14" s="207">
        <v>18</v>
      </c>
      <c r="U14" s="207">
        <v>19</v>
      </c>
      <c r="V14" s="207">
        <v>20</v>
      </c>
      <c r="W14" s="207">
        <v>21</v>
      </c>
      <c r="X14" s="423">
        <v>22</v>
      </c>
      <c r="Y14" s="324">
        <v>21</v>
      </c>
      <c r="Z14" s="236">
        <v>22</v>
      </c>
      <c r="AA14" s="306"/>
      <c r="AB14" s="4"/>
      <c r="AC14" s="4"/>
      <c r="AD14" s="4"/>
      <c r="AE14" s="4"/>
      <c r="AF14" s="4"/>
      <c r="AG14" s="4"/>
      <c r="AH14" s="4"/>
      <c r="AI14" s="4"/>
      <c r="AJ14" s="646"/>
      <c r="AK14" s="646"/>
      <c r="AL14" s="4"/>
      <c r="AM14" s="4"/>
      <c r="AN14" s="4"/>
      <c r="AO14" s="4"/>
      <c r="AP14" s="4"/>
    </row>
    <row r="15" spans="1:42" s="65" customFormat="1" ht="19.5" hidden="1" customHeight="1" x14ac:dyDescent="0.3">
      <c r="A15" s="61"/>
      <c r="B15" s="145"/>
      <c r="C15" s="62" t="s">
        <v>49</v>
      </c>
      <c r="D15" s="146">
        <v>143064</v>
      </c>
      <c r="E15" s="146">
        <v>32064</v>
      </c>
      <c r="F15" s="146">
        <v>4133823.2829999998</v>
      </c>
      <c r="G15" s="146">
        <v>190272</v>
      </c>
      <c r="H15" s="146">
        <v>267064.717</v>
      </c>
      <c r="I15" s="146">
        <v>59640</v>
      </c>
      <c r="J15" s="146">
        <v>687457</v>
      </c>
      <c r="K15" s="146">
        <v>1568000</v>
      </c>
      <c r="L15" s="146">
        <v>4221252</v>
      </c>
      <c r="M15" s="146">
        <v>18504</v>
      </c>
      <c r="N15" s="146">
        <v>0</v>
      </c>
      <c r="O15" s="146">
        <v>3000</v>
      </c>
      <c r="P15" s="146">
        <v>0</v>
      </c>
      <c r="Q15" s="146">
        <v>93189</v>
      </c>
      <c r="R15" s="393">
        <f>SUM(D15:Q15)</f>
        <v>11417330</v>
      </c>
      <c r="S15" s="393"/>
      <c r="T15" s="146">
        <v>0</v>
      </c>
      <c r="U15" s="146">
        <v>0</v>
      </c>
      <c r="V15" s="146">
        <v>73318</v>
      </c>
      <c r="W15" s="146">
        <v>0</v>
      </c>
      <c r="X15" s="424">
        <f>SUM(T15:W15)</f>
        <v>73318</v>
      </c>
      <c r="Y15" s="325">
        <f>R15+X15</f>
        <v>11490648</v>
      </c>
      <c r="Z15" s="239">
        <v>7582194</v>
      </c>
      <c r="AA15" s="307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</row>
    <row r="16" spans="1:42" ht="20.100000000000001" hidden="1" customHeight="1" x14ac:dyDescent="0.25">
      <c r="A16" s="66"/>
      <c r="B16" s="131" t="s">
        <v>47</v>
      </c>
      <c r="C16" s="41" t="s">
        <v>76</v>
      </c>
      <c r="D16" s="69"/>
      <c r="E16" s="69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1"/>
      <c r="Y16" s="195">
        <f>SUM(D16:W16)</f>
        <v>0</v>
      </c>
      <c r="Z16" s="238"/>
      <c r="AA16" s="308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8"/>
    </row>
    <row r="17" spans="1:42" ht="20.100000000000001" hidden="1" customHeight="1" x14ac:dyDescent="0.25">
      <c r="A17" s="151"/>
      <c r="B17" s="27"/>
      <c r="C17" s="24" t="s">
        <v>18</v>
      </c>
      <c r="D17" s="146">
        <f>SUM(D15:D16)</f>
        <v>143064</v>
      </c>
      <c r="E17" s="146">
        <f t="shared" ref="E17:W17" si="0">SUM(E15:E16)</f>
        <v>32064</v>
      </c>
      <c r="F17" s="146">
        <f t="shared" si="0"/>
        <v>4133823.2829999998</v>
      </c>
      <c r="G17" s="146">
        <f t="shared" si="0"/>
        <v>190272</v>
      </c>
      <c r="H17" s="146">
        <f t="shared" si="0"/>
        <v>267064.717</v>
      </c>
      <c r="I17" s="146">
        <f t="shared" si="0"/>
        <v>59640</v>
      </c>
      <c r="J17" s="146">
        <f t="shared" si="0"/>
        <v>687457</v>
      </c>
      <c r="K17" s="146">
        <f t="shared" si="0"/>
        <v>1568000</v>
      </c>
      <c r="L17" s="146">
        <f t="shared" si="0"/>
        <v>4221252</v>
      </c>
      <c r="M17" s="146">
        <f t="shared" si="0"/>
        <v>18504</v>
      </c>
      <c r="N17" s="146">
        <f t="shared" si="0"/>
        <v>0</v>
      </c>
      <c r="O17" s="146">
        <f t="shared" si="0"/>
        <v>3000</v>
      </c>
      <c r="P17" s="146">
        <f t="shared" si="0"/>
        <v>0</v>
      </c>
      <c r="Q17" s="146">
        <f t="shared" si="0"/>
        <v>93189</v>
      </c>
      <c r="R17" s="146"/>
      <c r="S17" s="146"/>
      <c r="T17" s="146">
        <f t="shared" si="0"/>
        <v>0</v>
      </c>
      <c r="U17" s="146">
        <f t="shared" si="0"/>
        <v>0</v>
      </c>
      <c r="V17" s="146">
        <f t="shared" si="0"/>
        <v>73318</v>
      </c>
      <c r="W17" s="146">
        <f t="shared" si="0"/>
        <v>0</v>
      </c>
      <c r="X17" s="147"/>
      <c r="Y17" s="326">
        <f>SUM(Y15:Y16)</f>
        <v>11490648</v>
      </c>
      <c r="Z17" s="239">
        <f>SUM(Z15:Z16)</f>
        <v>7582194</v>
      </c>
      <c r="AA17" s="30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8"/>
    </row>
    <row r="18" spans="1:42" ht="24.95" hidden="1" customHeight="1" x14ac:dyDescent="0.25">
      <c r="A18" s="78">
        <v>1</v>
      </c>
      <c r="B18" s="131" t="s">
        <v>154</v>
      </c>
      <c r="C18" s="28" t="s">
        <v>201</v>
      </c>
      <c r="D18" s="520"/>
      <c r="E18" s="520"/>
      <c r="F18" s="520"/>
      <c r="G18" s="520"/>
      <c r="H18" s="520"/>
      <c r="I18" s="520"/>
      <c r="J18" s="520"/>
      <c r="K18" s="520">
        <f>-1715</f>
        <v>-1715</v>
      </c>
      <c r="L18" s="520">
        <f>1350+365</f>
        <v>1715</v>
      </c>
      <c r="M18" s="521"/>
      <c r="N18" s="520"/>
      <c r="O18" s="520"/>
      <c r="P18" s="520"/>
      <c r="Q18" s="520"/>
      <c r="R18" s="520">
        <f t="shared" ref="R18:R97" si="1">SUM(D18:Q18)</f>
        <v>0</v>
      </c>
      <c r="S18" s="520"/>
      <c r="T18" s="520"/>
      <c r="U18" s="520"/>
      <c r="V18" s="520"/>
      <c r="W18" s="520"/>
      <c r="X18" s="522">
        <f t="shared" ref="X18:X143" si="2">SUM(T18:W18)</f>
        <v>0</v>
      </c>
      <c r="Y18" s="523">
        <f t="shared" ref="Y18:Y143" si="3">R18+X18</f>
        <v>0</v>
      </c>
      <c r="Z18" s="524"/>
      <c r="AA18" s="308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8"/>
    </row>
    <row r="19" spans="1:42" ht="24.95" hidden="1" customHeight="1" x14ac:dyDescent="0.25">
      <c r="A19" s="78">
        <v>2</v>
      </c>
      <c r="B19" s="131" t="s">
        <v>200</v>
      </c>
      <c r="C19" s="28" t="s">
        <v>202</v>
      </c>
      <c r="D19" s="520"/>
      <c r="E19" s="520"/>
      <c r="F19" s="520"/>
      <c r="G19" s="520"/>
      <c r="H19" s="520"/>
      <c r="I19" s="520"/>
      <c r="J19" s="520"/>
      <c r="K19" s="520">
        <f>922.75</f>
        <v>922.75</v>
      </c>
      <c r="L19" s="520"/>
      <c r="M19" s="520"/>
      <c r="N19" s="520"/>
      <c r="O19" s="520"/>
      <c r="P19" s="520"/>
      <c r="Q19" s="520"/>
      <c r="R19" s="520">
        <f t="shared" si="1"/>
        <v>922.75</v>
      </c>
      <c r="S19" s="520"/>
      <c r="T19" s="520"/>
      <c r="U19" s="520"/>
      <c r="V19" s="520"/>
      <c r="W19" s="520"/>
      <c r="X19" s="522">
        <f t="shared" si="2"/>
        <v>0</v>
      </c>
      <c r="Y19" s="523">
        <f t="shared" si="3"/>
        <v>922.75</v>
      </c>
      <c r="Z19" s="524"/>
      <c r="AA19" s="308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8"/>
    </row>
    <row r="20" spans="1:42" ht="24.95" hidden="1" customHeight="1" x14ac:dyDescent="0.25">
      <c r="A20" s="78">
        <v>3</v>
      </c>
      <c r="B20" s="131" t="s">
        <v>203</v>
      </c>
      <c r="C20" s="28" t="s">
        <v>204</v>
      </c>
      <c r="D20" s="520"/>
      <c r="E20" s="520"/>
      <c r="F20" s="520"/>
      <c r="G20" s="520"/>
      <c r="H20" s="520"/>
      <c r="I20" s="520"/>
      <c r="J20" s="520"/>
      <c r="K20" s="520"/>
      <c r="L20" s="520"/>
      <c r="M20" s="520">
        <f>1492+403</f>
        <v>1895</v>
      </c>
      <c r="N20" s="520"/>
      <c r="O20" s="520"/>
      <c r="P20" s="520"/>
      <c r="Q20" s="520"/>
      <c r="R20" s="520">
        <f t="shared" si="1"/>
        <v>1895</v>
      </c>
      <c r="S20" s="520"/>
      <c r="T20" s="520"/>
      <c r="U20" s="520"/>
      <c r="V20" s="520"/>
      <c r="W20" s="520"/>
      <c r="X20" s="522">
        <f t="shared" si="2"/>
        <v>0</v>
      </c>
      <c r="Y20" s="523">
        <f t="shared" si="3"/>
        <v>1895</v>
      </c>
      <c r="Z20" s="524">
        <f>-1895</f>
        <v>-1895</v>
      </c>
      <c r="AA20" s="308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8"/>
    </row>
    <row r="21" spans="1:42" ht="24.95" hidden="1" customHeight="1" x14ac:dyDescent="0.25">
      <c r="A21" s="78">
        <v>4</v>
      </c>
      <c r="B21" s="131" t="s">
        <v>205</v>
      </c>
      <c r="C21" s="28" t="s">
        <v>206</v>
      </c>
      <c r="D21" s="520"/>
      <c r="E21" s="520"/>
      <c r="F21" s="520"/>
      <c r="G21" s="520"/>
      <c r="H21" s="520"/>
      <c r="I21" s="520"/>
      <c r="J21" s="520"/>
      <c r="K21" s="520">
        <f>-20250</f>
        <v>-20250</v>
      </c>
      <c r="L21" s="520"/>
      <c r="M21" s="520"/>
      <c r="N21" s="520"/>
      <c r="O21" s="520"/>
      <c r="P21" s="520"/>
      <c r="Q21" s="520"/>
      <c r="R21" s="520">
        <f t="shared" si="1"/>
        <v>-20250</v>
      </c>
      <c r="S21" s="520"/>
      <c r="T21" s="520"/>
      <c r="U21" s="520"/>
      <c r="V21" s="520"/>
      <c r="W21" s="520"/>
      <c r="X21" s="522">
        <f t="shared" si="2"/>
        <v>0</v>
      </c>
      <c r="Y21" s="523">
        <f t="shared" si="3"/>
        <v>-20250</v>
      </c>
      <c r="Z21" s="524">
        <f>20250</f>
        <v>20250</v>
      </c>
      <c r="AA21" s="308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8"/>
    </row>
    <row r="22" spans="1:42" ht="24.95" hidden="1" customHeight="1" x14ac:dyDescent="0.25">
      <c r="A22" s="78">
        <v>5</v>
      </c>
      <c r="B22" s="515" t="s">
        <v>209</v>
      </c>
      <c r="C22" s="28" t="s">
        <v>210</v>
      </c>
      <c r="D22" s="520"/>
      <c r="E22" s="520"/>
      <c r="F22" s="520"/>
      <c r="G22" s="520"/>
      <c r="H22" s="520"/>
      <c r="I22" s="520"/>
      <c r="J22" s="520"/>
      <c r="K22" s="520">
        <f>5625</f>
        <v>5625</v>
      </c>
      <c r="L22" s="520"/>
      <c r="M22" s="520"/>
      <c r="N22" s="520"/>
      <c r="O22" s="520"/>
      <c r="P22" s="520"/>
      <c r="Q22" s="520"/>
      <c r="R22" s="520">
        <f t="shared" si="1"/>
        <v>5625</v>
      </c>
      <c r="S22" s="520"/>
      <c r="T22" s="520"/>
      <c r="U22" s="520"/>
      <c r="V22" s="520"/>
      <c r="W22" s="520"/>
      <c r="X22" s="522">
        <f t="shared" si="2"/>
        <v>0</v>
      </c>
      <c r="Y22" s="523">
        <f t="shared" si="3"/>
        <v>5625</v>
      </c>
      <c r="Z22" s="524">
        <f>-5625</f>
        <v>-5625</v>
      </c>
      <c r="AA22" s="308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8"/>
    </row>
    <row r="23" spans="1:42" ht="24.95" hidden="1" customHeight="1" x14ac:dyDescent="0.25">
      <c r="A23" s="78">
        <v>6</v>
      </c>
      <c r="B23" s="131" t="s">
        <v>211</v>
      </c>
      <c r="C23" s="28" t="s">
        <v>215</v>
      </c>
      <c r="D23" s="520"/>
      <c r="E23" s="520"/>
      <c r="F23" s="520">
        <f>-401-109</f>
        <v>-510</v>
      </c>
      <c r="G23" s="520"/>
      <c r="H23" s="520"/>
      <c r="I23" s="520"/>
      <c r="J23" s="520"/>
      <c r="K23" s="520"/>
      <c r="L23" s="520">
        <f>401+109</f>
        <v>510</v>
      </c>
      <c r="M23" s="520"/>
      <c r="N23" s="520"/>
      <c r="O23" s="520"/>
      <c r="P23" s="520"/>
      <c r="Q23" s="520"/>
      <c r="R23" s="520">
        <f t="shared" si="1"/>
        <v>0</v>
      </c>
      <c r="S23" s="520"/>
      <c r="T23" s="520"/>
      <c r="U23" s="520"/>
      <c r="V23" s="520"/>
      <c r="W23" s="520"/>
      <c r="X23" s="522">
        <f t="shared" si="2"/>
        <v>0</v>
      </c>
      <c r="Y23" s="523">
        <f t="shared" si="3"/>
        <v>0</v>
      </c>
      <c r="Z23" s="524"/>
      <c r="AA23" s="308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8"/>
    </row>
    <row r="24" spans="1:42" ht="24.95" hidden="1" customHeight="1" x14ac:dyDescent="0.25">
      <c r="A24" s="78">
        <v>7</v>
      </c>
      <c r="B24" s="515" t="s">
        <v>212</v>
      </c>
      <c r="C24" s="28" t="s">
        <v>216</v>
      </c>
      <c r="D24" s="520">
        <f>3038</f>
        <v>3038</v>
      </c>
      <c r="E24" s="520">
        <f>525+5+4</f>
        <v>534</v>
      </c>
      <c r="F24" s="520">
        <f>53+50+1100+325</f>
        <v>1528</v>
      </c>
      <c r="G24" s="520"/>
      <c r="H24" s="520"/>
      <c r="I24" s="520"/>
      <c r="J24" s="520">
        <f>400</f>
        <v>400</v>
      </c>
      <c r="K24" s="520">
        <f>-5500</f>
        <v>-5500</v>
      </c>
      <c r="L24" s="520"/>
      <c r="M24" s="520"/>
      <c r="N24" s="520"/>
      <c r="O24" s="520"/>
      <c r="P24" s="520"/>
      <c r="Q24" s="520"/>
      <c r="R24" s="520">
        <f t="shared" si="1"/>
        <v>0</v>
      </c>
      <c r="S24" s="520"/>
      <c r="T24" s="520"/>
      <c r="U24" s="520"/>
      <c r="V24" s="520"/>
      <c r="W24" s="520"/>
      <c r="X24" s="522">
        <f t="shared" si="2"/>
        <v>0</v>
      </c>
      <c r="Y24" s="523">
        <f t="shared" si="3"/>
        <v>0</v>
      </c>
      <c r="Z24" s="524"/>
      <c r="AA24" s="308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8"/>
    </row>
    <row r="25" spans="1:42" ht="24.95" hidden="1" customHeight="1" x14ac:dyDescent="0.25">
      <c r="A25" s="78">
        <v>8</v>
      </c>
      <c r="B25" s="131" t="s">
        <v>213</v>
      </c>
      <c r="C25" s="28" t="s">
        <v>217</v>
      </c>
      <c r="D25" s="520">
        <f>200</f>
        <v>200</v>
      </c>
      <c r="E25" s="520">
        <f>70+50</f>
        <v>120</v>
      </c>
      <c r="F25" s="520">
        <f>394+106</f>
        <v>500</v>
      </c>
      <c r="G25" s="520"/>
      <c r="H25" s="520"/>
      <c r="I25" s="520"/>
      <c r="J25" s="520">
        <f>100</f>
        <v>100</v>
      </c>
      <c r="K25" s="520">
        <f>-1000</f>
        <v>-1000</v>
      </c>
      <c r="L25" s="520">
        <f>63+17</f>
        <v>80</v>
      </c>
      <c r="M25" s="520"/>
      <c r="N25" s="520"/>
      <c r="O25" s="520"/>
      <c r="P25" s="520"/>
      <c r="Q25" s="520"/>
      <c r="R25" s="520">
        <f t="shared" si="1"/>
        <v>0</v>
      </c>
      <c r="S25" s="520"/>
      <c r="T25" s="520"/>
      <c r="U25" s="520"/>
      <c r="V25" s="520"/>
      <c r="W25" s="520"/>
      <c r="X25" s="522">
        <f t="shared" si="2"/>
        <v>0</v>
      </c>
      <c r="Y25" s="523">
        <f t="shared" si="3"/>
        <v>0</v>
      </c>
      <c r="Z25" s="524"/>
      <c r="AA25" s="308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8"/>
    </row>
    <row r="26" spans="1:42" ht="24.95" hidden="1" customHeight="1" x14ac:dyDescent="0.25">
      <c r="A26" s="78">
        <v>9</v>
      </c>
      <c r="B26" s="515" t="s">
        <v>214</v>
      </c>
      <c r="C26" s="28" t="s">
        <v>218</v>
      </c>
      <c r="D26" s="520"/>
      <c r="E26" s="520"/>
      <c r="F26" s="520">
        <f>1181+319</f>
        <v>1500</v>
      </c>
      <c r="G26" s="520"/>
      <c r="H26" s="520"/>
      <c r="I26" s="520"/>
      <c r="J26" s="520"/>
      <c r="K26" s="520">
        <f>-2000</f>
        <v>-2000</v>
      </c>
      <c r="L26" s="520">
        <f>394+106</f>
        <v>500</v>
      </c>
      <c r="M26" s="520"/>
      <c r="N26" s="520"/>
      <c r="O26" s="520"/>
      <c r="P26" s="520"/>
      <c r="Q26" s="520"/>
      <c r="R26" s="520">
        <f t="shared" si="1"/>
        <v>0</v>
      </c>
      <c r="S26" s="520"/>
      <c r="T26" s="520"/>
      <c r="U26" s="520"/>
      <c r="V26" s="520"/>
      <c r="W26" s="520"/>
      <c r="X26" s="522">
        <f t="shared" ref="X26:X31" si="4">SUM(T26:W26)</f>
        <v>0</v>
      </c>
      <c r="Y26" s="523">
        <f t="shared" ref="Y26:Y31" si="5">R26+X26</f>
        <v>0</v>
      </c>
      <c r="Z26" s="524"/>
      <c r="AA26" s="308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8"/>
    </row>
    <row r="27" spans="1:42" ht="24.95" hidden="1" customHeight="1" x14ac:dyDescent="0.25">
      <c r="A27" s="78">
        <v>10</v>
      </c>
      <c r="B27" s="515" t="s">
        <v>219</v>
      </c>
      <c r="C27" s="28" t="s">
        <v>220</v>
      </c>
      <c r="D27" s="520"/>
      <c r="E27" s="520"/>
      <c r="F27" s="520"/>
      <c r="G27" s="520"/>
      <c r="H27" s="520"/>
      <c r="I27" s="520"/>
      <c r="J27" s="520"/>
      <c r="K27" s="520">
        <f>-40</f>
        <v>-40</v>
      </c>
      <c r="L27" s="520">
        <f>31+9</f>
        <v>40</v>
      </c>
      <c r="M27" s="520"/>
      <c r="N27" s="520"/>
      <c r="O27" s="520"/>
      <c r="P27" s="520"/>
      <c r="Q27" s="520"/>
      <c r="R27" s="520">
        <f t="shared" si="1"/>
        <v>0</v>
      </c>
      <c r="S27" s="520"/>
      <c r="T27" s="520"/>
      <c r="U27" s="520"/>
      <c r="V27" s="520"/>
      <c r="W27" s="520"/>
      <c r="X27" s="522">
        <f t="shared" si="4"/>
        <v>0</v>
      </c>
      <c r="Y27" s="523">
        <f t="shared" si="5"/>
        <v>0</v>
      </c>
      <c r="Z27" s="524"/>
      <c r="AA27" s="308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8"/>
    </row>
    <row r="28" spans="1:42" ht="24.95" hidden="1" customHeight="1" x14ac:dyDescent="0.25">
      <c r="A28" s="78">
        <v>11</v>
      </c>
      <c r="B28" s="515" t="s">
        <v>221</v>
      </c>
      <c r="C28" s="28" t="s">
        <v>222</v>
      </c>
      <c r="D28" s="520"/>
      <c r="E28" s="520"/>
      <c r="F28" s="520"/>
      <c r="G28" s="520"/>
      <c r="H28" s="520"/>
      <c r="I28" s="520"/>
      <c r="J28" s="520"/>
      <c r="K28" s="520">
        <f>675</f>
        <v>675</v>
      </c>
      <c r="L28" s="520"/>
      <c r="M28" s="520"/>
      <c r="N28" s="520"/>
      <c r="O28" s="520"/>
      <c r="P28" s="520"/>
      <c r="Q28" s="520"/>
      <c r="R28" s="520">
        <f t="shared" si="1"/>
        <v>675</v>
      </c>
      <c r="S28" s="520"/>
      <c r="T28" s="520"/>
      <c r="U28" s="520"/>
      <c r="V28" s="520"/>
      <c r="W28" s="520"/>
      <c r="X28" s="522">
        <f t="shared" si="4"/>
        <v>0</v>
      </c>
      <c r="Y28" s="523">
        <f t="shared" si="5"/>
        <v>675</v>
      </c>
      <c r="Z28" s="524"/>
      <c r="AA28" s="308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8"/>
    </row>
    <row r="29" spans="1:42" ht="24.95" hidden="1" customHeight="1" x14ac:dyDescent="0.25">
      <c r="A29" s="78">
        <v>12</v>
      </c>
      <c r="B29" s="515" t="s">
        <v>223</v>
      </c>
      <c r="C29" s="28" t="s">
        <v>225</v>
      </c>
      <c r="D29" s="520"/>
      <c r="E29" s="520"/>
      <c r="F29" s="520">
        <f>432</f>
        <v>432</v>
      </c>
      <c r="G29" s="520"/>
      <c r="H29" s="520"/>
      <c r="I29" s="520"/>
      <c r="J29" s="520"/>
      <c r="K29" s="520">
        <f>1600</f>
        <v>1600</v>
      </c>
      <c r="L29" s="520"/>
      <c r="M29" s="520"/>
      <c r="N29" s="520"/>
      <c r="O29" s="520"/>
      <c r="P29" s="520"/>
      <c r="Q29" s="520"/>
      <c r="R29" s="520">
        <f t="shared" si="1"/>
        <v>2032</v>
      </c>
      <c r="S29" s="520"/>
      <c r="T29" s="520"/>
      <c r="U29" s="520"/>
      <c r="V29" s="520"/>
      <c r="W29" s="520"/>
      <c r="X29" s="522">
        <f t="shared" si="4"/>
        <v>0</v>
      </c>
      <c r="Y29" s="523">
        <f t="shared" si="5"/>
        <v>2032</v>
      </c>
      <c r="Z29" s="524"/>
      <c r="AA29" s="308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8"/>
    </row>
    <row r="30" spans="1:42" ht="24.95" hidden="1" customHeight="1" x14ac:dyDescent="0.25">
      <c r="A30" s="78">
        <v>13</v>
      </c>
      <c r="B30" s="515" t="s">
        <v>226</v>
      </c>
      <c r="C30" s="28" t="s">
        <v>227</v>
      </c>
      <c r="D30" s="520"/>
      <c r="E30" s="520"/>
      <c r="F30" s="520"/>
      <c r="G30" s="520"/>
      <c r="H30" s="520"/>
      <c r="I30" s="520"/>
      <c r="J30" s="520"/>
      <c r="K30" s="520"/>
      <c r="L30" s="520"/>
      <c r="M30" s="520">
        <f>748+202</f>
        <v>950</v>
      </c>
      <c r="N30" s="520"/>
      <c r="O30" s="520"/>
      <c r="P30" s="520"/>
      <c r="Q30" s="520"/>
      <c r="R30" s="520">
        <f t="shared" si="1"/>
        <v>950</v>
      </c>
      <c r="S30" s="520"/>
      <c r="T30" s="520"/>
      <c r="U30" s="520"/>
      <c r="V30" s="520"/>
      <c r="W30" s="520"/>
      <c r="X30" s="522">
        <f t="shared" si="4"/>
        <v>0</v>
      </c>
      <c r="Y30" s="523">
        <f t="shared" si="5"/>
        <v>950</v>
      </c>
      <c r="Z30" s="524"/>
      <c r="AA30" s="308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8"/>
    </row>
    <row r="31" spans="1:42" ht="24.95" hidden="1" customHeight="1" x14ac:dyDescent="0.25">
      <c r="A31" s="78">
        <v>14</v>
      </c>
      <c r="B31" s="515" t="s">
        <v>228</v>
      </c>
      <c r="C31" s="28" t="s">
        <v>229</v>
      </c>
      <c r="D31" s="520"/>
      <c r="E31" s="520"/>
      <c r="F31" s="520">
        <f>690+997</f>
        <v>1687</v>
      </c>
      <c r="G31" s="520"/>
      <c r="H31" s="520"/>
      <c r="I31" s="520"/>
      <c r="J31" s="520"/>
      <c r="K31" s="520">
        <f>-3488</f>
        <v>-3488</v>
      </c>
      <c r="L31" s="520"/>
      <c r="M31" s="520"/>
      <c r="N31" s="520"/>
      <c r="O31" s="520"/>
      <c r="P31" s="520"/>
      <c r="Q31" s="520"/>
      <c r="R31" s="520">
        <f t="shared" si="1"/>
        <v>-1801</v>
      </c>
      <c r="S31" s="520"/>
      <c r="T31" s="520"/>
      <c r="U31" s="520"/>
      <c r="V31" s="520"/>
      <c r="W31" s="520"/>
      <c r="X31" s="522">
        <f t="shared" si="4"/>
        <v>0</v>
      </c>
      <c r="Y31" s="523">
        <f t="shared" si="5"/>
        <v>-1801</v>
      </c>
      <c r="Z31" s="524">
        <f>1801</f>
        <v>1801</v>
      </c>
      <c r="AA31" s="308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8"/>
    </row>
    <row r="32" spans="1:42" ht="24.95" hidden="1" customHeight="1" x14ac:dyDescent="0.25">
      <c r="A32" s="78">
        <v>15</v>
      </c>
      <c r="B32" s="515" t="s">
        <v>233</v>
      </c>
      <c r="C32" s="28" t="s">
        <v>232</v>
      </c>
      <c r="D32" s="520">
        <f>91</f>
        <v>91</v>
      </c>
      <c r="E32" s="520">
        <f>16</f>
        <v>16</v>
      </c>
      <c r="F32" s="520"/>
      <c r="G32" s="520"/>
      <c r="H32" s="520"/>
      <c r="I32" s="520"/>
      <c r="J32" s="520"/>
      <c r="K32" s="520"/>
      <c r="L32" s="520"/>
      <c r="M32" s="520"/>
      <c r="N32" s="520"/>
      <c r="O32" s="520"/>
      <c r="P32" s="520"/>
      <c r="Q32" s="520"/>
      <c r="R32" s="520">
        <f t="shared" si="1"/>
        <v>107</v>
      </c>
      <c r="S32" s="520"/>
      <c r="T32" s="520"/>
      <c r="U32" s="520"/>
      <c r="V32" s="520"/>
      <c r="W32" s="520"/>
      <c r="X32" s="522">
        <f t="shared" si="2"/>
        <v>0</v>
      </c>
      <c r="Y32" s="523">
        <f t="shared" si="3"/>
        <v>107</v>
      </c>
      <c r="Z32" s="524">
        <f>-107</f>
        <v>-107</v>
      </c>
      <c r="AA32" s="308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8"/>
    </row>
    <row r="33" spans="1:42" ht="24.95" hidden="1" customHeight="1" x14ac:dyDescent="0.25">
      <c r="A33" s="78">
        <v>16</v>
      </c>
      <c r="B33" s="515" t="s">
        <v>234</v>
      </c>
      <c r="C33" s="28" t="s">
        <v>235</v>
      </c>
      <c r="D33" s="520"/>
      <c r="E33" s="520"/>
      <c r="F33" s="520"/>
      <c r="G33" s="520"/>
      <c r="H33" s="520"/>
      <c r="I33" s="520"/>
      <c r="J33" s="520">
        <f>50</f>
        <v>50</v>
      </c>
      <c r="K33" s="520">
        <f>-50</f>
        <v>-50</v>
      </c>
      <c r="L33" s="520"/>
      <c r="M33" s="520"/>
      <c r="N33" s="520"/>
      <c r="O33" s="520"/>
      <c r="P33" s="520"/>
      <c r="Q33" s="520"/>
      <c r="R33" s="520">
        <f t="shared" si="1"/>
        <v>0</v>
      </c>
      <c r="S33" s="520"/>
      <c r="T33" s="520"/>
      <c r="U33" s="520"/>
      <c r="V33" s="520"/>
      <c r="W33" s="520"/>
      <c r="X33" s="522">
        <f t="shared" si="2"/>
        <v>0</v>
      </c>
      <c r="Y33" s="523">
        <f t="shared" si="3"/>
        <v>0</v>
      </c>
      <c r="Z33" s="524"/>
      <c r="AA33" s="308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8"/>
    </row>
    <row r="34" spans="1:42" ht="24.95" hidden="1" customHeight="1" x14ac:dyDescent="0.25">
      <c r="A34" s="78">
        <v>17</v>
      </c>
      <c r="B34" s="515" t="s">
        <v>255</v>
      </c>
      <c r="C34" s="28" t="s">
        <v>256</v>
      </c>
      <c r="D34" s="520"/>
      <c r="E34" s="520"/>
      <c r="F34" s="520"/>
      <c r="G34" s="520"/>
      <c r="H34" s="520"/>
      <c r="I34" s="520"/>
      <c r="J34" s="520"/>
      <c r="K34" s="520"/>
      <c r="L34" s="520">
        <f>-8000-2160</f>
        <v>-10160</v>
      </c>
      <c r="M34" s="520"/>
      <c r="N34" s="520"/>
      <c r="O34" s="520"/>
      <c r="P34" s="520"/>
      <c r="Q34" s="520"/>
      <c r="R34" s="520">
        <f t="shared" si="1"/>
        <v>-10160</v>
      </c>
      <c r="S34" s="520"/>
      <c r="T34" s="520"/>
      <c r="U34" s="520"/>
      <c r="V34" s="520"/>
      <c r="W34" s="520"/>
      <c r="X34" s="522">
        <f t="shared" si="2"/>
        <v>0</v>
      </c>
      <c r="Y34" s="523">
        <f t="shared" si="3"/>
        <v>-10160</v>
      </c>
      <c r="Z34" s="524">
        <f>10160</f>
        <v>10160</v>
      </c>
      <c r="AA34" s="308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8"/>
    </row>
    <row r="35" spans="1:42" ht="24.95" hidden="1" customHeight="1" x14ac:dyDescent="0.25">
      <c r="A35" s="78">
        <v>18</v>
      </c>
      <c r="B35" s="515" t="s">
        <v>258</v>
      </c>
      <c r="C35" s="28" t="s">
        <v>259</v>
      </c>
      <c r="D35" s="520">
        <f>158</f>
        <v>158</v>
      </c>
      <c r="E35" s="520">
        <f>42+28</f>
        <v>70</v>
      </c>
      <c r="F35" s="520">
        <f>-180-48</f>
        <v>-228</v>
      </c>
      <c r="G35" s="520"/>
      <c r="H35" s="520"/>
      <c r="I35" s="520"/>
      <c r="J35" s="520"/>
      <c r="K35" s="520"/>
      <c r="L35" s="520"/>
      <c r="M35" s="520"/>
      <c r="N35" s="520"/>
      <c r="O35" s="520"/>
      <c r="P35" s="520"/>
      <c r="Q35" s="520"/>
      <c r="R35" s="520">
        <f t="shared" si="1"/>
        <v>0</v>
      </c>
      <c r="S35" s="520"/>
      <c r="T35" s="520"/>
      <c r="U35" s="520"/>
      <c r="V35" s="520"/>
      <c r="W35" s="520"/>
      <c r="X35" s="522">
        <f t="shared" si="2"/>
        <v>0</v>
      </c>
      <c r="Y35" s="523">
        <f t="shared" si="3"/>
        <v>0</v>
      </c>
      <c r="Z35" s="524"/>
      <c r="AA35" s="308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8"/>
    </row>
    <row r="36" spans="1:42" ht="24.95" hidden="1" customHeight="1" x14ac:dyDescent="0.25">
      <c r="A36" s="78">
        <v>19</v>
      </c>
      <c r="B36" s="515" t="s">
        <v>240</v>
      </c>
      <c r="C36" s="28" t="s">
        <v>246</v>
      </c>
      <c r="D36" s="520"/>
      <c r="E36" s="520"/>
      <c r="F36" s="520">
        <f>-1440.21</f>
        <v>-1440.21</v>
      </c>
      <c r="G36" s="520"/>
      <c r="H36" s="520"/>
      <c r="I36" s="520"/>
      <c r="J36" s="520"/>
      <c r="K36" s="520"/>
      <c r="L36" s="520"/>
      <c r="M36" s="520"/>
      <c r="N36" s="520"/>
      <c r="O36" s="520"/>
      <c r="P36" s="520"/>
      <c r="Q36" s="520"/>
      <c r="R36" s="520">
        <f t="shared" si="1"/>
        <v>-1440.21</v>
      </c>
      <c r="S36" s="520"/>
      <c r="T36" s="520"/>
      <c r="U36" s="520"/>
      <c r="V36" s="520"/>
      <c r="W36" s="520"/>
      <c r="X36" s="522">
        <f t="shared" si="2"/>
        <v>0</v>
      </c>
      <c r="Y36" s="523">
        <f t="shared" si="3"/>
        <v>-1440.21</v>
      </c>
      <c r="Z36" s="524">
        <f>1440.21</f>
        <v>1440.21</v>
      </c>
      <c r="AA36" s="308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8"/>
    </row>
    <row r="37" spans="1:42" ht="24.95" hidden="1" customHeight="1" x14ac:dyDescent="0.25">
      <c r="A37" s="78">
        <v>20</v>
      </c>
      <c r="B37" s="132" t="s">
        <v>240</v>
      </c>
      <c r="C37" s="28" t="s">
        <v>247</v>
      </c>
      <c r="D37" s="520"/>
      <c r="E37" s="520"/>
      <c r="F37" s="520">
        <f>-1178.886</f>
        <v>-1178.886</v>
      </c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520"/>
      <c r="R37" s="520">
        <f t="shared" si="1"/>
        <v>-1178.886</v>
      </c>
      <c r="S37" s="520"/>
      <c r="T37" s="520"/>
      <c r="U37" s="520"/>
      <c r="V37" s="520"/>
      <c r="W37" s="520"/>
      <c r="X37" s="522">
        <f t="shared" si="2"/>
        <v>0</v>
      </c>
      <c r="Y37" s="523">
        <f t="shared" si="3"/>
        <v>-1178.886</v>
      </c>
      <c r="Z37" s="524">
        <f>1178.886</f>
        <v>1178.886</v>
      </c>
      <c r="AA37" s="308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8"/>
    </row>
    <row r="38" spans="1:42" ht="24.95" hidden="1" customHeight="1" x14ac:dyDescent="0.25">
      <c r="A38" s="78">
        <v>21</v>
      </c>
      <c r="B38" s="132" t="s">
        <v>240</v>
      </c>
      <c r="C38" s="28" t="s">
        <v>241</v>
      </c>
      <c r="D38" s="520"/>
      <c r="E38" s="520"/>
      <c r="F38" s="520">
        <f>-235.948</f>
        <v>-235.94800000000001</v>
      </c>
      <c r="G38" s="520"/>
      <c r="H38" s="520"/>
      <c r="I38" s="520"/>
      <c r="J38" s="520"/>
      <c r="K38" s="520"/>
      <c r="L38" s="520"/>
      <c r="M38" s="520"/>
      <c r="N38" s="520"/>
      <c r="O38" s="520"/>
      <c r="P38" s="520"/>
      <c r="Q38" s="520"/>
      <c r="R38" s="520">
        <f t="shared" si="1"/>
        <v>-235.94800000000001</v>
      </c>
      <c r="S38" s="520"/>
      <c r="T38" s="520"/>
      <c r="U38" s="520"/>
      <c r="V38" s="520"/>
      <c r="W38" s="520"/>
      <c r="X38" s="522">
        <f t="shared" si="2"/>
        <v>0</v>
      </c>
      <c r="Y38" s="523">
        <f t="shared" si="3"/>
        <v>-235.94800000000001</v>
      </c>
      <c r="Z38" s="524">
        <f>235.948</f>
        <v>235.94800000000001</v>
      </c>
      <c r="AA38" s="308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8"/>
    </row>
    <row r="39" spans="1:42" ht="24.95" hidden="1" customHeight="1" x14ac:dyDescent="0.25">
      <c r="A39" s="78">
        <v>22</v>
      </c>
      <c r="B39" s="132" t="s">
        <v>242</v>
      </c>
      <c r="C39" s="28" t="s">
        <v>248</v>
      </c>
      <c r="D39" s="520"/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0"/>
      <c r="P39" s="520"/>
      <c r="Q39" s="520"/>
      <c r="R39" s="520">
        <f t="shared" si="1"/>
        <v>0</v>
      </c>
      <c r="S39" s="520"/>
      <c r="T39" s="520"/>
      <c r="U39" s="520"/>
      <c r="V39" s="520"/>
      <c r="W39" s="520"/>
      <c r="X39" s="522">
        <f t="shared" si="2"/>
        <v>0</v>
      </c>
      <c r="Y39" s="523">
        <f t="shared" si="3"/>
        <v>0</v>
      </c>
      <c r="Z39" s="524">
        <f>2989.619</f>
        <v>2989.6190000000001</v>
      </c>
      <c r="AA39" s="308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8"/>
    </row>
    <row r="40" spans="1:42" ht="24.95" hidden="1" customHeight="1" x14ac:dyDescent="0.25">
      <c r="A40" s="78">
        <v>23</v>
      </c>
      <c r="B40" s="132" t="s">
        <v>242</v>
      </c>
      <c r="C40" s="28" t="s">
        <v>249</v>
      </c>
      <c r="D40" s="520"/>
      <c r="E40" s="520"/>
      <c r="F40" s="520"/>
      <c r="G40" s="520"/>
      <c r="H40" s="520"/>
      <c r="I40" s="520"/>
      <c r="J40" s="520"/>
      <c r="K40" s="520"/>
      <c r="L40" s="520"/>
      <c r="M40" s="520"/>
      <c r="N40" s="520"/>
      <c r="O40" s="520"/>
      <c r="P40" s="520"/>
      <c r="Q40" s="520"/>
      <c r="R40" s="520">
        <f t="shared" si="1"/>
        <v>0</v>
      </c>
      <c r="S40" s="520"/>
      <c r="T40" s="520"/>
      <c r="U40" s="520"/>
      <c r="V40" s="520"/>
      <c r="W40" s="520"/>
      <c r="X40" s="522">
        <f t="shared" si="2"/>
        <v>0</v>
      </c>
      <c r="Y40" s="523">
        <f t="shared" si="3"/>
        <v>0</v>
      </c>
      <c r="Z40" s="524">
        <f>3433.406</f>
        <v>3433.4059999999999</v>
      </c>
      <c r="AA40" s="308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8"/>
    </row>
    <row r="41" spans="1:42" ht="24.95" hidden="1" customHeight="1" x14ac:dyDescent="0.25">
      <c r="A41" s="78">
        <v>24</v>
      </c>
      <c r="B41" s="132" t="s">
        <v>242</v>
      </c>
      <c r="C41" s="28" t="s">
        <v>243</v>
      </c>
      <c r="D41" s="520"/>
      <c r="E41" s="520"/>
      <c r="F41" s="520"/>
      <c r="G41" s="520"/>
      <c r="H41" s="520"/>
      <c r="I41" s="520"/>
      <c r="J41" s="520"/>
      <c r="K41" s="520"/>
      <c r="L41" s="520"/>
      <c r="M41" s="520"/>
      <c r="N41" s="520"/>
      <c r="O41" s="520"/>
      <c r="P41" s="520"/>
      <c r="Q41" s="520"/>
      <c r="R41" s="520">
        <f t="shared" si="1"/>
        <v>0</v>
      </c>
      <c r="S41" s="520"/>
      <c r="T41" s="520"/>
      <c r="U41" s="520"/>
      <c r="V41" s="520"/>
      <c r="W41" s="520"/>
      <c r="X41" s="522">
        <f t="shared" si="2"/>
        <v>0</v>
      </c>
      <c r="Y41" s="523">
        <f t="shared" si="3"/>
        <v>0</v>
      </c>
      <c r="Z41" s="524">
        <f>578.62</f>
        <v>578.62</v>
      </c>
      <c r="AA41" s="308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8"/>
    </row>
    <row r="42" spans="1:42" ht="24.95" hidden="1" customHeight="1" x14ac:dyDescent="0.25">
      <c r="A42" s="78">
        <v>25</v>
      </c>
      <c r="B42" s="132" t="s">
        <v>250</v>
      </c>
      <c r="C42" s="28" t="s">
        <v>252</v>
      </c>
      <c r="D42" s="520"/>
      <c r="E42" s="520"/>
      <c r="F42" s="520">
        <f>-7337.331</f>
        <v>-7337.3310000000001</v>
      </c>
      <c r="G42" s="520"/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>
        <f t="shared" si="1"/>
        <v>-7337.3310000000001</v>
      </c>
      <c r="S42" s="520"/>
      <c r="T42" s="520"/>
      <c r="U42" s="520"/>
      <c r="V42" s="520"/>
      <c r="W42" s="520"/>
      <c r="X42" s="522">
        <f t="shared" si="2"/>
        <v>0</v>
      </c>
      <c r="Y42" s="523">
        <f t="shared" si="3"/>
        <v>-7337.3310000000001</v>
      </c>
      <c r="Z42" s="524">
        <f>7337.331</f>
        <v>7337.3310000000001</v>
      </c>
      <c r="AA42" s="308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8"/>
    </row>
    <row r="43" spans="1:42" ht="24.95" hidden="1" customHeight="1" x14ac:dyDescent="0.25">
      <c r="A43" s="78">
        <v>26</v>
      </c>
      <c r="B43" s="218" t="s">
        <v>251</v>
      </c>
      <c r="C43" s="28" t="s">
        <v>253</v>
      </c>
      <c r="D43" s="520"/>
      <c r="E43" s="520"/>
      <c r="F43" s="520"/>
      <c r="G43" s="520"/>
      <c r="H43" s="520"/>
      <c r="I43" s="520"/>
      <c r="J43" s="520"/>
      <c r="K43" s="520"/>
      <c r="L43" s="520"/>
      <c r="M43" s="520"/>
      <c r="N43" s="520"/>
      <c r="O43" s="520"/>
      <c r="P43" s="520"/>
      <c r="Q43" s="520"/>
      <c r="R43" s="520">
        <f t="shared" si="1"/>
        <v>0</v>
      </c>
      <c r="S43" s="520"/>
      <c r="T43" s="520"/>
      <c r="U43" s="520"/>
      <c r="V43" s="520"/>
      <c r="W43" s="520"/>
      <c r="X43" s="522">
        <f t="shared" si="2"/>
        <v>0</v>
      </c>
      <c r="Y43" s="523">
        <f t="shared" si="3"/>
        <v>0</v>
      </c>
      <c r="Z43" s="524">
        <f>15336.021</f>
        <v>15336.021000000001</v>
      </c>
      <c r="AA43" s="308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8"/>
    </row>
    <row r="44" spans="1:42" ht="24.95" hidden="1" customHeight="1" x14ac:dyDescent="0.25">
      <c r="A44" s="78">
        <v>27</v>
      </c>
      <c r="B44" s="218" t="s">
        <v>261</v>
      </c>
      <c r="C44" s="28" t="s">
        <v>260</v>
      </c>
      <c r="D44" s="520"/>
      <c r="E44" s="520"/>
      <c r="F44" s="520"/>
      <c r="G44" s="520"/>
      <c r="H44" s="520">
        <v>33877.31</v>
      </c>
      <c r="I44" s="520"/>
      <c r="J44" s="520"/>
      <c r="K44" s="520"/>
      <c r="L44" s="520"/>
      <c r="M44" s="520"/>
      <c r="N44" s="520"/>
      <c r="O44" s="520"/>
      <c r="P44" s="520"/>
      <c r="Q44" s="520"/>
      <c r="R44" s="520">
        <f t="shared" si="1"/>
        <v>33877.31</v>
      </c>
      <c r="S44" s="520"/>
      <c r="T44" s="520"/>
      <c r="U44" s="520"/>
      <c r="V44" s="520">
        <f>-33877.31</f>
        <v>-33877.31</v>
      </c>
      <c r="W44" s="520"/>
      <c r="X44" s="522">
        <f t="shared" si="2"/>
        <v>-33877.31</v>
      </c>
      <c r="Y44" s="523">
        <f t="shared" si="3"/>
        <v>0</v>
      </c>
      <c r="Z44" s="524"/>
      <c r="AA44" s="308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8"/>
    </row>
    <row r="45" spans="1:42" ht="24.95" hidden="1" customHeight="1" x14ac:dyDescent="0.25">
      <c r="A45" s="78">
        <v>28</v>
      </c>
      <c r="B45" s="132" t="s">
        <v>263</v>
      </c>
      <c r="C45" s="28" t="s">
        <v>262</v>
      </c>
      <c r="D45" s="520"/>
      <c r="E45" s="520">
        <f>7+5</f>
        <v>12</v>
      </c>
      <c r="F45" s="520">
        <f>-345+100+33+100+100</f>
        <v>-12</v>
      </c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>
        <f t="shared" si="1"/>
        <v>0</v>
      </c>
      <c r="S45" s="520"/>
      <c r="T45" s="520"/>
      <c r="U45" s="520"/>
      <c r="V45" s="520"/>
      <c r="W45" s="520"/>
      <c r="X45" s="522">
        <f t="shared" si="2"/>
        <v>0</v>
      </c>
      <c r="Y45" s="523">
        <f t="shared" si="3"/>
        <v>0</v>
      </c>
      <c r="Z45" s="524"/>
      <c r="AA45" s="308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8"/>
    </row>
    <row r="46" spans="1:42" ht="24.95" hidden="1" customHeight="1" x14ac:dyDescent="0.25">
      <c r="A46" s="78">
        <v>29</v>
      </c>
      <c r="B46" s="132" t="s">
        <v>264</v>
      </c>
      <c r="C46" s="28" t="s">
        <v>265</v>
      </c>
      <c r="D46" s="520"/>
      <c r="E46" s="520"/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  <c r="R46" s="520">
        <f t="shared" si="1"/>
        <v>0</v>
      </c>
      <c r="S46" s="520"/>
      <c r="T46" s="520"/>
      <c r="U46" s="520">
        <v>3850000</v>
      </c>
      <c r="V46" s="520"/>
      <c r="W46" s="520"/>
      <c r="X46" s="522">
        <f t="shared" si="2"/>
        <v>3850000</v>
      </c>
      <c r="Y46" s="523">
        <f t="shared" si="3"/>
        <v>3850000</v>
      </c>
      <c r="Z46" s="524"/>
      <c r="AA46" s="308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8"/>
    </row>
    <row r="47" spans="1:42" ht="24.95" hidden="1" customHeight="1" x14ac:dyDescent="0.25">
      <c r="A47" s="78"/>
      <c r="B47" s="132" t="s">
        <v>266</v>
      </c>
      <c r="C47" s="28" t="s">
        <v>269</v>
      </c>
      <c r="D47" s="520"/>
      <c r="E47" s="520"/>
      <c r="F47" s="520"/>
      <c r="G47" s="520"/>
      <c r="H47" s="520"/>
      <c r="I47" s="520"/>
      <c r="J47" s="520"/>
      <c r="K47" s="520"/>
      <c r="L47" s="520"/>
      <c r="M47" s="520"/>
      <c r="N47" s="520"/>
      <c r="O47" s="520"/>
      <c r="P47" s="520"/>
      <c r="Q47" s="520"/>
      <c r="R47" s="520">
        <f t="shared" si="1"/>
        <v>0</v>
      </c>
      <c r="S47" s="520"/>
      <c r="T47" s="520"/>
      <c r="U47" s="520"/>
      <c r="V47" s="520"/>
      <c r="W47" s="520"/>
      <c r="X47" s="522">
        <f>SUM(T47:W47)</f>
        <v>0</v>
      </c>
      <c r="Y47" s="523">
        <f>R47+X47</f>
        <v>0</v>
      </c>
      <c r="Z47" s="524"/>
      <c r="AA47" s="308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8"/>
    </row>
    <row r="48" spans="1:42" ht="24.95" hidden="1" customHeight="1" x14ac:dyDescent="0.25">
      <c r="A48" s="569"/>
      <c r="B48" s="570" t="s">
        <v>267</v>
      </c>
      <c r="C48" s="571" t="s">
        <v>268</v>
      </c>
      <c r="D48" s="520"/>
      <c r="E48" s="520"/>
      <c r="F48" s="520"/>
      <c r="G48" s="520"/>
      <c r="H48" s="520"/>
      <c r="I48" s="520"/>
      <c r="J48" s="520"/>
      <c r="K48" s="520"/>
      <c r="L48" s="520"/>
      <c r="M48" s="520"/>
      <c r="N48" s="520"/>
      <c r="O48" s="520"/>
      <c r="P48" s="520"/>
      <c r="Q48" s="520"/>
      <c r="R48" s="520">
        <f t="shared" si="1"/>
        <v>0</v>
      </c>
      <c r="S48" s="520"/>
      <c r="T48" s="520"/>
      <c r="U48" s="520"/>
      <c r="V48" s="520"/>
      <c r="W48" s="520"/>
      <c r="X48" s="522">
        <f t="shared" si="2"/>
        <v>0</v>
      </c>
      <c r="Y48" s="523">
        <f t="shared" si="3"/>
        <v>0</v>
      </c>
      <c r="Z48" s="524"/>
      <c r="AA48" s="308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8"/>
    </row>
    <row r="49" spans="1:42" ht="24.95" hidden="1" customHeight="1" x14ac:dyDescent="0.25">
      <c r="A49" s="78">
        <v>30</v>
      </c>
      <c r="B49" s="132" t="s">
        <v>270</v>
      </c>
      <c r="C49" s="28" t="s">
        <v>271</v>
      </c>
      <c r="D49" s="520"/>
      <c r="E49" s="520"/>
      <c r="F49" s="520"/>
      <c r="G49" s="520"/>
      <c r="H49" s="520"/>
      <c r="I49" s="520"/>
      <c r="J49" s="520"/>
      <c r="K49" s="520">
        <f>-24450</f>
        <v>-24450</v>
      </c>
      <c r="L49" s="520"/>
      <c r="M49" s="520"/>
      <c r="N49" s="520"/>
      <c r="O49" s="520"/>
      <c r="P49" s="520"/>
      <c r="Q49" s="520"/>
      <c r="R49" s="520">
        <f t="shared" si="1"/>
        <v>-24450</v>
      </c>
      <c r="S49" s="520"/>
      <c r="T49" s="520"/>
      <c r="U49" s="520"/>
      <c r="V49" s="521"/>
      <c r="W49" s="520"/>
      <c r="X49" s="522">
        <f t="shared" si="2"/>
        <v>0</v>
      </c>
      <c r="Y49" s="523">
        <f t="shared" si="3"/>
        <v>-24450</v>
      </c>
      <c r="Z49" s="524">
        <f>24450</f>
        <v>24450</v>
      </c>
      <c r="AA49" s="308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8"/>
    </row>
    <row r="50" spans="1:42" ht="24.95" hidden="1" customHeight="1" x14ac:dyDescent="0.25">
      <c r="A50" s="78">
        <v>31</v>
      </c>
      <c r="B50" s="132" t="s">
        <v>272</v>
      </c>
      <c r="C50" s="28" t="s">
        <v>273</v>
      </c>
      <c r="D50" s="520"/>
      <c r="E50" s="520"/>
      <c r="F50" s="520">
        <f>-150-792</f>
        <v>-942</v>
      </c>
      <c r="G50" s="520"/>
      <c r="H50" s="520"/>
      <c r="I50" s="520"/>
      <c r="J50" s="520"/>
      <c r="K50" s="520"/>
      <c r="L50" s="520"/>
      <c r="M50" s="520"/>
      <c r="N50" s="520"/>
      <c r="O50" s="520"/>
      <c r="P50" s="520"/>
      <c r="Q50" s="520"/>
      <c r="R50" s="520">
        <f t="shared" si="1"/>
        <v>-942</v>
      </c>
      <c r="S50" s="520"/>
      <c r="T50" s="520"/>
      <c r="U50" s="520"/>
      <c r="V50" s="520"/>
      <c r="W50" s="520"/>
      <c r="X50" s="522">
        <f t="shared" si="2"/>
        <v>0</v>
      </c>
      <c r="Y50" s="523">
        <f t="shared" si="3"/>
        <v>-942</v>
      </c>
      <c r="Z50" s="524">
        <f>942</f>
        <v>942</v>
      </c>
      <c r="AA50" s="308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8"/>
    </row>
    <row r="51" spans="1:42" ht="24.95" hidden="1" customHeight="1" x14ac:dyDescent="0.25">
      <c r="A51" s="78">
        <v>32</v>
      </c>
      <c r="B51" s="132" t="s">
        <v>276</v>
      </c>
      <c r="C51" s="28" t="s">
        <v>225</v>
      </c>
      <c r="D51" s="520"/>
      <c r="E51" s="520"/>
      <c r="F51" s="520">
        <f>324</f>
        <v>324</v>
      </c>
      <c r="G51" s="520"/>
      <c r="H51" s="520"/>
      <c r="I51" s="520"/>
      <c r="J51" s="520"/>
      <c r="K51" s="520">
        <f>1200</f>
        <v>1200</v>
      </c>
      <c r="L51" s="520"/>
      <c r="M51" s="520"/>
      <c r="N51" s="520"/>
      <c r="O51" s="520"/>
      <c r="P51" s="520"/>
      <c r="Q51" s="520"/>
      <c r="R51" s="520">
        <f t="shared" si="1"/>
        <v>1524</v>
      </c>
      <c r="S51" s="520"/>
      <c r="T51" s="520"/>
      <c r="U51" s="520"/>
      <c r="V51" s="520"/>
      <c r="W51" s="520"/>
      <c r="X51" s="522">
        <f t="shared" si="2"/>
        <v>0</v>
      </c>
      <c r="Y51" s="523">
        <f t="shared" si="3"/>
        <v>1524</v>
      </c>
      <c r="Z51" s="524"/>
      <c r="AA51" s="308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8"/>
    </row>
    <row r="52" spans="1:42" ht="24.95" hidden="1" customHeight="1" x14ac:dyDescent="0.25">
      <c r="A52" s="78">
        <v>33</v>
      </c>
      <c r="B52" s="132" t="s">
        <v>277</v>
      </c>
      <c r="C52" s="28" t="s">
        <v>278</v>
      </c>
      <c r="D52" s="520"/>
      <c r="E52" s="520"/>
      <c r="F52" s="520"/>
      <c r="G52" s="520"/>
      <c r="H52" s="520"/>
      <c r="I52" s="520"/>
      <c r="J52" s="520"/>
      <c r="K52" s="520">
        <f>-11256</f>
        <v>-11256</v>
      </c>
      <c r="L52" s="520"/>
      <c r="M52" s="520"/>
      <c r="N52" s="520"/>
      <c r="O52" s="520"/>
      <c r="P52" s="520"/>
      <c r="Q52" s="520"/>
      <c r="R52" s="520">
        <f t="shared" si="1"/>
        <v>-11256</v>
      </c>
      <c r="S52" s="520"/>
      <c r="T52" s="520"/>
      <c r="U52" s="520"/>
      <c r="V52" s="520"/>
      <c r="W52" s="520"/>
      <c r="X52" s="522">
        <f t="shared" si="2"/>
        <v>0</v>
      </c>
      <c r="Y52" s="523">
        <f t="shared" si="3"/>
        <v>-11256</v>
      </c>
      <c r="Z52" s="524">
        <f>11256</f>
        <v>11256</v>
      </c>
      <c r="AA52" s="308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8"/>
    </row>
    <row r="53" spans="1:42" ht="24.95" hidden="1" customHeight="1" x14ac:dyDescent="0.25">
      <c r="A53" s="78">
        <v>34</v>
      </c>
      <c r="B53" s="132" t="s">
        <v>279</v>
      </c>
      <c r="C53" s="28" t="s">
        <v>225</v>
      </c>
      <c r="D53" s="520"/>
      <c r="E53" s="520"/>
      <c r="F53" s="520">
        <f>378</f>
        <v>378</v>
      </c>
      <c r="G53" s="520"/>
      <c r="H53" s="520"/>
      <c r="I53" s="520"/>
      <c r="J53" s="520"/>
      <c r="K53" s="520">
        <v>1400</v>
      </c>
      <c r="L53" s="520"/>
      <c r="M53" s="520"/>
      <c r="N53" s="520"/>
      <c r="O53" s="520"/>
      <c r="P53" s="520"/>
      <c r="Q53" s="520"/>
      <c r="R53" s="520">
        <f t="shared" si="1"/>
        <v>1778</v>
      </c>
      <c r="S53" s="520"/>
      <c r="T53" s="520"/>
      <c r="U53" s="520"/>
      <c r="V53" s="520"/>
      <c r="W53" s="520"/>
      <c r="X53" s="522">
        <f t="shared" si="2"/>
        <v>0</v>
      </c>
      <c r="Y53" s="523">
        <f t="shared" si="3"/>
        <v>1778</v>
      </c>
      <c r="Z53" s="524"/>
      <c r="AA53" s="308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8"/>
    </row>
    <row r="54" spans="1:42" ht="24.95" hidden="1" customHeight="1" x14ac:dyDescent="0.25">
      <c r="A54" s="78">
        <v>35</v>
      </c>
      <c r="B54" s="218" t="s">
        <v>274</v>
      </c>
      <c r="C54" s="39" t="s">
        <v>275</v>
      </c>
      <c r="D54" s="520"/>
      <c r="E54" s="520"/>
      <c r="F54" s="520">
        <f>-105.976-18.714</f>
        <v>-124.69</v>
      </c>
      <c r="G54" s="520"/>
      <c r="H54" s="520"/>
      <c r="I54" s="520"/>
      <c r="J54" s="520"/>
      <c r="K54" s="520"/>
      <c r="L54" s="520"/>
      <c r="M54" s="520"/>
      <c r="N54" s="520"/>
      <c r="O54" s="520"/>
      <c r="P54" s="520"/>
      <c r="Q54" s="520"/>
      <c r="R54" s="520">
        <f t="shared" si="1"/>
        <v>-124.69</v>
      </c>
      <c r="S54" s="520"/>
      <c r="T54" s="520"/>
      <c r="U54" s="520"/>
      <c r="V54" s="520"/>
      <c r="W54" s="520"/>
      <c r="X54" s="522">
        <f t="shared" si="2"/>
        <v>0</v>
      </c>
      <c r="Y54" s="523">
        <f t="shared" si="3"/>
        <v>-124.69</v>
      </c>
      <c r="Z54" s="524">
        <f>124.69</f>
        <v>124.69</v>
      </c>
      <c r="AA54" s="308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8"/>
    </row>
    <row r="55" spans="1:42" ht="24.95" hidden="1" customHeight="1" x14ac:dyDescent="0.25">
      <c r="A55" s="78">
        <v>36</v>
      </c>
      <c r="B55" s="218" t="s">
        <v>282</v>
      </c>
      <c r="C55" s="28" t="s">
        <v>281</v>
      </c>
      <c r="D55" s="520"/>
      <c r="E55" s="520"/>
      <c r="F55" s="520"/>
      <c r="G55" s="520"/>
      <c r="H55" s="520"/>
      <c r="I55" s="520"/>
      <c r="J55" s="520">
        <f>1800</f>
        <v>1800</v>
      </c>
      <c r="K55" s="520"/>
      <c r="L55" s="520"/>
      <c r="M55" s="520"/>
      <c r="N55" s="520"/>
      <c r="O55" s="520"/>
      <c r="P55" s="520"/>
      <c r="Q55" s="520"/>
      <c r="R55" s="520">
        <f t="shared" si="1"/>
        <v>1800</v>
      </c>
      <c r="S55" s="520"/>
      <c r="T55" s="520"/>
      <c r="U55" s="520"/>
      <c r="V55" s="520"/>
      <c r="W55" s="520"/>
      <c r="X55" s="522">
        <f>SUM(T55:W55)</f>
        <v>0</v>
      </c>
      <c r="Y55" s="523">
        <f>R55+X55</f>
        <v>1800</v>
      </c>
      <c r="Z55" s="524"/>
      <c r="AA55" s="308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8"/>
    </row>
    <row r="56" spans="1:42" ht="24.95" hidden="1" customHeight="1" x14ac:dyDescent="0.25">
      <c r="A56" s="78"/>
      <c r="B56" s="218" t="s">
        <v>293</v>
      </c>
      <c r="C56" s="39" t="s">
        <v>292</v>
      </c>
      <c r="D56" s="520"/>
      <c r="E56" s="520"/>
      <c r="F56" s="520"/>
      <c r="G56" s="520"/>
      <c r="H56" s="520"/>
      <c r="I56" s="520"/>
      <c r="J56" s="520"/>
      <c r="K56" s="520"/>
      <c r="L56" s="520"/>
      <c r="M56" s="520"/>
      <c r="N56" s="520"/>
      <c r="O56" s="520"/>
      <c r="P56" s="520"/>
      <c r="Q56" s="520"/>
      <c r="R56" s="520">
        <f t="shared" si="1"/>
        <v>0</v>
      </c>
      <c r="S56" s="520"/>
      <c r="T56" s="520"/>
      <c r="U56" s="520"/>
      <c r="V56" s="520"/>
      <c r="W56" s="520"/>
      <c r="X56" s="522">
        <f>SUM(T56:W56)</f>
        <v>0</v>
      </c>
      <c r="Y56" s="523">
        <f>R56+X56</f>
        <v>0</v>
      </c>
      <c r="Z56" s="524"/>
      <c r="AA56" s="308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8"/>
    </row>
    <row r="57" spans="1:42" ht="24.95" hidden="1" customHeight="1" x14ac:dyDescent="0.25">
      <c r="A57" s="78"/>
      <c r="B57" s="218" t="s">
        <v>294</v>
      </c>
      <c r="C57" s="39" t="s">
        <v>296</v>
      </c>
      <c r="D57" s="520"/>
      <c r="E57" s="520"/>
      <c r="F57" s="520"/>
      <c r="G57" s="520"/>
      <c r="H57" s="520"/>
      <c r="I57" s="520"/>
      <c r="J57" s="520"/>
      <c r="K57" s="520"/>
      <c r="L57" s="520"/>
      <c r="M57" s="520"/>
      <c r="N57" s="520"/>
      <c r="O57" s="520"/>
      <c r="P57" s="520"/>
      <c r="Q57" s="520"/>
      <c r="R57" s="520">
        <f t="shared" si="1"/>
        <v>0</v>
      </c>
      <c r="S57" s="520"/>
      <c r="T57" s="520"/>
      <c r="U57" s="520"/>
      <c r="V57" s="520"/>
      <c r="W57" s="520"/>
      <c r="X57" s="522">
        <f t="shared" ref="X57:X80" si="6">SUM(T57:W57)</f>
        <v>0</v>
      </c>
      <c r="Y57" s="523">
        <f t="shared" ref="Y57:Y86" si="7">R57+X57</f>
        <v>0</v>
      </c>
      <c r="Z57" s="524"/>
      <c r="AA57" s="308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8"/>
    </row>
    <row r="58" spans="1:42" ht="24.95" hidden="1" customHeight="1" x14ac:dyDescent="0.25">
      <c r="A58" s="78"/>
      <c r="B58" s="573" t="s">
        <v>295</v>
      </c>
      <c r="C58" s="39" t="s">
        <v>297</v>
      </c>
      <c r="D58" s="520"/>
      <c r="E58" s="520"/>
      <c r="F58" s="520"/>
      <c r="G58" s="520"/>
      <c r="H58" s="520"/>
      <c r="I58" s="520"/>
      <c r="J58" s="520"/>
      <c r="K58" s="520"/>
      <c r="L58" s="520"/>
      <c r="M58" s="520"/>
      <c r="N58" s="520"/>
      <c r="O58" s="520"/>
      <c r="P58" s="520"/>
      <c r="Q58" s="520"/>
      <c r="R58" s="520">
        <f t="shared" si="1"/>
        <v>0</v>
      </c>
      <c r="S58" s="520"/>
      <c r="T58" s="520"/>
      <c r="U58" s="520"/>
      <c r="V58" s="520"/>
      <c r="W58" s="520"/>
      <c r="X58" s="522">
        <f t="shared" si="6"/>
        <v>0</v>
      </c>
      <c r="Y58" s="523">
        <f t="shared" si="7"/>
        <v>0</v>
      </c>
      <c r="Z58" s="524"/>
      <c r="AA58" s="308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8"/>
    </row>
    <row r="59" spans="1:42" ht="24.95" hidden="1" customHeight="1" x14ac:dyDescent="0.25">
      <c r="A59" s="78"/>
      <c r="B59" s="218"/>
      <c r="C59" s="39"/>
      <c r="D59" s="520"/>
      <c r="E59" s="520"/>
      <c r="F59" s="520"/>
      <c r="G59" s="520"/>
      <c r="H59" s="520"/>
      <c r="I59" s="520"/>
      <c r="J59" s="520"/>
      <c r="K59" s="520"/>
      <c r="L59" s="520"/>
      <c r="M59" s="520"/>
      <c r="N59" s="520"/>
      <c r="O59" s="520"/>
      <c r="P59" s="520"/>
      <c r="Q59" s="520"/>
      <c r="R59" s="520">
        <f t="shared" si="1"/>
        <v>0</v>
      </c>
      <c r="S59" s="520"/>
      <c r="T59" s="520"/>
      <c r="U59" s="520"/>
      <c r="V59" s="520"/>
      <c r="W59" s="520"/>
      <c r="X59" s="522">
        <f t="shared" si="6"/>
        <v>0</v>
      </c>
      <c r="Y59" s="523">
        <f t="shared" si="7"/>
        <v>0</v>
      </c>
      <c r="Z59" s="524"/>
      <c r="AA59" s="308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8"/>
    </row>
    <row r="60" spans="1:42" ht="24.95" hidden="1" customHeight="1" x14ac:dyDescent="0.25">
      <c r="A60" s="78"/>
      <c r="B60" s="218"/>
      <c r="C60" s="39"/>
      <c r="D60" s="520"/>
      <c r="E60" s="520"/>
      <c r="F60" s="520"/>
      <c r="G60" s="520"/>
      <c r="H60" s="520"/>
      <c r="I60" s="520"/>
      <c r="J60" s="520"/>
      <c r="K60" s="520"/>
      <c r="L60" s="520"/>
      <c r="M60" s="520"/>
      <c r="N60" s="520"/>
      <c r="O60" s="520"/>
      <c r="P60" s="520"/>
      <c r="Q60" s="520"/>
      <c r="R60" s="520">
        <f t="shared" si="1"/>
        <v>0</v>
      </c>
      <c r="S60" s="520"/>
      <c r="T60" s="520"/>
      <c r="U60" s="520"/>
      <c r="V60" s="520"/>
      <c r="W60" s="520"/>
      <c r="X60" s="522">
        <f t="shared" si="6"/>
        <v>0</v>
      </c>
      <c r="Y60" s="523">
        <f t="shared" si="7"/>
        <v>0</v>
      </c>
      <c r="Z60" s="524"/>
      <c r="AA60" s="308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8"/>
    </row>
    <row r="61" spans="1:42" ht="24.95" hidden="1" customHeight="1" x14ac:dyDescent="0.25">
      <c r="A61" s="78"/>
      <c r="B61" s="218"/>
      <c r="C61" s="39"/>
      <c r="D61" s="520"/>
      <c r="E61" s="520"/>
      <c r="F61" s="520"/>
      <c r="G61" s="520"/>
      <c r="H61" s="520"/>
      <c r="I61" s="520"/>
      <c r="J61" s="520"/>
      <c r="K61" s="520"/>
      <c r="L61" s="520"/>
      <c r="M61" s="520"/>
      <c r="N61" s="520"/>
      <c r="O61" s="520"/>
      <c r="P61" s="520"/>
      <c r="Q61" s="520"/>
      <c r="R61" s="520">
        <f t="shared" si="1"/>
        <v>0</v>
      </c>
      <c r="S61" s="520"/>
      <c r="T61" s="520"/>
      <c r="U61" s="520"/>
      <c r="V61" s="520"/>
      <c r="W61" s="520"/>
      <c r="X61" s="522">
        <f t="shared" si="6"/>
        <v>0</v>
      </c>
      <c r="Y61" s="523">
        <f t="shared" si="7"/>
        <v>0</v>
      </c>
      <c r="Z61" s="524"/>
      <c r="AA61" s="308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8"/>
    </row>
    <row r="62" spans="1:42" ht="24.95" hidden="1" customHeight="1" x14ac:dyDescent="0.25">
      <c r="A62" s="78"/>
      <c r="B62" s="218"/>
      <c r="C62" s="39"/>
      <c r="D62" s="520"/>
      <c r="E62" s="520"/>
      <c r="F62" s="520"/>
      <c r="G62" s="520"/>
      <c r="H62" s="520"/>
      <c r="I62" s="520"/>
      <c r="J62" s="520"/>
      <c r="K62" s="520"/>
      <c r="L62" s="520"/>
      <c r="M62" s="520"/>
      <c r="N62" s="520"/>
      <c r="O62" s="520"/>
      <c r="P62" s="520"/>
      <c r="Q62" s="520"/>
      <c r="R62" s="520">
        <f t="shared" si="1"/>
        <v>0</v>
      </c>
      <c r="S62" s="520"/>
      <c r="T62" s="520"/>
      <c r="U62" s="520"/>
      <c r="V62" s="520"/>
      <c r="W62" s="520"/>
      <c r="X62" s="522">
        <f t="shared" si="6"/>
        <v>0</v>
      </c>
      <c r="Y62" s="523">
        <f t="shared" si="7"/>
        <v>0</v>
      </c>
      <c r="Z62" s="524"/>
      <c r="AA62" s="308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8"/>
    </row>
    <row r="63" spans="1:42" ht="24.95" hidden="1" customHeight="1" x14ac:dyDescent="0.25">
      <c r="A63" s="78"/>
      <c r="B63" s="218"/>
      <c r="C63" s="39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>
        <f t="shared" si="1"/>
        <v>0</v>
      </c>
      <c r="S63" s="520"/>
      <c r="T63" s="520"/>
      <c r="U63" s="520"/>
      <c r="V63" s="520"/>
      <c r="W63" s="520"/>
      <c r="X63" s="522">
        <f t="shared" si="6"/>
        <v>0</v>
      </c>
      <c r="Y63" s="523">
        <f t="shared" si="7"/>
        <v>0</v>
      </c>
      <c r="Z63" s="524"/>
      <c r="AA63" s="308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8"/>
    </row>
    <row r="64" spans="1:42" ht="24.95" hidden="1" customHeight="1" x14ac:dyDescent="0.25">
      <c r="A64" s="78"/>
      <c r="B64" s="218"/>
      <c r="C64" s="39"/>
      <c r="D64" s="520"/>
      <c r="E64" s="520"/>
      <c r="F64" s="520"/>
      <c r="G64" s="520"/>
      <c r="H64" s="520"/>
      <c r="I64" s="520"/>
      <c r="J64" s="520"/>
      <c r="K64" s="520"/>
      <c r="L64" s="520"/>
      <c r="M64" s="520"/>
      <c r="N64" s="520"/>
      <c r="O64" s="520"/>
      <c r="P64" s="520"/>
      <c r="Q64" s="520"/>
      <c r="R64" s="520">
        <f t="shared" si="1"/>
        <v>0</v>
      </c>
      <c r="S64" s="520"/>
      <c r="T64" s="520"/>
      <c r="U64" s="520"/>
      <c r="V64" s="520"/>
      <c r="W64" s="520"/>
      <c r="X64" s="522">
        <f t="shared" si="6"/>
        <v>0</v>
      </c>
      <c r="Y64" s="523">
        <f t="shared" si="7"/>
        <v>0</v>
      </c>
      <c r="Z64" s="524"/>
      <c r="AA64" s="308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8"/>
    </row>
    <row r="65" spans="1:42" ht="24.95" hidden="1" customHeight="1" x14ac:dyDescent="0.25">
      <c r="A65" s="78"/>
      <c r="B65" s="218"/>
      <c r="C65" s="39"/>
      <c r="D65" s="520"/>
      <c r="E65" s="520"/>
      <c r="F65" s="520"/>
      <c r="G65" s="520"/>
      <c r="H65" s="520"/>
      <c r="I65" s="520"/>
      <c r="J65" s="520"/>
      <c r="K65" s="520"/>
      <c r="L65" s="520"/>
      <c r="M65" s="520"/>
      <c r="N65" s="520"/>
      <c r="O65" s="520"/>
      <c r="P65" s="520"/>
      <c r="Q65" s="520"/>
      <c r="R65" s="520">
        <f t="shared" si="1"/>
        <v>0</v>
      </c>
      <c r="S65" s="520"/>
      <c r="T65" s="520"/>
      <c r="U65" s="520"/>
      <c r="V65" s="520"/>
      <c r="W65" s="520"/>
      <c r="X65" s="522">
        <f t="shared" si="6"/>
        <v>0</v>
      </c>
      <c r="Y65" s="523">
        <f t="shared" si="7"/>
        <v>0</v>
      </c>
      <c r="Z65" s="524"/>
      <c r="AA65" s="308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8"/>
    </row>
    <row r="66" spans="1:42" ht="24.95" hidden="1" customHeight="1" x14ac:dyDescent="0.25">
      <c r="A66" s="78"/>
      <c r="B66" s="218"/>
      <c r="C66" s="39"/>
      <c r="D66" s="520"/>
      <c r="E66" s="520"/>
      <c r="F66" s="520"/>
      <c r="G66" s="520"/>
      <c r="H66" s="520"/>
      <c r="I66" s="520"/>
      <c r="J66" s="520"/>
      <c r="K66" s="520"/>
      <c r="L66" s="520"/>
      <c r="M66" s="520"/>
      <c r="N66" s="520"/>
      <c r="O66" s="520"/>
      <c r="P66" s="520"/>
      <c r="Q66" s="520"/>
      <c r="R66" s="520">
        <f t="shared" si="1"/>
        <v>0</v>
      </c>
      <c r="S66" s="520"/>
      <c r="T66" s="520"/>
      <c r="U66" s="520"/>
      <c r="V66" s="520"/>
      <c r="W66" s="520"/>
      <c r="X66" s="522">
        <f t="shared" si="6"/>
        <v>0</v>
      </c>
      <c r="Y66" s="523">
        <f t="shared" si="7"/>
        <v>0</v>
      </c>
      <c r="Z66" s="524"/>
      <c r="AA66" s="308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8"/>
    </row>
    <row r="67" spans="1:42" ht="24.95" hidden="1" customHeight="1" x14ac:dyDescent="0.25">
      <c r="A67" s="78"/>
      <c r="B67" s="218"/>
      <c r="C67" s="39"/>
      <c r="D67" s="520"/>
      <c r="E67" s="520"/>
      <c r="F67" s="520"/>
      <c r="G67" s="520"/>
      <c r="H67" s="520"/>
      <c r="I67" s="520"/>
      <c r="J67" s="520"/>
      <c r="K67" s="520"/>
      <c r="L67" s="520"/>
      <c r="M67" s="520"/>
      <c r="N67" s="520"/>
      <c r="O67" s="520"/>
      <c r="P67" s="520"/>
      <c r="Q67" s="520"/>
      <c r="R67" s="520">
        <f t="shared" si="1"/>
        <v>0</v>
      </c>
      <c r="S67" s="520"/>
      <c r="T67" s="520"/>
      <c r="U67" s="520"/>
      <c r="V67" s="520"/>
      <c r="W67" s="520"/>
      <c r="X67" s="522">
        <f t="shared" si="6"/>
        <v>0</v>
      </c>
      <c r="Y67" s="523">
        <f t="shared" si="7"/>
        <v>0</v>
      </c>
      <c r="Z67" s="524"/>
      <c r="AA67" s="308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8"/>
    </row>
    <row r="68" spans="1:42" ht="24.95" hidden="1" customHeight="1" x14ac:dyDescent="0.25">
      <c r="A68" s="78"/>
      <c r="B68" s="218"/>
      <c r="C68" s="39"/>
      <c r="D68" s="520"/>
      <c r="E68" s="520"/>
      <c r="F68" s="520"/>
      <c r="G68" s="520"/>
      <c r="H68" s="520"/>
      <c r="I68" s="520"/>
      <c r="J68" s="520"/>
      <c r="K68" s="520"/>
      <c r="L68" s="520"/>
      <c r="M68" s="520"/>
      <c r="N68" s="520"/>
      <c r="O68" s="520"/>
      <c r="P68" s="520"/>
      <c r="Q68" s="520"/>
      <c r="R68" s="520">
        <f t="shared" si="1"/>
        <v>0</v>
      </c>
      <c r="S68" s="520"/>
      <c r="T68" s="520"/>
      <c r="U68" s="520"/>
      <c r="V68" s="520"/>
      <c r="W68" s="520"/>
      <c r="X68" s="522">
        <f t="shared" ref="X68:X76" si="8">SUM(T68:W68)</f>
        <v>0</v>
      </c>
      <c r="Y68" s="523">
        <f t="shared" ref="Y68:Y76" si="9">R68+X68</f>
        <v>0</v>
      </c>
      <c r="Z68" s="524"/>
      <c r="AA68" s="308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8"/>
    </row>
    <row r="69" spans="1:42" ht="24.95" hidden="1" customHeight="1" x14ac:dyDescent="0.25">
      <c r="A69" s="78"/>
      <c r="B69" s="218"/>
      <c r="C69" s="39"/>
      <c r="D69" s="520"/>
      <c r="E69" s="520"/>
      <c r="F69" s="520"/>
      <c r="G69" s="520"/>
      <c r="H69" s="520"/>
      <c r="I69" s="520"/>
      <c r="J69" s="520"/>
      <c r="K69" s="520"/>
      <c r="L69" s="520"/>
      <c r="M69" s="520"/>
      <c r="N69" s="520"/>
      <c r="O69" s="520"/>
      <c r="P69" s="520"/>
      <c r="Q69" s="520"/>
      <c r="R69" s="520">
        <f t="shared" si="1"/>
        <v>0</v>
      </c>
      <c r="S69" s="520"/>
      <c r="T69" s="520"/>
      <c r="U69" s="520"/>
      <c r="V69" s="520"/>
      <c r="W69" s="520"/>
      <c r="X69" s="522">
        <f t="shared" si="8"/>
        <v>0</v>
      </c>
      <c r="Y69" s="523">
        <f t="shared" si="9"/>
        <v>0</v>
      </c>
      <c r="Z69" s="524"/>
      <c r="AA69" s="308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8"/>
    </row>
    <row r="70" spans="1:42" ht="24.95" hidden="1" customHeight="1" x14ac:dyDescent="0.25">
      <c r="A70" s="78"/>
      <c r="B70" s="218"/>
      <c r="C70" s="39"/>
      <c r="D70" s="520"/>
      <c r="E70" s="520"/>
      <c r="F70" s="520"/>
      <c r="G70" s="520"/>
      <c r="H70" s="520"/>
      <c r="I70" s="520"/>
      <c r="J70" s="520"/>
      <c r="K70" s="520"/>
      <c r="L70" s="520"/>
      <c r="M70" s="520"/>
      <c r="N70" s="520"/>
      <c r="O70" s="520"/>
      <c r="P70" s="520"/>
      <c r="Q70" s="520"/>
      <c r="R70" s="520">
        <f t="shared" si="1"/>
        <v>0</v>
      </c>
      <c r="S70" s="520"/>
      <c r="T70" s="520"/>
      <c r="U70" s="520"/>
      <c r="V70" s="520"/>
      <c r="W70" s="520"/>
      <c r="X70" s="522">
        <f t="shared" si="8"/>
        <v>0</v>
      </c>
      <c r="Y70" s="523">
        <f t="shared" si="9"/>
        <v>0</v>
      </c>
      <c r="Z70" s="524"/>
      <c r="AA70" s="308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8"/>
    </row>
    <row r="71" spans="1:42" ht="24.95" hidden="1" customHeight="1" x14ac:dyDescent="0.25">
      <c r="A71" s="78"/>
      <c r="B71" s="218"/>
      <c r="C71" s="39"/>
      <c r="D71" s="520"/>
      <c r="E71" s="520"/>
      <c r="F71" s="520"/>
      <c r="G71" s="520"/>
      <c r="H71" s="520"/>
      <c r="I71" s="520"/>
      <c r="J71" s="520"/>
      <c r="K71" s="520"/>
      <c r="L71" s="520"/>
      <c r="M71" s="520"/>
      <c r="N71" s="520"/>
      <c r="O71" s="520"/>
      <c r="P71" s="520"/>
      <c r="Q71" s="520"/>
      <c r="R71" s="520">
        <f t="shared" si="1"/>
        <v>0</v>
      </c>
      <c r="S71" s="520"/>
      <c r="T71" s="520"/>
      <c r="U71" s="520"/>
      <c r="V71" s="520"/>
      <c r="W71" s="520"/>
      <c r="X71" s="522">
        <f t="shared" si="8"/>
        <v>0</v>
      </c>
      <c r="Y71" s="523">
        <f t="shared" si="9"/>
        <v>0</v>
      </c>
      <c r="Z71" s="524"/>
      <c r="AA71" s="308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8"/>
    </row>
    <row r="72" spans="1:42" ht="24.95" hidden="1" customHeight="1" x14ac:dyDescent="0.25">
      <c r="A72" s="78"/>
      <c r="B72" s="218"/>
      <c r="C72" s="39"/>
      <c r="D72" s="520"/>
      <c r="E72" s="520"/>
      <c r="F72" s="520"/>
      <c r="G72" s="520"/>
      <c r="H72" s="520"/>
      <c r="I72" s="520"/>
      <c r="J72" s="520"/>
      <c r="K72" s="520"/>
      <c r="L72" s="520"/>
      <c r="M72" s="520"/>
      <c r="N72" s="520"/>
      <c r="O72" s="520"/>
      <c r="P72" s="520"/>
      <c r="Q72" s="520"/>
      <c r="R72" s="520">
        <f t="shared" si="1"/>
        <v>0</v>
      </c>
      <c r="S72" s="520"/>
      <c r="T72" s="520"/>
      <c r="U72" s="520"/>
      <c r="V72" s="520"/>
      <c r="W72" s="520"/>
      <c r="X72" s="522">
        <f t="shared" si="8"/>
        <v>0</v>
      </c>
      <c r="Y72" s="523">
        <f t="shared" si="9"/>
        <v>0</v>
      </c>
      <c r="Z72" s="524"/>
      <c r="AA72" s="308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8"/>
    </row>
    <row r="73" spans="1:42" ht="24.95" hidden="1" customHeight="1" x14ac:dyDescent="0.25">
      <c r="A73" s="78"/>
      <c r="B73" s="541"/>
      <c r="C73" s="39"/>
      <c r="D73" s="520"/>
      <c r="E73" s="520"/>
      <c r="F73" s="520"/>
      <c r="G73" s="520"/>
      <c r="H73" s="520"/>
      <c r="I73" s="520"/>
      <c r="J73" s="520"/>
      <c r="K73" s="520"/>
      <c r="L73" s="520"/>
      <c r="M73" s="520"/>
      <c r="N73" s="520"/>
      <c r="O73" s="520"/>
      <c r="P73" s="520"/>
      <c r="Q73" s="520"/>
      <c r="R73" s="520">
        <f t="shared" si="1"/>
        <v>0</v>
      </c>
      <c r="S73" s="520"/>
      <c r="T73" s="520"/>
      <c r="U73" s="520"/>
      <c r="V73" s="520"/>
      <c r="W73" s="520"/>
      <c r="X73" s="522">
        <f t="shared" si="8"/>
        <v>0</v>
      </c>
      <c r="Y73" s="523">
        <f t="shared" si="9"/>
        <v>0</v>
      </c>
      <c r="Z73" s="524"/>
      <c r="AA73" s="308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8"/>
    </row>
    <row r="74" spans="1:42" ht="24.95" hidden="1" customHeight="1" x14ac:dyDescent="0.25">
      <c r="A74" s="78"/>
      <c r="B74" s="218"/>
      <c r="C74" s="39"/>
      <c r="D74" s="520"/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520"/>
      <c r="P74" s="520"/>
      <c r="Q74" s="520"/>
      <c r="R74" s="520">
        <f t="shared" si="1"/>
        <v>0</v>
      </c>
      <c r="S74" s="520"/>
      <c r="T74" s="520"/>
      <c r="U74" s="520"/>
      <c r="V74" s="520"/>
      <c r="W74" s="520"/>
      <c r="X74" s="522">
        <f t="shared" si="8"/>
        <v>0</v>
      </c>
      <c r="Y74" s="523">
        <f t="shared" si="9"/>
        <v>0</v>
      </c>
      <c r="Z74" s="524"/>
      <c r="AA74" s="308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8"/>
    </row>
    <row r="75" spans="1:42" ht="24.95" hidden="1" customHeight="1" x14ac:dyDescent="0.25">
      <c r="A75" s="78"/>
      <c r="B75" s="218"/>
      <c r="C75" s="39"/>
      <c r="D75" s="520"/>
      <c r="E75" s="520"/>
      <c r="F75" s="520"/>
      <c r="G75" s="520"/>
      <c r="H75" s="520"/>
      <c r="I75" s="520"/>
      <c r="J75" s="520"/>
      <c r="K75" s="520"/>
      <c r="L75" s="520"/>
      <c r="M75" s="520"/>
      <c r="N75" s="520"/>
      <c r="O75" s="520"/>
      <c r="P75" s="520"/>
      <c r="Q75" s="520"/>
      <c r="R75" s="520">
        <f t="shared" si="1"/>
        <v>0</v>
      </c>
      <c r="S75" s="520"/>
      <c r="T75" s="520"/>
      <c r="U75" s="520"/>
      <c r="V75" s="520"/>
      <c r="W75" s="520"/>
      <c r="X75" s="522">
        <f t="shared" si="8"/>
        <v>0</v>
      </c>
      <c r="Y75" s="523">
        <f t="shared" si="9"/>
        <v>0</v>
      </c>
      <c r="Z75" s="524"/>
      <c r="AA75" s="308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8"/>
    </row>
    <row r="76" spans="1:42" ht="24.95" hidden="1" customHeight="1" x14ac:dyDescent="0.25">
      <c r="A76" s="78"/>
      <c r="B76" s="218"/>
      <c r="C76" s="39"/>
      <c r="D76" s="520"/>
      <c r="E76" s="520"/>
      <c r="F76" s="520"/>
      <c r="G76" s="520"/>
      <c r="H76" s="520"/>
      <c r="I76" s="520"/>
      <c r="J76" s="520"/>
      <c r="K76" s="520"/>
      <c r="L76" s="520"/>
      <c r="M76" s="520"/>
      <c r="N76" s="520"/>
      <c r="O76" s="520"/>
      <c r="P76" s="520"/>
      <c r="Q76" s="520"/>
      <c r="R76" s="520">
        <f t="shared" si="1"/>
        <v>0</v>
      </c>
      <c r="S76" s="520"/>
      <c r="T76" s="520"/>
      <c r="U76" s="520"/>
      <c r="V76" s="520"/>
      <c r="W76" s="520"/>
      <c r="X76" s="522">
        <f t="shared" si="8"/>
        <v>0</v>
      </c>
      <c r="Y76" s="523">
        <f t="shared" si="9"/>
        <v>0</v>
      </c>
      <c r="Z76" s="524"/>
      <c r="AA76" s="308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8"/>
    </row>
    <row r="77" spans="1:42" ht="24.95" hidden="1" customHeight="1" x14ac:dyDescent="0.25">
      <c r="A77" s="78"/>
      <c r="B77" s="218"/>
      <c r="C77" s="39"/>
      <c r="D77" s="520"/>
      <c r="E77" s="520"/>
      <c r="F77" s="520"/>
      <c r="G77" s="520"/>
      <c r="H77" s="520"/>
      <c r="I77" s="520"/>
      <c r="J77" s="520"/>
      <c r="K77" s="520"/>
      <c r="L77" s="520"/>
      <c r="M77" s="520"/>
      <c r="N77" s="520"/>
      <c r="O77" s="520"/>
      <c r="P77" s="520"/>
      <c r="Q77" s="520"/>
      <c r="R77" s="520">
        <f t="shared" si="1"/>
        <v>0</v>
      </c>
      <c r="S77" s="520"/>
      <c r="T77" s="520"/>
      <c r="U77" s="520"/>
      <c r="V77" s="520"/>
      <c r="W77" s="520"/>
      <c r="X77" s="522">
        <f t="shared" si="6"/>
        <v>0</v>
      </c>
      <c r="Y77" s="523">
        <f t="shared" si="7"/>
        <v>0</v>
      </c>
      <c r="Z77" s="524"/>
      <c r="AA77" s="308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8"/>
    </row>
    <row r="78" spans="1:42" ht="24.95" hidden="1" customHeight="1" x14ac:dyDescent="0.25">
      <c r="A78" s="78"/>
      <c r="B78" s="218"/>
      <c r="C78" s="39"/>
      <c r="D78" s="520"/>
      <c r="E78" s="520"/>
      <c r="F78" s="520"/>
      <c r="G78" s="520"/>
      <c r="H78" s="520"/>
      <c r="I78" s="520"/>
      <c r="J78" s="520"/>
      <c r="K78" s="520"/>
      <c r="L78" s="520"/>
      <c r="M78" s="520"/>
      <c r="N78" s="520"/>
      <c r="O78" s="520"/>
      <c r="P78" s="520"/>
      <c r="Q78" s="520"/>
      <c r="R78" s="520">
        <f t="shared" si="1"/>
        <v>0</v>
      </c>
      <c r="S78" s="520"/>
      <c r="T78" s="520"/>
      <c r="U78" s="520"/>
      <c r="V78" s="520"/>
      <c r="W78" s="520"/>
      <c r="X78" s="522">
        <f t="shared" si="6"/>
        <v>0</v>
      </c>
      <c r="Y78" s="523">
        <f t="shared" si="7"/>
        <v>0</v>
      </c>
      <c r="Z78" s="524"/>
      <c r="AA78" s="308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8"/>
    </row>
    <row r="79" spans="1:42" ht="24.95" hidden="1" customHeight="1" x14ac:dyDescent="0.25">
      <c r="A79" s="78"/>
      <c r="B79" s="218"/>
      <c r="C79" s="39"/>
      <c r="D79" s="520"/>
      <c r="E79" s="520"/>
      <c r="F79" s="520"/>
      <c r="G79" s="520"/>
      <c r="H79" s="520"/>
      <c r="I79" s="520"/>
      <c r="J79" s="520"/>
      <c r="K79" s="520"/>
      <c r="L79" s="520"/>
      <c r="M79" s="520"/>
      <c r="N79" s="520"/>
      <c r="O79" s="520"/>
      <c r="P79" s="520"/>
      <c r="Q79" s="520"/>
      <c r="R79" s="520">
        <f t="shared" si="1"/>
        <v>0</v>
      </c>
      <c r="S79" s="520"/>
      <c r="T79" s="520"/>
      <c r="U79" s="520"/>
      <c r="V79" s="520"/>
      <c r="W79" s="520"/>
      <c r="X79" s="522">
        <f t="shared" si="6"/>
        <v>0</v>
      </c>
      <c r="Y79" s="523">
        <f t="shared" si="7"/>
        <v>0</v>
      </c>
      <c r="Z79" s="524"/>
      <c r="AA79" s="308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8"/>
    </row>
    <row r="80" spans="1:42" ht="24.95" hidden="1" customHeight="1" x14ac:dyDescent="0.25">
      <c r="A80" s="78"/>
      <c r="B80" s="218"/>
      <c r="C80" s="39"/>
      <c r="D80" s="520"/>
      <c r="E80" s="520"/>
      <c r="F80" s="520"/>
      <c r="G80" s="520"/>
      <c r="H80" s="520"/>
      <c r="I80" s="520"/>
      <c r="J80" s="520"/>
      <c r="K80" s="520"/>
      <c r="L80" s="520"/>
      <c r="M80" s="520"/>
      <c r="N80" s="520"/>
      <c r="O80" s="520"/>
      <c r="P80" s="520"/>
      <c r="Q80" s="520"/>
      <c r="R80" s="520">
        <f t="shared" si="1"/>
        <v>0</v>
      </c>
      <c r="S80" s="520"/>
      <c r="T80" s="520"/>
      <c r="U80" s="520"/>
      <c r="V80" s="520"/>
      <c r="W80" s="520"/>
      <c r="X80" s="522">
        <f t="shared" si="6"/>
        <v>0</v>
      </c>
      <c r="Y80" s="523">
        <f t="shared" si="7"/>
        <v>0</v>
      </c>
      <c r="Z80" s="524"/>
      <c r="AA80" s="308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8"/>
    </row>
    <row r="81" spans="1:42" ht="24.95" hidden="1" customHeight="1" x14ac:dyDescent="0.25">
      <c r="A81" s="78"/>
      <c r="B81" s="218"/>
      <c r="C81" s="39"/>
      <c r="D81" s="520"/>
      <c r="E81" s="520"/>
      <c r="F81" s="520"/>
      <c r="G81" s="520"/>
      <c r="H81" s="520"/>
      <c r="I81" s="520"/>
      <c r="J81" s="520"/>
      <c r="K81" s="520"/>
      <c r="L81" s="520"/>
      <c r="M81" s="520"/>
      <c r="N81" s="520"/>
      <c r="O81" s="520"/>
      <c r="P81" s="520"/>
      <c r="Q81" s="520"/>
      <c r="R81" s="520">
        <f t="shared" si="1"/>
        <v>0</v>
      </c>
      <c r="S81" s="520"/>
      <c r="T81" s="520"/>
      <c r="U81" s="520"/>
      <c r="V81" s="520"/>
      <c r="W81" s="520"/>
      <c r="X81" s="522">
        <f t="shared" si="2"/>
        <v>0</v>
      </c>
      <c r="Y81" s="523">
        <f t="shared" si="7"/>
        <v>0</v>
      </c>
      <c r="Z81" s="524"/>
      <c r="AA81" s="308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8"/>
    </row>
    <row r="82" spans="1:42" ht="29.45" hidden="1" customHeight="1" x14ac:dyDescent="0.25">
      <c r="A82" s="78"/>
      <c r="B82" s="218"/>
      <c r="C82" s="39"/>
      <c r="D82" s="520"/>
      <c r="E82" s="520"/>
      <c r="F82" s="520"/>
      <c r="G82" s="520"/>
      <c r="H82" s="520"/>
      <c r="I82" s="520"/>
      <c r="J82" s="520"/>
      <c r="K82" s="520"/>
      <c r="L82" s="520"/>
      <c r="M82" s="520"/>
      <c r="N82" s="520"/>
      <c r="O82" s="520"/>
      <c r="P82" s="520"/>
      <c r="Q82" s="520"/>
      <c r="R82" s="520">
        <f t="shared" si="1"/>
        <v>0</v>
      </c>
      <c r="S82" s="520"/>
      <c r="T82" s="520"/>
      <c r="U82" s="520"/>
      <c r="V82" s="520"/>
      <c r="W82" s="520"/>
      <c r="X82" s="522">
        <f t="shared" ref="X82:X96" si="10">SUM(T82:W82)</f>
        <v>0</v>
      </c>
      <c r="Y82" s="523">
        <f t="shared" si="7"/>
        <v>0</v>
      </c>
      <c r="Z82" s="524"/>
      <c r="AA82" s="308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8"/>
    </row>
    <row r="83" spans="1:42" ht="24.95" hidden="1" customHeight="1" x14ac:dyDescent="0.25">
      <c r="A83" s="78"/>
      <c r="B83" s="218"/>
      <c r="C83" s="39"/>
      <c r="D83" s="520"/>
      <c r="E83" s="520"/>
      <c r="F83" s="520"/>
      <c r="G83" s="520"/>
      <c r="H83" s="520"/>
      <c r="I83" s="520"/>
      <c r="J83" s="520"/>
      <c r="K83" s="520"/>
      <c r="L83" s="520"/>
      <c r="M83" s="520"/>
      <c r="N83" s="520"/>
      <c r="O83" s="520"/>
      <c r="P83" s="520"/>
      <c r="Q83" s="520"/>
      <c r="R83" s="520">
        <f t="shared" si="1"/>
        <v>0</v>
      </c>
      <c r="S83" s="520"/>
      <c r="T83" s="520"/>
      <c r="U83" s="520"/>
      <c r="V83" s="520"/>
      <c r="W83" s="520"/>
      <c r="X83" s="522">
        <f t="shared" si="10"/>
        <v>0</v>
      </c>
      <c r="Y83" s="523">
        <f t="shared" si="7"/>
        <v>0</v>
      </c>
      <c r="Z83" s="524"/>
      <c r="AA83" s="308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8"/>
    </row>
    <row r="84" spans="1:42" ht="24.95" hidden="1" customHeight="1" x14ac:dyDescent="0.25">
      <c r="A84" s="78"/>
      <c r="B84" s="218"/>
      <c r="C84" s="39"/>
      <c r="D84" s="520"/>
      <c r="E84" s="520"/>
      <c r="F84" s="520"/>
      <c r="G84" s="520"/>
      <c r="H84" s="520"/>
      <c r="I84" s="520"/>
      <c r="J84" s="520"/>
      <c r="K84" s="520"/>
      <c r="L84" s="520"/>
      <c r="M84" s="520"/>
      <c r="N84" s="520"/>
      <c r="O84" s="520"/>
      <c r="P84" s="520"/>
      <c r="Q84" s="520"/>
      <c r="R84" s="520">
        <f t="shared" si="1"/>
        <v>0</v>
      </c>
      <c r="S84" s="520"/>
      <c r="T84" s="520"/>
      <c r="U84" s="520"/>
      <c r="V84" s="520"/>
      <c r="W84" s="520"/>
      <c r="X84" s="522">
        <f t="shared" si="10"/>
        <v>0</v>
      </c>
      <c r="Y84" s="523">
        <f t="shared" si="7"/>
        <v>0</v>
      </c>
      <c r="Z84" s="524"/>
      <c r="AA84" s="308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8"/>
    </row>
    <row r="85" spans="1:42" ht="24.95" hidden="1" customHeight="1" x14ac:dyDescent="0.25">
      <c r="A85" s="78"/>
      <c r="B85" s="218"/>
      <c r="C85" s="39"/>
      <c r="D85" s="520"/>
      <c r="E85" s="520"/>
      <c r="F85" s="520"/>
      <c r="G85" s="520"/>
      <c r="H85" s="520"/>
      <c r="I85" s="520"/>
      <c r="J85" s="520"/>
      <c r="K85" s="520"/>
      <c r="L85" s="520"/>
      <c r="M85" s="520"/>
      <c r="N85" s="520"/>
      <c r="O85" s="520"/>
      <c r="P85" s="520"/>
      <c r="Q85" s="520"/>
      <c r="R85" s="520">
        <f t="shared" si="1"/>
        <v>0</v>
      </c>
      <c r="S85" s="520"/>
      <c r="T85" s="520"/>
      <c r="U85" s="520"/>
      <c r="V85" s="520"/>
      <c r="W85" s="520"/>
      <c r="X85" s="522">
        <f>SUM(T85:W85)</f>
        <v>0</v>
      </c>
      <c r="Y85" s="523">
        <f>R85+X85</f>
        <v>0</v>
      </c>
      <c r="Z85" s="524"/>
      <c r="AA85" s="308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8"/>
    </row>
    <row r="86" spans="1:42" ht="24.95" hidden="1" customHeight="1" x14ac:dyDescent="0.25">
      <c r="A86" s="78"/>
      <c r="B86" s="218"/>
      <c r="C86" s="39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0"/>
      <c r="O86" s="520"/>
      <c r="P86" s="520"/>
      <c r="Q86" s="520"/>
      <c r="R86" s="520">
        <f t="shared" si="1"/>
        <v>0</v>
      </c>
      <c r="S86" s="520"/>
      <c r="T86" s="520"/>
      <c r="U86" s="520"/>
      <c r="V86" s="520"/>
      <c r="W86" s="520"/>
      <c r="X86" s="522">
        <f t="shared" si="10"/>
        <v>0</v>
      </c>
      <c r="Y86" s="523">
        <f t="shared" si="7"/>
        <v>0</v>
      </c>
      <c r="Z86" s="524"/>
      <c r="AA86" s="308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8"/>
    </row>
    <row r="87" spans="1:42" ht="24.95" hidden="1" customHeight="1" x14ac:dyDescent="0.25">
      <c r="A87" s="78"/>
      <c r="B87" s="218"/>
      <c r="C87" s="39"/>
      <c r="D87" s="520"/>
      <c r="E87" s="520"/>
      <c r="F87" s="520"/>
      <c r="G87" s="520"/>
      <c r="H87" s="520"/>
      <c r="I87" s="520"/>
      <c r="J87" s="520"/>
      <c r="K87" s="520"/>
      <c r="L87" s="520"/>
      <c r="M87" s="520"/>
      <c r="N87" s="520"/>
      <c r="O87" s="520"/>
      <c r="P87" s="520"/>
      <c r="Q87" s="520"/>
      <c r="R87" s="520">
        <f t="shared" si="1"/>
        <v>0</v>
      </c>
      <c r="S87" s="520"/>
      <c r="T87" s="520"/>
      <c r="U87" s="520"/>
      <c r="V87" s="520"/>
      <c r="W87" s="520"/>
      <c r="X87" s="522">
        <f t="shared" si="10"/>
        <v>0</v>
      </c>
      <c r="Y87" s="523">
        <f t="shared" ref="Y87:Y96" si="11">R87+X87</f>
        <v>0</v>
      </c>
      <c r="Z87" s="524"/>
      <c r="AA87" s="308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8"/>
    </row>
    <row r="88" spans="1:42" ht="24.95" hidden="1" customHeight="1" x14ac:dyDescent="0.25">
      <c r="A88" s="78"/>
      <c r="B88" s="218"/>
      <c r="C88" s="39"/>
      <c r="D88" s="520"/>
      <c r="E88" s="520"/>
      <c r="F88" s="520"/>
      <c r="G88" s="520"/>
      <c r="H88" s="520"/>
      <c r="I88" s="520"/>
      <c r="J88" s="520"/>
      <c r="K88" s="520"/>
      <c r="L88" s="520"/>
      <c r="M88" s="520"/>
      <c r="N88" s="520"/>
      <c r="O88" s="520"/>
      <c r="P88" s="520"/>
      <c r="Q88" s="520"/>
      <c r="R88" s="520">
        <f t="shared" si="1"/>
        <v>0</v>
      </c>
      <c r="S88" s="520"/>
      <c r="T88" s="520"/>
      <c r="U88" s="520"/>
      <c r="V88" s="520"/>
      <c r="W88" s="520"/>
      <c r="X88" s="522">
        <f t="shared" si="10"/>
        <v>0</v>
      </c>
      <c r="Y88" s="523">
        <f t="shared" si="11"/>
        <v>0</v>
      </c>
      <c r="Z88" s="524"/>
      <c r="AA88" s="308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8"/>
    </row>
    <row r="89" spans="1:42" ht="24.95" hidden="1" customHeight="1" x14ac:dyDescent="0.25">
      <c r="A89" s="217"/>
      <c r="B89" s="218"/>
      <c r="C89" s="39"/>
      <c r="D89" s="520"/>
      <c r="E89" s="520"/>
      <c r="F89" s="520"/>
      <c r="G89" s="520"/>
      <c r="H89" s="520"/>
      <c r="I89" s="520"/>
      <c r="J89" s="520"/>
      <c r="K89" s="520"/>
      <c r="L89" s="520"/>
      <c r="M89" s="520"/>
      <c r="N89" s="520"/>
      <c r="O89" s="520"/>
      <c r="P89" s="520"/>
      <c r="Q89" s="520"/>
      <c r="R89" s="520">
        <f t="shared" si="1"/>
        <v>0</v>
      </c>
      <c r="S89" s="520"/>
      <c r="T89" s="520"/>
      <c r="U89" s="520"/>
      <c r="V89" s="520"/>
      <c r="W89" s="520"/>
      <c r="X89" s="522">
        <f t="shared" si="10"/>
        <v>0</v>
      </c>
      <c r="Y89" s="523">
        <f t="shared" si="11"/>
        <v>0</v>
      </c>
      <c r="Z89" s="524"/>
      <c r="AA89" s="308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8"/>
    </row>
    <row r="90" spans="1:42" ht="24.95" hidden="1" customHeight="1" x14ac:dyDescent="0.25">
      <c r="A90" s="78"/>
      <c r="C90" s="39"/>
      <c r="D90" s="520"/>
      <c r="E90" s="520"/>
      <c r="F90" s="520"/>
      <c r="G90" s="520"/>
      <c r="H90" s="520"/>
      <c r="I90" s="520"/>
      <c r="J90" s="520"/>
      <c r="K90" s="520"/>
      <c r="L90" s="520"/>
      <c r="M90" s="520"/>
      <c r="N90" s="520"/>
      <c r="O90" s="520"/>
      <c r="P90" s="520"/>
      <c r="Q90" s="520"/>
      <c r="R90" s="520">
        <f t="shared" si="1"/>
        <v>0</v>
      </c>
      <c r="S90" s="520"/>
      <c r="T90" s="520"/>
      <c r="U90" s="520"/>
      <c r="V90" s="520"/>
      <c r="W90" s="520"/>
      <c r="X90" s="522">
        <f t="shared" si="10"/>
        <v>0</v>
      </c>
      <c r="Y90" s="523">
        <f t="shared" si="11"/>
        <v>0</v>
      </c>
      <c r="Z90" s="524"/>
      <c r="AA90" s="308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8"/>
    </row>
    <row r="91" spans="1:42" ht="24.95" hidden="1" customHeight="1" x14ac:dyDescent="0.25">
      <c r="A91" s="78"/>
      <c r="C91" s="132"/>
      <c r="D91" s="520"/>
      <c r="E91" s="520"/>
      <c r="F91" s="520"/>
      <c r="G91" s="520"/>
      <c r="H91" s="520"/>
      <c r="I91" s="520"/>
      <c r="J91" s="520"/>
      <c r="K91" s="520"/>
      <c r="L91" s="520"/>
      <c r="M91" s="520"/>
      <c r="N91" s="520"/>
      <c r="O91" s="520"/>
      <c r="P91" s="520"/>
      <c r="Q91" s="520"/>
      <c r="R91" s="520">
        <f t="shared" si="1"/>
        <v>0</v>
      </c>
      <c r="S91" s="520"/>
      <c r="T91" s="520"/>
      <c r="U91" s="520"/>
      <c r="V91" s="520"/>
      <c r="W91" s="520"/>
      <c r="X91" s="522">
        <f t="shared" si="10"/>
        <v>0</v>
      </c>
      <c r="Y91" s="523">
        <f t="shared" si="11"/>
        <v>0</v>
      </c>
      <c r="Z91" s="524"/>
      <c r="AA91" s="308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8"/>
    </row>
    <row r="92" spans="1:42" ht="24.95" hidden="1" customHeight="1" x14ac:dyDescent="0.25">
      <c r="A92" s="78"/>
      <c r="B92" s="132"/>
      <c r="C92" s="39"/>
      <c r="D92" s="520"/>
      <c r="E92" s="520"/>
      <c r="F92" s="520"/>
      <c r="G92" s="520"/>
      <c r="H92" s="520"/>
      <c r="I92" s="520"/>
      <c r="J92" s="520"/>
      <c r="K92" s="520"/>
      <c r="L92" s="520"/>
      <c r="M92" s="520"/>
      <c r="N92" s="520"/>
      <c r="O92" s="520"/>
      <c r="P92" s="520"/>
      <c r="Q92" s="520"/>
      <c r="R92" s="520">
        <f t="shared" si="1"/>
        <v>0</v>
      </c>
      <c r="S92" s="520"/>
      <c r="T92" s="520"/>
      <c r="U92" s="520"/>
      <c r="V92" s="520"/>
      <c r="W92" s="520"/>
      <c r="X92" s="522">
        <f t="shared" si="10"/>
        <v>0</v>
      </c>
      <c r="Y92" s="523">
        <f t="shared" si="11"/>
        <v>0</v>
      </c>
      <c r="Z92" s="524"/>
      <c r="AA92" s="308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8"/>
    </row>
    <row r="93" spans="1:42" ht="24.95" hidden="1" customHeight="1" x14ac:dyDescent="0.25">
      <c r="A93" s="78"/>
      <c r="B93" s="132"/>
      <c r="C93" s="39"/>
      <c r="D93" s="520"/>
      <c r="E93" s="520"/>
      <c r="F93" s="520"/>
      <c r="G93" s="520"/>
      <c r="H93" s="520"/>
      <c r="I93" s="520"/>
      <c r="J93" s="520"/>
      <c r="K93" s="520"/>
      <c r="L93" s="520"/>
      <c r="M93" s="520"/>
      <c r="N93" s="520"/>
      <c r="O93" s="520"/>
      <c r="P93" s="520"/>
      <c r="Q93" s="520"/>
      <c r="R93" s="520">
        <f t="shared" si="1"/>
        <v>0</v>
      </c>
      <c r="S93" s="520"/>
      <c r="T93" s="520"/>
      <c r="U93" s="520"/>
      <c r="V93" s="520"/>
      <c r="W93" s="520"/>
      <c r="X93" s="522">
        <f t="shared" si="10"/>
        <v>0</v>
      </c>
      <c r="Y93" s="523">
        <f t="shared" si="11"/>
        <v>0</v>
      </c>
      <c r="Z93" s="524"/>
      <c r="AA93" s="308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8"/>
    </row>
    <row r="94" spans="1:42" ht="24.95" hidden="1" customHeight="1" x14ac:dyDescent="0.25">
      <c r="A94" s="78"/>
      <c r="B94" s="132"/>
      <c r="C94" s="39"/>
      <c r="D94" s="520"/>
      <c r="E94" s="520"/>
      <c r="F94" s="520"/>
      <c r="G94" s="520"/>
      <c r="H94" s="520"/>
      <c r="I94" s="520"/>
      <c r="J94" s="520"/>
      <c r="K94" s="520"/>
      <c r="L94" s="520"/>
      <c r="M94" s="520"/>
      <c r="N94" s="520"/>
      <c r="O94" s="520"/>
      <c r="P94" s="520"/>
      <c r="Q94" s="520"/>
      <c r="R94" s="520">
        <f t="shared" si="1"/>
        <v>0</v>
      </c>
      <c r="S94" s="520"/>
      <c r="T94" s="520"/>
      <c r="U94" s="520"/>
      <c r="V94" s="520"/>
      <c r="W94" s="520"/>
      <c r="X94" s="522">
        <f t="shared" si="10"/>
        <v>0</v>
      </c>
      <c r="Y94" s="523">
        <f t="shared" si="11"/>
        <v>0</v>
      </c>
      <c r="Z94" s="524"/>
      <c r="AA94" s="308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8"/>
    </row>
    <row r="95" spans="1:42" ht="24.95" hidden="1" customHeight="1" x14ac:dyDescent="0.25">
      <c r="A95" s="78"/>
      <c r="B95" s="132"/>
      <c r="C95" s="39"/>
      <c r="D95" s="520"/>
      <c r="E95" s="520"/>
      <c r="F95" s="520"/>
      <c r="G95" s="520"/>
      <c r="H95" s="520"/>
      <c r="I95" s="520"/>
      <c r="J95" s="520"/>
      <c r="K95" s="520"/>
      <c r="L95" s="520"/>
      <c r="M95" s="520"/>
      <c r="N95" s="520"/>
      <c r="O95" s="520"/>
      <c r="P95" s="520"/>
      <c r="Q95" s="520"/>
      <c r="R95" s="520">
        <f t="shared" si="1"/>
        <v>0</v>
      </c>
      <c r="S95" s="520"/>
      <c r="T95" s="520"/>
      <c r="U95" s="520"/>
      <c r="V95" s="520"/>
      <c r="W95" s="520"/>
      <c r="X95" s="522">
        <f t="shared" si="10"/>
        <v>0</v>
      </c>
      <c r="Y95" s="523">
        <f t="shared" si="11"/>
        <v>0</v>
      </c>
      <c r="Z95" s="524"/>
      <c r="AA95" s="308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8"/>
    </row>
    <row r="96" spans="1:42" ht="24.95" hidden="1" customHeight="1" x14ac:dyDescent="0.25">
      <c r="A96" s="78"/>
      <c r="B96" s="132"/>
      <c r="C96" s="39"/>
      <c r="D96" s="520"/>
      <c r="E96" s="520"/>
      <c r="F96" s="520"/>
      <c r="G96" s="520"/>
      <c r="H96" s="520"/>
      <c r="I96" s="520"/>
      <c r="J96" s="520"/>
      <c r="K96" s="520"/>
      <c r="L96" s="520"/>
      <c r="M96" s="520"/>
      <c r="N96" s="520"/>
      <c r="O96" s="520"/>
      <c r="P96" s="520"/>
      <c r="Q96" s="520"/>
      <c r="R96" s="520">
        <f t="shared" si="1"/>
        <v>0</v>
      </c>
      <c r="S96" s="520"/>
      <c r="T96" s="520"/>
      <c r="U96" s="520"/>
      <c r="V96" s="520"/>
      <c r="W96" s="520"/>
      <c r="X96" s="522">
        <f t="shared" si="10"/>
        <v>0</v>
      </c>
      <c r="Y96" s="523">
        <f t="shared" si="11"/>
        <v>0</v>
      </c>
      <c r="Z96" s="524"/>
      <c r="AA96" s="308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8"/>
    </row>
    <row r="97" spans="1:74" ht="30" hidden="1" customHeight="1" x14ac:dyDescent="0.25">
      <c r="A97" s="78"/>
      <c r="B97" s="132"/>
      <c r="C97" s="28"/>
      <c r="D97" s="520"/>
      <c r="E97" s="520"/>
      <c r="F97" s="520"/>
      <c r="G97" s="520"/>
      <c r="H97" s="520"/>
      <c r="I97" s="520"/>
      <c r="J97" s="520"/>
      <c r="K97" s="520"/>
      <c r="L97" s="520"/>
      <c r="M97" s="520"/>
      <c r="N97" s="520"/>
      <c r="O97" s="520"/>
      <c r="P97" s="520"/>
      <c r="Q97" s="520"/>
      <c r="R97" s="520">
        <f t="shared" si="1"/>
        <v>0</v>
      </c>
      <c r="S97" s="520"/>
      <c r="T97" s="520"/>
      <c r="U97" s="520"/>
      <c r="V97" s="520"/>
      <c r="W97" s="520"/>
      <c r="X97" s="522">
        <f t="shared" si="2"/>
        <v>0</v>
      </c>
      <c r="Y97" s="523">
        <f t="shared" si="3"/>
        <v>0</v>
      </c>
      <c r="Z97" s="524"/>
      <c r="AA97" s="308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8"/>
    </row>
    <row r="98" spans="1:74" ht="17.25" hidden="1" customHeight="1" thickBot="1" x14ac:dyDescent="0.25">
      <c r="A98" s="78"/>
      <c r="B98" s="120"/>
      <c r="C98" s="154"/>
      <c r="D98" s="525"/>
      <c r="E98" s="525"/>
      <c r="F98" s="525"/>
      <c r="G98" s="525"/>
      <c r="H98" s="525"/>
      <c r="I98" s="525"/>
      <c r="J98" s="525"/>
      <c r="K98" s="525"/>
      <c r="L98" s="525"/>
      <c r="M98" s="525"/>
      <c r="N98" s="525"/>
      <c r="O98" s="525"/>
      <c r="P98" s="525"/>
      <c r="Q98" s="525"/>
      <c r="R98" s="525"/>
      <c r="S98" s="525"/>
      <c r="T98" s="525"/>
      <c r="U98" s="525"/>
      <c r="V98" s="525"/>
      <c r="W98" s="525"/>
      <c r="X98" s="526"/>
      <c r="Y98" s="542"/>
      <c r="Z98" s="527"/>
      <c r="AA98" s="308"/>
    </row>
    <row r="99" spans="1:74" ht="35.1" hidden="1" customHeight="1" thickTop="1" thickBot="1" x14ac:dyDescent="0.25">
      <c r="A99" s="129"/>
      <c r="B99" s="86"/>
      <c r="C99" s="44" t="s">
        <v>19</v>
      </c>
      <c r="D99" s="434">
        <f t="shared" ref="D99:Q99" si="12">SUM(D18:D98)</f>
        <v>3487</v>
      </c>
      <c r="E99" s="434">
        <f t="shared" si="12"/>
        <v>752</v>
      </c>
      <c r="F99" s="434">
        <f t="shared" si="12"/>
        <v>-5660.0649999999996</v>
      </c>
      <c r="G99" s="434">
        <f t="shared" si="12"/>
        <v>0</v>
      </c>
      <c r="H99" s="434">
        <f t="shared" si="12"/>
        <v>33877.31</v>
      </c>
      <c r="I99" s="434">
        <f t="shared" si="12"/>
        <v>0</v>
      </c>
      <c r="J99" s="434">
        <f t="shared" si="12"/>
        <v>2350</v>
      </c>
      <c r="K99" s="434">
        <f t="shared" si="12"/>
        <v>-58326.25</v>
      </c>
      <c r="L99" s="434">
        <f t="shared" si="12"/>
        <v>-7315</v>
      </c>
      <c r="M99" s="434">
        <f t="shared" si="12"/>
        <v>2845</v>
      </c>
      <c r="N99" s="434">
        <f t="shared" si="12"/>
        <v>0</v>
      </c>
      <c r="O99" s="434">
        <f t="shared" si="12"/>
        <v>0</v>
      </c>
      <c r="P99" s="434">
        <f t="shared" si="12"/>
        <v>0</v>
      </c>
      <c r="Q99" s="434">
        <f t="shared" si="12"/>
        <v>0</v>
      </c>
      <c r="R99" s="434">
        <f>SUM(D99:Q99)</f>
        <v>-27990.005000000005</v>
      </c>
      <c r="S99" s="434"/>
      <c r="T99" s="434">
        <f>SUM(T18:T98)</f>
        <v>0</v>
      </c>
      <c r="U99" s="434">
        <f>SUM(U18:U98)</f>
        <v>3850000</v>
      </c>
      <c r="V99" s="434">
        <f>SUM(V18:V98)</f>
        <v>-33877.31</v>
      </c>
      <c r="W99" s="434">
        <f>SUM(W18:W98)</f>
        <v>0</v>
      </c>
      <c r="X99" s="434">
        <f>SUM(X18:X98)</f>
        <v>3816122.69</v>
      </c>
      <c r="Y99" s="435">
        <f t="shared" si="3"/>
        <v>3788132.6850000001</v>
      </c>
      <c r="Z99" s="436">
        <f>SUM(Z18:Z98)</f>
        <v>93886.731</v>
      </c>
      <c r="AA99" s="309"/>
    </row>
    <row r="100" spans="1:74" ht="9.9499999999999993" hidden="1" customHeight="1" thickTop="1" thickBot="1" x14ac:dyDescent="0.25">
      <c r="A100" s="544"/>
      <c r="B100" s="180"/>
      <c r="C100" s="181"/>
      <c r="D100" s="545"/>
      <c r="E100" s="545"/>
      <c r="F100" s="545"/>
      <c r="G100" s="545"/>
      <c r="H100" s="545"/>
      <c r="I100" s="545"/>
      <c r="J100" s="545"/>
      <c r="K100" s="545"/>
      <c r="L100" s="545"/>
      <c r="M100" s="545"/>
      <c r="N100" s="545"/>
      <c r="O100" s="545"/>
      <c r="P100" s="545"/>
      <c r="Q100" s="545"/>
      <c r="R100" s="545"/>
      <c r="S100" s="545"/>
      <c r="T100" s="545"/>
      <c r="U100" s="545"/>
      <c r="V100" s="545"/>
      <c r="W100" s="545"/>
      <c r="X100" s="546"/>
      <c r="Y100" s="546"/>
      <c r="Z100" s="547"/>
      <c r="AA100" s="309"/>
    </row>
    <row r="101" spans="1:74" ht="24.95" hidden="1" customHeight="1" x14ac:dyDescent="0.2">
      <c r="A101" s="548"/>
      <c r="B101" s="220"/>
      <c r="C101" s="549"/>
      <c r="D101" s="550"/>
      <c r="E101" s="550"/>
      <c r="F101" s="550"/>
      <c r="G101" s="550"/>
      <c r="H101" s="550"/>
      <c r="I101" s="550"/>
      <c r="J101" s="550"/>
      <c r="K101" s="550"/>
      <c r="L101" s="550"/>
      <c r="M101" s="550"/>
      <c r="N101" s="550"/>
      <c r="O101" s="550"/>
      <c r="P101" s="550"/>
      <c r="Q101" s="550"/>
      <c r="R101" s="550">
        <f>SUM(D101:Q101)</f>
        <v>0</v>
      </c>
      <c r="S101" s="550"/>
      <c r="T101" s="550"/>
      <c r="U101" s="550"/>
      <c r="V101" s="550"/>
      <c r="W101" s="550"/>
      <c r="X101" s="551">
        <f>SUM(T101:W101)</f>
        <v>0</v>
      </c>
      <c r="Y101" s="552">
        <f>R101+X101</f>
        <v>0</v>
      </c>
      <c r="Z101" s="553"/>
      <c r="AA101" s="309"/>
    </row>
    <row r="102" spans="1:74" ht="9.9499999999999993" hidden="1" customHeight="1" thickBot="1" x14ac:dyDescent="0.25">
      <c r="A102" s="554"/>
      <c r="B102" s="189"/>
      <c r="C102" s="190"/>
      <c r="D102" s="555"/>
      <c r="E102" s="555"/>
      <c r="F102" s="555"/>
      <c r="G102" s="555"/>
      <c r="H102" s="555"/>
      <c r="I102" s="555"/>
      <c r="J102" s="555"/>
      <c r="K102" s="555"/>
      <c r="L102" s="555"/>
      <c r="M102" s="555"/>
      <c r="N102" s="555"/>
      <c r="O102" s="555"/>
      <c r="P102" s="555"/>
      <c r="Q102" s="555"/>
      <c r="R102" s="555"/>
      <c r="S102" s="555"/>
      <c r="T102" s="555"/>
      <c r="U102" s="555"/>
      <c r="V102" s="555"/>
      <c r="W102" s="555"/>
      <c r="X102" s="556"/>
      <c r="Y102" s="556"/>
      <c r="Z102" s="557"/>
      <c r="AA102" s="309"/>
    </row>
    <row r="103" spans="1:74" ht="35.1" hidden="1" customHeight="1" thickTop="1" thickBot="1" x14ac:dyDescent="0.25">
      <c r="A103" s="129"/>
      <c r="B103" s="86"/>
      <c r="C103" s="44" t="s">
        <v>118</v>
      </c>
      <c r="D103" s="517">
        <f t="shared" ref="D103:K103" si="13">D17+D99</f>
        <v>146551</v>
      </c>
      <c r="E103" s="517">
        <f t="shared" si="13"/>
        <v>32816</v>
      </c>
      <c r="F103" s="517">
        <f t="shared" si="13"/>
        <v>4128163.2179999999</v>
      </c>
      <c r="G103" s="517">
        <f t="shared" si="13"/>
        <v>190272</v>
      </c>
      <c r="H103" s="517">
        <f t="shared" si="13"/>
        <v>300942.027</v>
      </c>
      <c r="I103" s="517">
        <f t="shared" si="13"/>
        <v>59640</v>
      </c>
      <c r="J103" s="517">
        <f t="shared" si="13"/>
        <v>689807</v>
      </c>
      <c r="K103" s="517">
        <f t="shared" si="13"/>
        <v>1509673.75</v>
      </c>
      <c r="L103" s="517">
        <f>L17+L99+L101</f>
        <v>4213937</v>
      </c>
      <c r="M103" s="517">
        <f>M17+M99</f>
        <v>21349</v>
      </c>
      <c r="N103" s="517">
        <f>N17+N99</f>
        <v>0</v>
      </c>
      <c r="O103" s="517">
        <f>O17+O99</f>
        <v>3000</v>
      </c>
      <c r="P103" s="517">
        <f>P17+P99</f>
        <v>0</v>
      </c>
      <c r="Q103" s="517">
        <f>Q17+Q99</f>
        <v>93189</v>
      </c>
      <c r="R103" s="517">
        <f>SUM(D103:Q103)</f>
        <v>11389339.995000001</v>
      </c>
      <c r="S103" s="517"/>
      <c r="T103" s="517">
        <f>T17+T99</f>
        <v>0</v>
      </c>
      <c r="U103" s="517">
        <f>U17+U99</f>
        <v>3850000</v>
      </c>
      <c r="V103" s="517">
        <f>V17+V99</f>
        <v>39440.69</v>
      </c>
      <c r="W103" s="517">
        <f>W17+W99</f>
        <v>0</v>
      </c>
      <c r="X103" s="518">
        <f t="shared" si="2"/>
        <v>3889440.69</v>
      </c>
      <c r="Y103" s="518">
        <f>R103+X103</f>
        <v>15278780.685000001</v>
      </c>
      <c r="Z103" s="519">
        <f>Z17+Z99+Z101</f>
        <v>7676080.7309999997</v>
      </c>
      <c r="AA103" s="310"/>
      <c r="AB103" s="81">
        <f>Y103+Z103</f>
        <v>22954861.416000001</v>
      </c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</row>
    <row r="104" spans="1:74" ht="17.25" hidden="1" customHeight="1" thickTop="1" x14ac:dyDescent="0.2">
      <c r="A104" s="26"/>
      <c r="B104" s="130" t="s">
        <v>307</v>
      </c>
      <c r="C104" s="90" t="s">
        <v>111</v>
      </c>
      <c r="D104" s="586"/>
      <c r="E104" s="586"/>
      <c r="F104" s="586"/>
      <c r="G104" s="586"/>
      <c r="H104" s="586"/>
      <c r="I104" s="586"/>
      <c r="J104" s="586"/>
      <c r="K104" s="586">
        <f>30000+173902</f>
        <v>203902</v>
      </c>
      <c r="L104" s="586"/>
      <c r="M104" s="586"/>
      <c r="N104" s="586"/>
      <c r="O104" s="586"/>
      <c r="P104" s="586"/>
      <c r="Q104" s="586"/>
      <c r="R104" s="586">
        <f t="shared" ref="R104:R149" si="14">SUM(D104:Q104)</f>
        <v>203902</v>
      </c>
      <c r="S104" s="91"/>
      <c r="T104" s="91"/>
      <c r="U104" s="91"/>
      <c r="V104" s="91"/>
      <c r="W104" s="91"/>
      <c r="X104" s="95">
        <f t="shared" si="2"/>
        <v>0</v>
      </c>
      <c r="Y104" s="584">
        <f t="shared" si="3"/>
        <v>203902</v>
      </c>
      <c r="Z104" s="597">
        <v>26424</v>
      </c>
      <c r="AA104" s="31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</row>
    <row r="105" spans="1:74" ht="16.5" hidden="1" customHeight="1" x14ac:dyDescent="0.2">
      <c r="A105" s="26"/>
      <c r="B105" s="72" t="s">
        <v>48</v>
      </c>
      <c r="C105" s="92" t="s">
        <v>111</v>
      </c>
      <c r="D105" s="587"/>
      <c r="E105" s="587"/>
      <c r="F105" s="587"/>
      <c r="G105" s="587"/>
      <c r="H105" s="587"/>
      <c r="I105" s="587"/>
      <c r="J105" s="587"/>
      <c r="K105" s="587"/>
      <c r="L105" s="587"/>
      <c r="M105" s="587"/>
      <c r="N105" s="587"/>
      <c r="O105" s="587"/>
      <c r="P105" s="587"/>
      <c r="Q105" s="587"/>
      <c r="R105" s="587">
        <f t="shared" si="14"/>
        <v>0</v>
      </c>
      <c r="S105" s="124"/>
      <c r="T105" s="124"/>
      <c r="U105" s="124"/>
      <c r="V105" s="124"/>
      <c r="W105" s="124"/>
      <c r="X105" s="411">
        <f t="shared" si="2"/>
        <v>0</v>
      </c>
      <c r="Y105" s="585">
        <f t="shared" si="3"/>
        <v>0</v>
      </c>
      <c r="Z105" s="337"/>
      <c r="AA105" s="31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</row>
    <row r="106" spans="1:74" ht="16.5" hidden="1" customHeight="1" x14ac:dyDescent="0.2">
      <c r="A106" s="26"/>
      <c r="B106" s="72" t="s">
        <v>308</v>
      </c>
      <c r="C106" s="92" t="s">
        <v>111</v>
      </c>
      <c r="D106" s="588"/>
      <c r="E106" s="588"/>
      <c r="F106" s="588">
        <f>20000+4999.729+20814</f>
        <v>45813.728999999999</v>
      </c>
      <c r="G106" s="588"/>
      <c r="H106" s="588"/>
      <c r="I106" s="588"/>
      <c r="J106" s="588"/>
      <c r="K106" s="588"/>
      <c r="L106" s="588"/>
      <c r="M106" s="588"/>
      <c r="N106" s="588"/>
      <c r="O106" s="588"/>
      <c r="P106" s="588"/>
      <c r="Q106" s="588"/>
      <c r="R106" s="588">
        <f t="shared" si="14"/>
        <v>45813.728999999999</v>
      </c>
      <c r="S106" s="93"/>
      <c r="T106" s="93"/>
      <c r="U106" s="93">
        <f>1000000</f>
        <v>1000000</v>
      </c>
      <c r="V106" s="93"/>
      <c r="W106" s="93"/>
      <c r="X106" s="96">
        <f t="shared" si="2"/>
        <v>1000000</v>
      </c>
      <c r="Y106" s="585">
        <f t="shared" si="3"/>
        <v>1045813.7290000001</v>
      </c>
      <c r="Z106" s="338"/>
      <c r="AA106" s="31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</row>
    <row r="107" spans="1:74" ht="16.5" hidden="1" customHeight="1" x14ac:dyDescent="0.25">
      <c r="A107" s="26"/>
      <c r="B107" s="72" t="s">
        <v>46</v>
      </c>
      <c r="C107" s="92" t="s">
        <v>111</v>
      </c>
      <c r="D107" s="588"/>
      <c r="E107" s="588"/>
      <c r="F107" s="588"/>
      <c r="G107" s="588"/>
      <c r="H107" s="588"/>
      <c r="I107" s="588"/>
      <c r="J107" s="588"/>
      <c r="K107" s="588"/>
      <c r="L107" s="588"/>
      <c r="M107" s="588"/>
      <c r="N107" s="589"/>
      <c r="O107" s="588"/>
      <c r="P107" s="588"/>
      <c r="Q107" s="588"/>
      <c r="R107" s="588">
        <f t="shared" si="14"/>
        <v>0</v>
      </c>
      <c r="S107" s="93"/>
      <c r="T107" s="93"/>
      <c r="U107" s="93"/>
      <c r="V107" s="93"/>
      <c r="W107" s="93"/>
      <c r="X107" s="96">
        <f t="shared" si="2"/>
        <v>0</v>
      </c>
      <c r="Y107" s="585">
        <f t="shared" si="3"/>
        <v>0</v>
      </c>
      <c r="Z107" s="338"/>
      <c r="AA107" s="31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</row>
    <row r="108" spans="1:74" ht="16.5" hidden="1" customHeight="1" x14ac:dyDescent="0.25">
      <c r="A108" s="26"/>
      <c r="B108" s="72" t="s">
        <v>309</v>
      </c>
      <c r="C108" s="92" t="s">
        <v>111</v>
      </c>
      <c r="D108" s="588"/>
      <c r="E108" s="589"/>
      <c r="F108" s="588">
        <f>3150+850+159</f>
        <v>4159</v>
      </c>
      <c r="G108" s="588"/>
      <c r="H108" s="588"/>
      <c r="I108" s="588"/>
      <c r="J108" s="588"/>
      <c r="K108" s="588"/>
      <c r="L108" s="588"/>
      <c r="M108" s="588"/>
      <c r="N108" s="588"/>
      <c r="O108" s="588"/>
      <c r="P108" s="588"/>
      <c r="Q108" s="588"/>
      <c r="R108" s="588">
        <f t="shared" si="14"/>
        <v>4159</v>
      </c>
      <c r="S108" s="93"/>
      <c r="T108" s="93"/>
      <c r="U108" s="93"/>
      <c r="V108" s="93"/>
      <c r="W108" s="93"/>
      <c r="X108" s="96">
        <f t="shared" si="2"/>
        <v>0</v>
      </c>
      <c r="Y108" s="585">
        <f t="shared" si="3"/>
        <v>4159</v>
      </c>
      <c r="Z108" s="338"/>
      <c r="AA108" s="31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</row>
    <row r="109" spans="1:74" ht="16.5" hidden="1" customHeight="1" x14ac:dyDescent="0.2">
      <c r="A109" s="26"/>
      <c r="B109" s="72" t="s">
        <v>310</v>
      </c>
      <c r="C109" s="92" t="s">
        <v>111</v>
      </c>
      <c r="D109" s="588"/>
      <c r="E109" s="588"/>
      <c r="F109" s="588"/>
      <c r="G109" s="588"/>
      <c r="H109" s="588"/>
      <c r="I109" s="588"/>
      <c r="J109" s="588">
        <f>240+50</f>
        <v>290</v>
      </c>
      <c r="K109" s="588">
        <f>1994</f>
        <v>1994</v>
      </c>
      <c r="L109" s="588"/>
      <c r="M109" s="588"/>
      <c r="N109" s="588">
        <f>635</f>
        <v>635</v>
      </c>
      <c r="O109" s="588"/>
      <c r="P109" s="588"/>
      <c r="Q109" s="588">
        <f>788</f>
        <v>788</v>
      </c>
      <c r="R109" s="588">
        <f t="shared" si="14"/>
        <v>3707</v>
      </c>
      <c r="S109" s="93"/>
      <c r="T109" s="93"/>
      <c r="U109" s="93"/>
      <c r="V109" s="93"/>
      <c r="W109" s="93"/>
      <c r="X109" s="96">
        <f t="shared" si="2"/>
        <v>0</v>
      </c>
      <c r="Y109" s="585">
        <f t="shared" si="3"/>
        <v>3707</v>
      </c>
      <c r="Z109" s="338"/>
      <c r="AA109" s="31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</row>
    <row r="110" spans="1:74" ht="16.5" hidden="1" customHeight="1" x14ac:dyDescent="0.2">
      <c r="A110" s="26"/>
      <c r="B110" s="72" t="s">
        <v>311</v>
      </c>
      <c r="C110" s="92" t="s">
        <v>111</v>
      </c>
      <c r="D110" s="588"/>
      <c r="E110" s="588"/>
      <c r="F110" s="588"/>
      <c r="G110" s="588"/>
      <c r="H110" s="588"/>
      <c r="I110" s="588"/>
      <c r="J110" s="588">
        <f>101</f>
        <v>101</v>
      </c>
      <c r="K110" s="588">
        <f>1844</f>
        <v>1844</v>
      </c>
      <c r="L110" s="588"/>
      <c r="M110" s="588"/>
      <c r="N110" s="588"/>
      <c r="O110" s="588"/>
      <c r="P110" s="588"/>
      <c r="Q110" s="588">
        <f>420</f>
        <v>420</v>
      </c>
      <c r="R110" s="588">
        <f t="shared" si="14"/>
        <v>2365</v>
      </c>
      <c r="S110" s="93"/>
      <c r="T110" s="93"/>
      <c r="U110" s="93"/>
      <c r="V110" s="93"/>
      <c r="W110" s="93"/>
      <c r="X110" s="96">
        <f t="shared" si="2"/>
        <v>0</v>
      </c>
      <c r="Y110" s="585">
        <f t="shared" si="3"/>
        <v>2365</v>
      </c>
      <c r="Z110" s="338"/>
      <c r="AA110" s="31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</row>
    <row r="111" spans="1:74" ht="16.5" hidden="1" customHeight="1" x14ac:dyDescent="0.2">
      <c r="A111" s="26"/>
      <c r="B111" s="72" t="s">
        <v>43</v>
      </c>
      <c r="C111" s="92" t="s">
        <v>111</v>
      </c>
      <c r="D111" s="588"/>
      <c r="E111" s="588"/>
      <c r="F111" s="588"/>
      <c r="G111" s="588"/>
      <c r="H111" s="588"/>
      <c r="I111" s="588"/>
      <c r="J111" s="588"/>
      <c r="K111" s="588"/>
      <c r="L111" s="588"/>
      <c r="M111" s="588"/>
      <c r="N111" s="588"/>
      <c r="O111" s="588"/>
      <c r="P111" s="588"/>
      <c r="Q111" s="588"/>
      <c r="R111" s="588">
        <f t="shared" si="14"/>
        <v>0</v>
      </c>
      <c r="S111" s="93"/>
      <c r="T111" s="93"/>
      <c r="U111" s="93"/>
      <c r="V111" s="93"/>
      <c r="W111" s="93"/>
      <c r="X111" s="96">
        <f t="shared" si="2"/>
        <v>0</v>
      </c>
      <c r="Y111" s="585">
        <f t="shared" si="3"/>
        <v>0</v>
      </c>
      <c r="Z111" s="338"/>
      <c r="AA111" s="31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</row>
    <row r="112" spans="1:74" ht="16.5" hidden="1" customHeight="1" x14ac:dyDescent="0.2">
      <c r="A112" s="26"/>
      <c r="B112" s="72" t="s">
        <v>312</v>
      </c>
      <c r="C112" s="92" t="s">
        <v>111</v>
      </c>
      <c r="D112" s="588">
        <f>1013</f>
        <v>1013</v>
      </c>
      <c r="E112" s="588">
        <f>300</f>
        <v>300</v>
      </c>
      <c r="F112" s="588">
        <f>100+524+168</f>
        <v>792</v>
      </c>
      <c r="G112" s="588"/>
      <c r="H112" s="588"/>
      <c r="I112" s="588"/>
      <c r="J112" s="588"/>
      <c r="K112" s="588"/>
      <c r="L112" s="588"/>
      <c r="M112" s="588"/>
      <c r="N112" s="588"/>
      <c r="O112" s="588"/>
      <c r="P112" s="588"/>
      <c r="Q112" s="588"/>
      <c r="R112" s="588">
        <f t="shared" si="14"/>
        <v>2105</v>
      </c>
      <c r="S112" s="93"/>
      <c r="T112" s="93"/>
      <c r="U112" s="93"/>
      <c r="V112" s="93"/>
      <c r="W112" s="93"/>
      <c r="X112" s="96">
        <f t="shared" si="2"/>
        <v>0</v>
      </c>
      <c r="Y112" s="585">
        <f t="shared" si="3"/>
        <v>2105</v>
      </c>
      <c r="Z112" s="338"/>
      <c r="AA112" s="31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</row>
    <row r="113" spans="1:74" ht="16.5" hidden="1" customHeight="1" x14ac:dyDescent="0.2">
      <c r="A113" s="26"/>
      <c r="B113" s="72" t="s">
        <v>44</v>
      </c>
      <c r="C113" s="92" t="s">
        <v>111</v>
      </c>
      <c r="D113" s="588"/>
      <c r="E113" s="588"/>
      <c r="F113" s="588"/>
      <c r="G113" s="588"/>
      <c r="H113" s="588"/>
      <c r="I113" s="588"/>
      <c r="J113" s="588"/>
      <c r="K113" s="588"/>
      <c r="L113" s="588"/>
      <c r="M113" s="588"/>
      <c r="N113" s="588"/>
      <c r="O113" s="588"/>
      <c r="P113" s="588"/>
      <c r="Q113" s="588"/>
      <c r="R113" s="588">
        <f t="shared" si="14"/>
        <v>0</v>
      </c>
      <c r="S113" s="93"/>
      <c r="T113" s="93"/>
      <c r="U113" s="93"/>
      <c r="V113" s="93"/>
      <c r="W113" s="93"/>
      <c r="X113" s="96">
        <f t="shared" si="2"/>
        <v>0</v>
      </c>
      <c r="Y113" s="585">
        <f t="shared" si="3"/>
        <v>0</v>
      </c>
      <c r="Z113" s="338"/>
      <c r="AA113" s="31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</row>
    <row r="114" spans="1:74" ht="16.5" hidden="1" customHeight="1" x14ac:dyDescent="0.2">
      <c r="A114" s="26"/>
      <c r="B114" s="72" t="s">
        <v>313</v>
      </c>
      <c r="C114" s="92" t="s">
        <v>111</v>
      </c>
      <c r="D114" s="588">
        <f>20</f>
        <v>20</v>
      </c>
      <c r="E114" s="588"/>
      <c r="F114" s="588">
        <f>15+50+548+166</f>
        <v>779</v>
      </c>
      <c r="G114" s="588"/>
      <c r="H114" s="588"/>
      <c r="I114" s="588"/>
      <c r="J114" s="588"/>
      <c r="K114" s="588"/>
      <c r="L114" s="588">
        <f>63+17</f>
        <v>80</v>
      </c>
      <c r="M114" s="588"/>
      <c r="N114" s="588"/>
      <c r="O114" s="588"/>
      <c r="P114" s="588"/>
      <c r="Q114" s="588"/>
      <c r="R114" s="588">
        <f t="shared" si="14"/>
        <v>879</v>
      </c>
      <c r="S114" s="93"/>
      <c r="T114" s="93"/>
      <c r="U114" s="93"/>
      <c r="V114" s="93"/>
      <c r="W114" s="93"/>
      <c r="X114" s="96">
        <f t="shared" si="2"/>
        <v>0</v>
      </c>
      <c r="Y114" s="585">
        <f t="shared" si="3"/>
        <v>879</v>
      </c>
      <c r="Z114" s="338"/>
      <c r="AA114" s="31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</row>
    <row r="115" spans="1:74" ht="16.5" hidden="1" customHeight="1" x14ac:dyDescent="0.2">
      <c r="A115" s="26"/>
      <c r="B115" s="72" t="s">
        <v>314</v>
      </c>
      <c r="C115" s="92" t="s">
        <v>111</v>
      </c>
      <c r="D115" s="588">
        <f>361</f>
        <v>361</v>
      </c>
      <c r="E115" s="588">
        <f>79</f>
        <v>79</v>
      </c>
      <c r="F115" s="588">
        <f>885+534+144+1313+355+5920+1000+270+1439+29400+7938</f>
        <v>49198</v>
      </c>
      <c r="G115" s="588"/>
      <c r="H115" s="588"/>
      <c r="I115" s="588"/>
      <c r="J115" s="588"/>
      <c r="K115" s="588"/>
      <c r="L115" s="588"/>
      <c r="M115" s="588"/>
      <c r="N115" s="588">
        <f>100000</f>
        <v>100000</v>
      </c>
      <c r="O115" s="588"/>
      <c r="P115" s="588"/>
      <c r="Q115" s="588"/>
      <c r="R115" s="588">
        <f t="shared" si="14"/>
        <v>149638</v>
      </c>
      <c r="S115" s="93"/>
      <c r="T115" s="93"/>
      <c r="U115" s="93"/>
      <c r="V115" s="93"/>
      <c r="W115" s="93"/>
      <c r="X115" s="96">
        <f t="shared" si="2"/>
        <v>0</v>
      </c>
      <c r="Y115" s="585">
        <f t="shared" si="3"/>
        <v>149638</v>
      </c>
      <c r="Z115" s="338"/>
      <c r="AA115" s="311"/>
      <c r="AB115" s="8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</row>
    <row r="116" spans="1:74" ht="16.5" hidden="1" customHeight="1" x14ac:dyDescent="0.2">
      <c r="A116" s="26"/>
      <c r="B116" s="72" t="s">
        <v>315</v>
      </c>
      <c r="C116" s="92" t="s">
        <v>111</v>
      </c>
      <c r="D116" s="588"/>
      <c r="E116" s="588"/>
      <c r="F116" s="588">
        <f>5080+1372+800+162+2100+567+11384+3074+1500+405</f>
        <v>26444</v>
      </c>
      <c r="G116" s="588"/>
      <c r="H116" s="588"/>
      <c r="I116" s="588"/>
      <c r="J116" s="588"/>
      <c r="K116" s="588"/>
      <c r="L116" s="588"/>
      <c r="M116" s="588"/>
      <c r="N116" s="588"/>
      <c r="O116" s="588"/>
      <c r="P116" s="588"/>
      <c r="Q116" s="588"/>
      <c r="R116" s="588">
        <f t="shared" si="14"/>
        <v>26444</v>
      </c>
      <c r="S116" s="93"/>
      <c r="T116" s="93"/>
      <c r="U116" s="93"/>
      <c r="V116" s="93"/>
      <c r="W116" s="93"/>
      <c r="X116" s="96">
        <f t="shared" si="2"/>
        <v>0</v>
      </c>
      <c r="Y116" s="585">
        <f t="shared" si="3"/>
        <v>26444</v>
      </c>
      <c r="Z116" s="338"/>
      <c r="AA116" s="311"/>
      <c r="AB116" s="8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</row>
    <row r="117" spans="1:74" ht="16.5" hidden="1" customHeight="1" x14ac:dyDescent="0.2">
      <c r="A117" s="26"/>
      <c r="B117" s="72" t="s">
        <v>188</v>
      </c>
      <c r="C117" s="92" t="s">
        <v>111</v>
      </c>
      <c r="D117" s="588"/>
      <c r="E117" s="588"/>
      <c r="F117" s="588"/>
      <c r="G117" s="588"/>
      <c r="H117" s="588"/>
      <c r="I117" s="588"/>
      <c r="J117" s="588"/>
      <c r="K117" s="588"/>
      <c r="L117" s="588"/>
      <c r="M117" s="588"/>
      <c r="N117" s="588"/>
      <c r="O117" s="588"/>
      <c r="P117" s="588"/>
      <c r="Q117" s="588"/>
      <c r="R117" s="588">
        <f t="shared" si="14"/>
        <v>0</v>
      </c>
      <c r="S117" s="93"/>
      <c r="T117" s="93"/>
      <c r="U117" s="93"/>
      <c r="V117" s="93"/>
      <c r="W117" s="93"/>
      <c r="X117" s="96">
        <f>SUM(T117:W117)</f>
        <v>0</v>
      </c>
      <c r="Y117" s="585">
        <f>R117+X117</f>
        <v>0</v>
      </c>
      <c r="Z117" s="338"/>
      <c r="AA117" s="311"/>
      <c r="AB117" s="8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</row>
    <row r="118" spans="1:74" ht="16.5" hidden="1" customHeight="1" x14ac:dyDescent="0.2">
      <c r="A118" s="26"/>
      <c r="B118" s="72" t="s">
        <v>316</v>
      </c>
      <c r="C118" s="92" t="s">
        <v>111</v>
      </c>
      <c r="D118" s="588"/>
      <c r="E118" s="588"/>
      <c r="F118" s="588">
        <f>36400+9828+2994+808+3560+961+1600+432</f>
        <v>56583</v>
      </c>
      <c r="G118" s="588"/>
      <c r="H118" s="588"/>
      <c r="I118" s="588"/>
      <c r="J118" s="588"/>
      <c r="K118" s="588"/>
      <c r="L118" s="588"/>
      <c r="M118" s="588"/>
      <c r="N118" s="588"/>
      <c r="O118" s="588"/>
      <c r="P118" s="588"/>
      <c r="Q118" s="588"/>
      <c r="R118" s="588">
        <f t="shared" si="14"/>
        <v>56583</v>
      </c>
      <c r="S118" s="93"/>
      <c r="T118" s="93"/>
      <c r="U118" s="93"/>
      <c r="V118" s="93"/>
      <c r="W118" s="93"/>
      <c r="X118" s="96">
        <f t="shared" si="2"/>
        <v>0</v>
      </c>
      <c r="Y118" s="585">
        <f t="shared" si="3"/>
        <v>56583</v>
      </c>
      <c r="Z118" s="338"/>
      <c r="AA118" s="311"/>
      <c r="AB118" s="8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</row>
    <row r="119" spans="1:74" ht="16.5" hidden="1" customHeight="1" x14ac:dyDescent="0.2">
      <c r="A119" s="26"/>
      <c r="B119" s="72" t="s">
        <v>317</v>
      </c>
      <c r="C119" s="92" t="s">
        <v>111</v>
      </c>
      <c r="D119" s="588">
        <f>854</f>
        <v>854</v>
      </c>
      <c r="E119" s="588">
        <f>180</f>
        <v>180</v>
      </c>
      <c r="F119" s="588">
        <f>495+133+4000+1080</f>
        <v>5708</v>
      </c>
      <c r="G119" s="588"/>
      <c r="H119" s="588"/>
      <c r="I119" s="588"/>
      <c r="J119" s="588"/>
      <c r="K119" s="588">
        <f>732+51500</f>
        <v>52232</v>
      </c>
      <c r="L119" s="588"/>
      <c r="M119" s="588"/>
      <c r="N119" s="588"/>
      <c r="O119" s="588"/>
      <c r="P119" s="588"/>
      <c r="Q119" s="588">
        <f>26483+2881+64118</f>
        <v>93482</v>
      </c>
      <c r="R119" s="588">
        <f t="shared" si="14"/>
        <v>152456</v>
      </c>
      <c r="S119" s="93"/>
      <c r="T119" s="93"/>
      <c r="U119" s="93"/>
      <c r="V119" s="93"/>
      <c r="W119" s="93"/>
      <c r="X119" s="96">
        <f t="shared" ref="X119" si="15">SUM(T119:W119)</f>
        <v>0</v>
      </c>
      <c r="Y119" s="585">
        <f t="shared" ref="Y119" si="16">R119+X119</f>
        <v>152456</v>
      </c>
      <c r="Z119" s="338"/>
      <c r="AA119" s="311"/>
      <c r="AB119" s="8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</row>
    <row r="120" spans="1:74" ht="16.5" hidden="1" customHeight="1" x14ac:dyDescent="0.2">
      <c r="A120" s="26"/>
      <c r="B120" s="73" t="s">
        <v>318</v>
      </c>
      <c r="C120" s="94" t="s">
        <v>111</v>
      </c>
      <c r="D120" s="588">
        <f>262</f>
        <v>262</v>
      </c>
      <c r="E120" s="588">
        <f>58</f>
        <v>58</v>
      </c>
      <c r="F120" s="588">
        <f>6885+4000+660+969</f>
        <v>12514</v>
      </c>
      <c r="G120" s="588"/>
      <c r="H120" s="588"/>
      <c r="I120" s="588"/>
      <c r="J120" s="588">
        <f>1017+4586</f>
        <v>5603</v>
      </c>
      <c r="K120" s="588"/>
      <c r="L120" s="588"/>
      <c r="M120" s="588"/>
      <c r="N120" s="588"/>
      <c r="O120" s="588"/>
      <c r="P120" s="588"/>
      <c r="Q120" s="588"/>
      <c r="R120" s="588">
        <f t="shared" si="14"/>
        <v>18437</v>
      </c>
      <c r="S120" s="93"/>
      <c r="T120" s="93"/>
      <c r="U120" s="93"/>
      <c r="V120" s="93"/>
      <c r="W120" s="93"/>
      <c r="X120" s="96">
        <f t="shared" si="2"/>
        <v>0</v>
      </c>
      <c r="Y120" s="585">
        <f t="shared" si="3"/>
        <v>18437</v>
      </c>
      <c r="Z120" s="338"/>
      <c r="AA120" s="311"/>
      <c r="AB120" s="8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</row>
    <row r="121" spans="1:74" ht="16.5" hidden="1" customHeight="1" x14ac:dyDescent="0.2">
      <c r="A121" s="26"/>
      <c r="B121" s="73" t="s">
        <v>320</v>
      </c>
      <c r="C121" s="94" t="s">
        <v>111</v>
      </c>
      <c r="D121" s="588"/>
      <c r="E121" s="588"/>
      <c r="F121" s="588">
        <f>29068+7849</f>
        <v>36917</v>
      </c>
      <c r="G121" s="588"/>
      <c r="H121" s="588"/>
      <c r="I121" s="588"/>
      <c r="J121" s="588"/>
      <c r="K121" s="588"/>
      <c r="L121" s="588"/>
      <c r="M121" s="588"/>
      <c r="N121" s="588"/>
      <c r="O121" s="588"/>
      <c r="P121" s="588"/>
      <c r="Q121" s="588"/>
      <c r="R121" s="588">
        <f t="shared" si="14"/>
        <v>36917</v>
      </c>
      <c r="S121" s="93"/>
      <c r="T121" s="93"/>
      <c r="U121" s="93"/>
      <c r="V121" s="93"/>
      <c r="W121" s="93"/>
      <c r="X121" s="96">
        <f t="shared" si="2"/>
        <v>0</v>
      </c>
      <c r="Y121" s="585">
        <f t="shared" si="3"/>
        <v>36917</v>
      </c>
      <c r="Z121" s="598">
        <v>69023.486000000004</v>
      </c>
      <c r="AA121" s="311"/>
      <c r="AB121" s="8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</row>
    <row r="122" spans="1:74" ht="16.5" hidden="1" customHeight="1" x14ac:dyDescent="0.2">
      <c r="A122" s="26"/>
      <c r="B122" s="73" t="s">
        <v>319</v>
      </c>
      <c r="C122" s="94" t="s">
        <v>111</v>
      </c>
      <c r="D122" s="588"/>
      <c r="E122" s="588"/>
      <c r="F122" s="588">
        <f>2000+540</f>
        <v>2540</v>
      </c>
      <c r="G122" s="588">
        <f>1073+10000+1000+1600+1000</f>
        <v>14673</v>
      </c>
      <c r="H122" s="588"/>
      <c r="I122" s="588"/>
      <c r="J122" s="588">
        <f>1500+1500+1500</f>
        <v>4500</v>
      </c>
      <c r="K122" s="588"/>
      <c r="L122" s="588"/>
      <c r="M122" s="588"/>
      <c r="N122" s="588"/>
      <c r="O122" s="588">
        <f>2000</f>
        <v>2000</v>
      </c>
      <c r="P122" s="588"/>
      <c r="Q122" s="588">
        <f>1100</f>
        <v>1100</v>
      </c>
      <c r="R122" s="588">
        <f t="shared" si="14"/>
        <v>24813</v>
      </c>
      <c r="S122" s="93"/>
      <c r="T122" s="93"/>
      <c r="U122" s="93"/>
      <c r="V122" s="93"/>
      <c r="W122" s="93"/>
      <c r="X122" s="96">
        <f t="shared" si="2"/>
        <v>0</v>
      </c>
      <c r="Y122" s="585">
        <f t="shared" si="3"/>
        <v>24813</v>
      </c>
      <c r="Z122" s="338"/>
      <c r="AA122" s="311"/>
      <c r="AB122" s="8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</row>
    <row r="123" spans="1:74" ht="16.5" hidden="1" customHeight="1" x14ac:dyDescent="0.2">
      <c r="A123" s="26"/>
      <c r="B123" s="32">
        <v>9101</v>
      </c>
      <c r="C123" s="94" t="s">
        <v>111</v>
      </c>
      <c r="D123" s="588"/>
      <c r="E123" s="588"/>
      <c r="F123" s="588"/>
      <c r="G123" s="588"/>
      <c r="H123" s="588"/>
      <c r="I123" s="588"/>
      <c r="J123" s="588"/>
      <c r="K123" s="588"/>
      <c r="L123" s="588">
        <f>1300+351</f>
        <v>1651</v>
      </c>
      <c r="M123" s="588">
        <f>2598+702</f>
        <v>3300</v>
      </c>
      <c r="N123" s="588"/>
      <c r="O123" s="588"/>
      <c r="P123" s="588"/>
      <c r="Q123" s="588"/>
      <c r="R123" s="588">
        <f t="shared" si="14"/>
        <v>4951</v>
      </c>
      <c r="S123" s="93"/>
      <c r="T123" s="93"/>
      <c r="U123" s="93"/>
      <c r="V123" s="93"/>
      <c r="W123" s="93"/>
      <c r="X123" s="96">
        <f t="shared" si="2"/>
        <v>0</v>
      </c>
      <c r="Y123" s="585">
        <f t="shared" si="3"/>
        <v>4951</v>
      </c>
      <c r="Z123" s="338"/>
      <c r="AA123" s="31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</row>
    <row r="124" spans="1:74" ht="16.5" hidden="1" customHeight="1" x14ac:dyDescent="0.2">
      <c r="A124" s="26"/>
      <c r="B124" s="32">
        <v>9103</v>
      </c>
      <c r="C124" s="94" t="s">
        <v>111</v>
      </c>
      <c r="D124" s="588"/>
      <c r="E124" s="588"/>
      <c r="F124" s="588"/>
      <c r="G124" s="588"/>
      <c r="H124" s="588"/>
      <c r="I124" s="588"/>
      <c r="J124" s="588"/>
      <c r="K124" s="588"/>
      <c r="L124" s="588"/>
      <c r="M124" s="588">
        <f>376+102</f>
        <v>478</v>
      </c>
      <c r="N124" s="588"/>
      <c r="O124" s="588"/>
      <c r="P124" s="588"/>
      <c r="Q124" s="588"/>
      <c r="R124" s="588">
        <f t="shared" si="14"/>
        <v>478</v>
      </c>
      <c r="S124" s="93"/>
      <c r="T124" s="93"/>
      <c r="U124" s="93"/>
      <c r="V124" s="93"/>
      <c r="W124" s="93"/>
      <c r="X124" s="96">
        <f t="shared" si="2"/>
        <v>0</v>
      </c>
      <c r="Y124" s="585">
        <f t="shared" si="3"/>
        <v>478</v>
      </c>
      <c r="Z124" s="338"/>
      <c r="AA124" s="31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</row>
    <row r="125" spans="1:74" ht="16.5" hidden="1" customHeight="1" x14ac:dyDescent="0.2">
      <c r="A125" s="26"/>
      <c r="B125" s="32">
        <v>106</v>
      </c>
      <c r="C125" s="94" t="s">
        <v>111</v>
      </c>
      <c r="D125" s="588"/>
      <c r="E125" s="588"/>
      <c r="F125" s="588"/>
      <c r="G125" s="588"/>
      <c r="H125" s="588"/>
      <c r="I125" s="588"/>
      <c r="J125" s="588"/>
      <c r="K125" s="588"/>
      <c r="L125" s="588"/>
      <c r="M125" s="588"/>
      <c r="N125" s="588"/>
      <c r="O125" s="588"/>
      <c r="P125" s="588"/>
      <c r="Q125" s="588"/>
      <c r="R125" s="588">
        <f t="shared" si="14"/>
        <v>0</v>
      </c>
      <c r="S125" s="93"/>
      <c r="T125" s="93"/>
      <c r="U125" s="93"/>
      <c r="V125" s="93"/>
      <c r="W125" s="93"/>
      <c r="X125" s="96">
        <f t="shared" si="2"/>
        <v>0</v>
      </c>
      <c r="Y125" s="585">
        <f t="shared" si="3"/>
        <v>0</v>
      </c>
      <c r="Z125" s="338"/>
      <c r="AA125" s="31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</row>
    <row r="126" spans="1:74" ht="16.5" hidden="1" customHeight="1" x14ac:dyDescent="0.2">
      <c r="A126" s="26"/>
      <c r="B126" s="32">
        <v>111</v>
      </c>
      <c r="C126" s="94" t="s">
        <v>111</v>
      </c>
      <c r="D126" s="588"/>
      <c r="E126" s="588"/>
      <c r="F126" s="588"/>
      <c r="G126" s="588"/>
      <c r="H126" s="588"/>
      <c r="I126" s="588"/>
      <c r="J126" s="588"/>
      <c r="K126" s="588"/>
      <c r="L126" s="588"/>
      <c r="M126" s="588"/>
      <c r="N126" s="588"/>
      <c r="O126" s="588"/>
      <c r="P126" s="588"/>
      <c r="Q126" s="588"/>
      <c r="R126" s="588">
        <f t="shared" si="14"/>
        <v>0</v>
      </c>
      <c r="S126" s="93"/>
      <c r="T126" s="93"/>
      <c r="U126" s="93"/>
      <c r="V126" s="93"/>
      <c r="W126" s="93"/>
      <c r="X126" s="96">
        <f t="shared" si="2"/>
        <v>0</v>
      </c>
      <c r="Y126" s="585">
        <f t="shared" si="3"/>
        <v>0</v>
      </c>
      <c r="Z126" s="338"/>
      <c r="AA126" s="31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</row>
    <row r="127" spans="1:74" ht="16.5" hidden="1" customHeight="1" x14ac:dyDescent="0.2">
      <c r="A127" s="26"/>
      <c r="B127" s="32">
        <v>112</v>
      </c>
      <c r="C127" s="94" t="s">
        <v>111</v>
      </c>
      <c r="D127" s="588"/>
      <c r="E127" s="588"/>
      <c r="F127" s="588"/>
      <c r="G127" s="588"/>
      <c r="H127" s="588"/>
      <c r="I127" s="588"/>
      <c r="J127" s="588"/>
      <c r="K127" s="588"/>
      <c r="L127" s="588"/>
      <c r="M127" s="588"/>
      <c r="N127" s="588"/>
      <c r="O127" s="588"/>
      <c r="P127" s="588"/>
      <c r="Q127" s="588"/>
      <c r="R127" s="588">
        <f t="shared" si="14"/>
        <v>0</v>
      </c>
      <c r="S127" s="93"/>
      <c r="T127" s="93"/>
      <c r="U127" s="93"/>
      <c r="V127" s="93"/>
      <c r="W127" s="93"/>
      <c r="X127" s="96">
        <f t="shared" si="2"/>
        <v>0</v>
      </c>
      <c r="Y127" s="585">
        <f t="shared" si="3"/>
        <v>0</v>
      </c>
      <c r="Z127" s="338"/>
      <c r="AA127" s="31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</row>
    <row r="128" spans="1:74" ht="16.5" hidden="1" customHeight="1" x14ac:dyDescent="0.2">
      <c r="A128" s="26"/>
      <c r="B128" s="32">
        <v>120</v>
      </c>
      <c r="C128" s="74" t="s">
        <v>111</v>
      </c>
      <c r="D128" s="590"/>
      <c r="E128" s="590"/>
      <c r="F128" s="590"/>
      <c r="G128" s="590"/>
      <c r="H128" s="590"/>
      <c r="I128" s="590"/>
      <c r="J128" s="590"/>
      <c r="K128" s="590"/>
      <c r="L128" s="590"/>
      <c r="M128" s="590"/>
      <c r="N128" s="590"/>
      <c r="O128" s="590"/>
      <c r="P128" s="590"/>
      <c r="Q128" s="590"/>
      <c r="R128" s="590">
        <f t="shared" si="14"/>
        <v>0</v>
      </c>
      <c r="S128" s="75"/>
      <c r="T128" s="75"/>
      <c r="U128" s="75"/>
      <c r="V128" s="75"/>
      <c r="W128" s="75"/>
      <c r="X128" s="412">
        <f t="shared" si="2"/>
        <v>0</v>
      </c>
      <c r="Y128" s="585">
        <f t="shared" si="3"/>
        <v>0</v>
      </c>
      <c r="Z128" s="339"/>
      <c r="AA128" s="312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</row>
    <row r="129" spans="1:74" ht="16.5" hidden="1" customHeight="1" x14ac:dyDescent="0.2">
      <c r="A129" s="26"/>
      <c r="B129" s="32">
        <v>9121</v>
      </c>
      <c r="C129" s="74" t="s">
        <v>111</v>
      </c>
      <c r="D129" s="590"/>
      <c r="E129" s="590"/>
      <c r="F129" s="588">
        <f>6445+1740+226+61+464+126+436+118+875+221+115+31+2330+630+2506+677</f>
        <v>17001</v>
      </c>
      <c r="G129" s="590"/>
      <c r="H129" s="590"/>
      <c r="I129" s="590"/>
      <c r="J129" s="590"/>
      <c r="K129" s="590"/>
      <c r="L129" s="588">
        <f>50800+13716+150077+40521+37+10+4801+1297+3969+1072+8645+2334</f>
        <v>277279</v>
      </c>
      <c r="M129" s="590"/>
      <c r="N129" s="590"/>
      <c r="O129" s="590"/>
      <c r="P129" s="590"/>
      <c r="Q129" s="590"/>
      <c r="R129" s="590">
        <f t="shared" si="14"/>
        <v>294280</v>
      </c>
      <c r="S129" s="75"/>
      <c r="T129" s="75"/>
      <c r="U129" s="75"/>
      <c r="V129" s="75"/>
      <c r="W129" s="75"/>
      <c r="X129" s="412">
        <f t="shared" si="2"/>
        <v>0</v>
      </c>
      <c r="Y129" s="585">
        <f t="shared" si="3"/>
        <v>294280</v>
      </c>
      <c r="Z129" s="339"/>
      <c r="AA129" s="313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</row>
    <row r="130" spans="1:74" ht="16.5" hidden="1" customHeight="1" x14ac:dyDescent="0.2">
      <c r="A130" s="26"/>
      <c r="B130" s="32">
        <v>9150</v>
      </c>
      <c r="C130" s="74" t="s">
        <v>111</v>
      </c>
      <c r="D130" s="590"/>
      <c r="E130" s="590"/>
      <c r="F130" s="588">
        <f>304</f>
        <v>304</v>
      </c>
      <c r="G130" s="590"/>
      <c r="H130" s="590"/>
      <c r="I130" s="590"/>
      <c r="J130" s="590"/>
      <c r="K130" s="590"/>
      <c r="L130" s="590">
        <f>2687+724+542+147+4773+1289</f>
        <v>10162</v>
      </c>
      <c r="M130" s="590"/>
      <c r="N130" s="590"/>
      <c r="O130" s="590"/>
      <c r="P130" s="590"/>
      <c r="Q130" s="590"/>
      <c r="R130" s="590">
        <f t="shared" si="14"/>
        <v>10466</v>
      </c>
      <c r="S130" s="75"/>
      <c r="T130" s="75"/>
      <c r="U130" s="75"/>
      <c r="V130" s="75"/>
      <c r="W130" s="75"/>
      <c r="X130" s="412">
        <f t="shared" si="2"/>
        <v>0</v>
      </c>
      <c r="Y130" s="585">
        <f t="shared" si="3"/>
        <v>10466</v>
      </c>
      <c r="Z130" s="339"/>
      <c r="AA130" s="313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</row>
    <row r="131" spans="1:74" ht="16.5" hidden="1" customHeight="1" x14ac:dyDescent="0.2">
      <c r="A131" s="26"/>
      <c r="B131" s="32">
        <v>9152</v>
      </c>
      <c r="C131" s="74" t="s">
        <v>111</v>
      </c>
      <c r="D131" s="590"/>
      <c r="E131" s="590"/>
      <c r="F131" s="588">
        <f>48</f>
        <v>48</v>
      </c>
      <c r="G131" s="590"/>
      <c r="H131" s="590"/>
      <c r="I131" s="590"/>
      <c r="J131" s="590"/>
      <c r="K131" s="590"/>
      <c r="L131" s="590"/>
      <c r="M131" s="590"/>
      <c r="N131" s="590"/>
      <c r="O131" s="590"/>
      <c r="P131" s="590"/>
      <c r="Q131" s="590"/>
      <c r="R131" s="590">
        <f t="shared" si="14"/>
        <v>48</v>
      </c>
      <c r="S131" s="75"/>
      <c r="T131" s="75"/>
      <c r="U131" s="75"/>
      <c r="V131" s="75"/>
      <c r="W131" s="75"/>
      <c r="X131" s="412">
        <f t="shared" ref="X131" si="17">SUM(T131:W131)</f>
        <v>0</v>
      </c>
      <c r="Y131" s="585">
        <f t="shared" ref="Y131" si="18">R131+X131</f>
        <v>48</v>
      </c>
      <c r="Z131" s="339"/>
      <c r="AA131" s="313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</row>
    <row r="132" spans="1:74" ht="16.5" hidden="1" customHeight="1" x14ac:dyDescent="0.2">
      <c r="A132" s="26"/>
      <c r="B132" s="32">
        <v>9181</v>
      </c>
      <c r="C132" s="74" t="s">
        <v>111</v>
      </c>
      <c r="D132" s="590"/>
      <c r="E132" s="590"/>
      <c r="F132" s="588">
        <f>7310+1974</f>
        <v>9284</v>
      </c>
      <c r="G132" s="590"/>
      <c r="H132" s="590"/>
      <c r="I132" s="590"/>
      <c r="J132" s="590"/>
      <c r="K132" s="590"/>
      <c r="L132" s="590">
        <f>18200+4914</f>
        <v>23114</v>
      </c>
      <c r="M132" s="590">
        <f>2169+586</f>
        <v>2755</v>
      </c>
      <c r="N132" s="590"/>
      <c r="O132" s="590"/>
      <c r="P132" s="590"/>
      <c r="Q132" s="590">
        <f>10025</f>
        <v>10025</v>
      </c>
      <c r="R132" s="590">
        <f t="shared" si="14"/>
        <v>45178</v>
      </c>
      <c r="S132" s="75"/>
      <c r="T132" s="75"/>
      <c r="U132" s="75"/>
      <c r="V132" s="75"/>
      <c r="W132" s="75"/>
      <c r="X132" s="412">
        <f t="shared" si="2"/>
        <v>0</v>
      </c>
      <c r="Y132" s="585">
        <f t="shared" si="3"/>
        <v>45178</v>
      </c>
      <c r="Z132" s="339"/>
      <c r="AA132" s="313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</row>
    <row r="133" spans="1:74" ht="16.5" hidden="1" customHeight="1" x14ac:dyDescent="0.2">
      <c r="A133" s="26"/>
      <c r="B133" s="32">
        <v>190</v>
      </c>
      <c r="C133" s="74" t="s">
        <v>111</v>
      </c>
      <c r="D133" s="590"/>
      <c r="E133" s="590"/>
      <c r="F133" s="590"/>
      <c r="G133" s="590"/>
      <c r="H133" s="590"/>
      <c r="I133" s="590"/>
      <c r="J133" s="590"/>
      <c r="K133" s="590"/>
      <c r="L133" s="590"/>
      <c r="M133" s="590"/>
      <c r="N133" s="590"/>
      <c r="O133" s="590"/>
      <c r="P133" s="590"/>
      <c r="Q133" s="590"/>
      <c r="R133" s="590">
        <f t="shared" si="14"/>
        <v>0</v>
      </c>
      <c r="S133" s="75"/>
      <c r="T133" s="75"/>
      <c r="U133" s="75"/>
      <c r="V133" s="75"/>
      <c r="W133" s="75"/>
      <c r="X133" s="412">
        <f t="shared" ref="X133:X139" si="19">SUM(T133:W133)</f>
        <v>0</v>
      </c>
      <c r="Y133" s="585">
        <f t="shared" ref="Y133:Y139" si="20">R133+X133</f>
        <v>0</v>
      </c>
      <c r="Z133" s="339"/>
      <c r="AA133" s="313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</row>
    <row r="134" spans="1:74" ht="16.5" hidden="1" customHeight="1" x14ac:dyDescent="0.2">
      <c r="A134" s="26"/>
      <c r="B134" s="32">
        <v>200</v>
      </c>
      <c r="C134" s="74" t="s">
        <v>111</v>
      </c>
      <c r="D134" s="590"/>
      <c r="E134" s="590"/>
      <c r="F134" s="590"/>
      <c r="G134" s="590"/>
      <c r="H134" s="590"/>
      <c r="I134" s="590"/>
      <c r="J134" s="590"/>
      <c r="K134" s="590"/>
      <c r="L134" s="590"/>
      <c r="M134" s="590"/>
      <c r="N134" s="590"/>
      <c r="O134" s="590"/>
      <c r="P134" s="590"/>
      <c r="Q134" s="590"/>
      <c r="R134" s="590">
        <f t="shared" si="14"/>
        <v>0</v>
      </c>
      <c r="S134" s="75"/>
      <c r="T134" s="75"/>
      <c r="U134" s="75"/>
      <c r="V134" s="75"/>
      <c r="W134" s="75"/>
      <c r="X134" s="412">
        <f t="shared" si="19"/>
        <v>0</v>
      </c>
      <c r="Y134" s="585">
        <f t="shared" si="20"/>
        <v>0</v>
      </c>
      <c r="Z134" s="339"/>
      <c r="AA134" s="313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</row>
    <row r="135" spans="1:74" ht="16.5" hidden="1" customHeight="1" x14ac:dyDescent="0.2">
      <c r="A135" s="26"/>
      <c r="B135" s="32">
        <v>220</v>
      </c>
      <c r="C135" s="74" t="s">
        <v>111</v>
      </c>
      <c r="D135" s="590"/>
      <c r="E135" s="590"/>
      <c r="F135" s="590"/>
      <c r="G135" s="590"/>
      <c r="H135" s="590"/>
      <c r="I135" s="590"/>
      <c r="J135" s="590"/>
      <c r="K135" s="590"/>
      <c r="L135" s="590"/>
      <c r="M135" s="590"/>
      <c r="N135" s="591"/>
      <c r="O135" s="590"/>
      <c r="P135" s="590"/>
      <c r="Q135" s="590"/>
      <c r="R135" s="590">
        <f t="shared" si="14"/>
        <v>0</v>
      </c>
      <c r="S135" s="75"/>
      <c r="T135" s="75"/>
      <c r="U135" s="75"/>
      <c r="V135" s="75"/>
      <c r="W135" s="75"/>
      <c r="X135" s="412">
        <f t="shared" si="19"/>
        <v>0</v>
      </c>
      <c r="Y135" s="585">
        <f t="shared" si="20"/>
        <v>0</v>
      </c>
      <c r="Z135" s="339"/>
      <c r="AA135" s="313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</row>
    <row r="136" spans="1:74" ht="16.5" hidden="1" customHeight="1" x14ac:dyDescent="0.2">
      <c r="A136" s="26"/>
      <c r="B136" s="32">
        <v>407</v>
      </c>
      <c r="C136" s="74" t="s">
        <v>111</v>
      </c>
      <c r="D136" s="590"/>
      <c r="E136" s="590"/>
      <c r="F136" s="590"/>
      <c r="G136" s="590"/>
      <c r="H136" s="590"/>
      <c r="I136" s="590"/>
      <c r="J136" s="590"/>
      <c r="K136" s="590"/>
      <c r="L136" s="590"/>
      <c r="M136" s="590"/>
      <c r="N136" s="590"/>
      <c r="O136" s="590"/>
      <c r="P136" s="590"/>
      <c r="Q136" s="590"/>
      <c r="R136" s="590">
        <f t="shared" si="14"/>
        <v>0</v>
      </c>
      <c r="S136" s="75"/>
      <c r="T136" s="75"/>
      <c r="U136" s="75"/>
      <c r="V136" s="75"/>
      <c r="W136" s="75"/>
      <c r="X136" s="412">
        <f t="shared" si="19"/>
        <v>0</v>
      </c>
      <c r="Y136" s="585">
        <f t="shared" si="20"/>
        <v>0</v>
      </c>
      <c r="Z136" s="339"/>
      <c r="AA136" s="313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</row>
    <row r="137" spans="1:74" ht="16.5" hidden="1" customHeight="1" x14ac:dyDescent="0.2">
      <c r="A137" s="26"/>
      <c r="B137" s="32">
        <v>418</v>
      </c>
      <c r="C137" s="74" t="s">
        <v>111</v>
      </c>
      <c r="D137" s="590"/>
      <c r="E137" s="590"/>
      <c r="F137" s="590"/>
      <c r="G137" s="590"/>
      <c r="H137" s="590"/>
      <c r="I137" s="590"/>
      <c r="J137" s="590"/>
      <c r="K137" s="590"/>
      <c r="L137" s="590"/>
      <c r="M137" s="590"/>
      <c r="N137" s="590"/>
      <c r="O137" s="590"/>
      <c r="P137" s="590"/>
      <c r="Q137" s="590"/>
      <c r="R137" s="590">
        <f t="shared" si="14"/>
        <v>0</v>
      </c>
      <c r="S137" s="75"/>
      <c r="T137" s="75"/>
      <c r="U137" s="75"/>
      <c r="V137" s="75"/>
      <c r="W137" s="75"/>
      <c r="X137" s="412">
        <f t="shared" si="19"/>
        <v>0</v>
      </c>
      <c r="Y137" s="585">
        <f t="shared" si="20"/>
        <v>0</v>
      </c>
      <c r="Z137" s="339"/>
      <c r="AA137" s="313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</row>
    <row r="138" spans="1:74" ht="16.5" hidden="1" customHeight="1" x14ac:dyDescent="0.2">
      <c r="A138" s="26"/>
      <c r="B138" s="32">
        <v>419</v>
      </c>
      <c r="C138" s="74" t="s">
        <v>111</v>
      </c>
      <c r="D138" s="590"/>
      <c r="E138" s="590"/>
      <c r="F138" s="590"/>
      <c r="G138" s="590"/>
      <c r="H138" s="590"/>
      <c r="I138" s="590"/>
      <c r="J138" s="590"/>
      <c r="K138" s="590"/>
      <c r="L138" s="590"/>
      <c r="M138" s="590"/>
      <c r="N138" s="590"/>
      <c r="O138" s="590"/>
      <c r="P138" s="590"/>
      <c r="Q138" s="590"/>
      <c r="R138" s="590">
        <f t="shared" si="14"/>
        <v>0</v>
      </c>
      <c r="S138" s="75"/>
      <c r="T138" s="75"/>
      <c r="U138" s="75"/>
      <c r="V138" s="75"/>
      <c r="W138" s="75"/>
      <c r="X138" s="412">
        <f t="shared" si="19"/>
        <v>0</v>
      </c>
      <c r="Y138" s="585">
        <f t="shared" si="20"/>
        <v>0</v>
      </c>
      <c r="Z138" s="339"/>
      <c r="AA138" s="313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</row>
    <row r="139" spans="1:74" ht="16.5" hidden="1" customHeight="1" x14ac:dyDescent="0.2">
      <c r="A139" s="26"/>
      <c r="B139" s="32">
        <v>9200</v>
      </c>
      <c r="C139" s="74" t="s">
        <v>111</v>
      </c>
      <c r="D139" s="590"/>
      <c r="E139" s="590"/>
      <c r="F139" s="590">
        <f>690+552+149</f>
        <v>1391</v>
      </c>
      <c r="G139" s="590"/>
      <c r="H139" s="590"/>
      <c r="I139" s="590"/>
      <c r="J139" s="590"/>
      <c r="K139" s="590"/>
      <c r="L139" s="590"/>
      <c r="M139" s="590"/>
      <c r="N139" s="590"/>
      <c r="O139" s="590"/>
      <c r="P139" s="590"/>
      <c r="Q139" s="590"/>
      <c r="R139" s="590">
        <f t="shared" si="14"/>
        <v>1391</v>
      </c>
      <c r="S139" s="75"/>
      <c r="T139" s="75"/>
      <c r="U139" s="75"/>
      <c r="V139" s="75"/>
      <c r="W139" s="75"/>
      <c r="X139" s="412">
        <f t="shared" si="19"/>
        <v>0</v>
      </c>
      <c r="Y139" s="585">
        <f t="shared" si="20"/>
        <v>1391</v>
      </c>
      <c r="Z139" s="339"/>
      <c r="AA139" s="313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</row>
    <row r="140" spans="1:74" ht="16.5" hidden="1" customHeight="1" x14ac:dyDescent="0.2">
      <c r="A140" s="26"/>
      <c r="B140" s="32">
        <v>9401</v>
      </c>
      <c r="C140" s="74" t="s">
        <v>111</v>
      </c>
      <c r="D140" s="590"/>
      <c r="E140" s="590"/>
      <c r="F140" s="590">
        <f>2756+744+3000+810+12731+3437+5398+1458+100+844+72698</f>
        <v>103976</v>
      </c>
      <c r="G140" s="590"/>
      <c r="H140" s="590"/>
      <c r="I140" s="590"/>
      <c r="J140" s="590"/>
      <c r="K140" s="590"/>
      <c r="L140" s="590">
        <f>50000+13500+3357+907+3900+1053+8800+2376+21473+5743+39370+10630+3120+843+2910+786+533+144+646+175+269254+5222+1410+20000+5400+5000+1350+8000+2160</f>
        <v>488062</v>
      </c>
      <c r="M140" s="590"/>
      <c r="N140" s="590"/>
      <c r="O140" s="590"/>
      <c r="P140" s="590"/>
      <c r="Q140" s="590"/>
      <c r="R140" s="590">
        <f t="shared" si="14"/>
        <v>592038</v>
      </c>
      <c r="S140" s="75"/>
      <c r="T140" s="75"/>
      <c r="U140" s="75"/>
      <c r="V140" s="75"/>
      <c r="W140" s="75"/>
      <c r="X140" s="412">
        <f t="shared" ref="X140" si="21">SUM(T140:W140)</f>
        <v>0</v>
      </c>
      <c r="Y140" s="585">
        <f t="shared" ref="Y140" si="22">R140+X140</f>
        <v>592038</v>
      </c>
      <c r="Z140" s="339"/>
      <c r="AA140" s="313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</row>
    <row r="141" spans="1:74" ht="16.5" hidden="1" customHeight="1" x14ac:dyDescent="0.2">
      <c r="A141" s="26"/>
      <c r="B141" s="32">
        <v>9420</v>
      </c>
      <c r="C141" s="74" t="s">
        <v>111</v>
      </c>
      <c r="D141" s="590"/>
      <c r="E141" s="590"/>
      <c r="F141" s="590"/>
      <c r="G141" s="590"/>
      <c r="H141" s="590"/>
      <c r="I141" s="590"/>
      <c r="J141" s="590"/>
      <c r="K141" s="590"/>
      <c r="L141" s="590">
        <f>6299+1701</f>
        <v>8000</v>
      </c>
      <c r="M141" s="590"/>
      <c r="N141" s="590"/>
      <c r="O141" s="590"/>
      <c r="P141" s="590"/>
      <c r="Q141" s="590"/>
      <c r="R141" s="590">
        <f t="shared" si="14"/>
        <v>8000</v>
      </c>
      <c r="S141" s="75"/>
      <c r="T141" s="75"/>
      <c r="U141" s="75"/>
      <c r="V141" s="75"/>
      <c r="W141" s="75"/>
      <c r="X141" s="412">
        <f t="shared" si="2"/>
        <v>0</v>
      </c>
      <c r="Y141" s="585">
        <f t="shared" si="3"/>
        <v>8000</v>
      </c>
      <c r="Z141" s="339"/>
      <c r="AA141" s="313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</row>
    <row r="142" spans="1:74" ht="16.5" hidden="1" customHeight="1" x14ac:dyDescent="0.2">
      <c r="A142" s="26"/>
      <c r="B142" s="32">
        <v>423</v>
      </c>
      <c r="C142" s="74" t="s">
        <v>111</v>
      </c>
      <c r="D142" s="590"/>
      <c r="E142" s="590"/>
      <c r="F142" s="590"/>
      <c r="G142" s="590"/>
      <c r="H142" s="590"/>
      <c r="I142" s="590"/>
      <c r="J142" s="590"/>
      <c r="K142" s="590"/>
      <c r="L142" s="590"/>
      <c r="M142" s="590"/>
      <c r="N142" s="590"/>
      <c r="O142" s="590"/>
      <c r="P142" s="590"/>
      <c r="Q142" s="590"/>
      <c r="R142" s="590">
        <f t="shared" si="14"/>
        <v>0</v>
      </c>
      <c r="S142" s="75"/>
      <c r="T142" s="75"/>
      <c r="U142" s="75"/>
      <c r="V142" s="75"/>
      <c r="W142" s="75"/>
      <c r="X142" s="412">
        <f t="shared" si="2"/>
        <v>0</v>
      </c>
      <c r="Y142" s="585">
        <f t="shared" si="3"/>
        <v>0</v>
      </c>
      <c r="Z142" s="339"/>
      <c r="AA142" s="313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</row>
    <row r="143" spans="1:74" ht="16.5" hidden="1" customHeight="1" x14ac:dyDescent="0.2">
      <c r="A143" s="26"/>
      <c r="B143" s="32">
        <v>9424</v>
      </c>
      <c r="C143" s="74" t="s">
        <v>111</v>
      </c>
      <c r="D143" s="590"/>
      <c r="E143" s="590"/>
      <c r="F143" s="590"/>
      <c r="G143" s="590"/>
      <c r="H143" s="590"/>
      <c r="I143" s="590"/>
      <c r="J143" s="590"/>
      <c r="K143" s="590"/>
      <c r="L143" s="590">
        <f>19951+5387</f>
        <v>25338</v>
      </c>
      <c r="M143" s="590"/>
      <c r="N143" s="590"/>
      <c r="O143" s="590"/>
      <c r="P143" s="590"/>
      <c r="Q143" s="590"/>
      <c r="R143" s="590">
        <f t="shared" si="14"/>
        <v>25338</v>
      </c>
      <c r="S143" s="75"/>
      <c r="T143" s="75"/>
      <c r="U143" s="75"/>
      <c r="V143" s="75"/>
      <c r="W143" s="75"/>
      <c r="X143" s="412">
        <f t="shared" si="2"/>
        <v>0</v>
      </c>
      <c r="Y143" s="327">
        <f t="shared" si="3"/>
        <v>25338</v>
      </c>
      <c r="Z143" s="339"/>
      <c r="AA143" s="313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</row>
    <row r="144" spans="1:74" ht="16.5" hidden="1" customHeight="1" x14ac:dyDescent="0.2">
      <c r="A144" s="26"/>
      <c r="B144" s="32">
        <v>9425</v>
      </c>
      <c r="C144" s="74" t="s">
        <v>111</v>
      </c>
      <c r="D144" s="592"/>
      <c r="E144" s="592"/>
      <c r="F144" s="592"/>
      <c r="G144" s="592"/>
      <c r="H144" s="592"/>
      <c r="I144" s="592"/>
      <c r="J144" s="592"/>
      <c r="K144" s="592"/>
      <c r="L144" s="592">
        <f>14890+4021</f>
        <v>18911</v>
      </c>
      <c r="M144" s="592"/>
      <c r="N144" s="592"/>
      <c r="O144" s="592"/>
      <c r="P144" s="592"/>
      <c r="Q144" s="592"/>
      <c r="R144" s="592">
        <f t="shared" si="14"/>
        <v>18911</v>
      </c>
      <c r="S144" s="592"/>
      <c r="T144" s="592"/>
      <c r="U144" s="592"/>
      <c r="V144" s="592"/>
      <c r="W144" s="592"/>
      <c r="X144" s="594">
        <f t="shared" ref="X144:X250" si="23">SUM(T144:W144)</f>
        <v>0</v>
      </c>
      <c r="Y144" s="595">
        <f t="shared" ref="Y144:Y250" si="24">R144+X144</f>
        <v>18911</v>
      </c>
      <c r="Z144" s="339"/>
      <c r="AA144" s="313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</row>
    <row r="145" spans="1:74" ht="16.5" hidden="1" customHeight="1" x14ac:dyDescent="0.2">
      <c r="A145" s="26"/>
      <c r="B145" s="32">
        <v>9426</v>
      </c>
      <c r="C145" s="74" t="s">
        <v>111</v>
      </c>
      <c r="D145" s="592"/>
      <c r="E145" s="592"/>
      <c r="F145" s="592"/>
      <c r="G145" s="592"/>
      <c r="H145" s="592"/>
      <c r="I145" s="592"/>
      <c r="J145" s="592"/>
      <c r="K145" s="592"/>
      <c r="L145" s="592">
        <f>2843+767+1305+352</f>
        <v>5267</v>
      </c>
      <c r="M145" s="592"/>
      <c r="N145" s="592"/>
      <c r="O145" s="592"/>
      <c r="P145" s="592"/>
      <c r="Q145" s="592"/>
      <c r="R145" s="592">
        <f t="shared" si="14"/>
        <v>5267</v>
      </c>
      <c r="S145" s="592"/>
      <c r="T145" s="592"/>
      <c r="U145" s="592"/>
      <c r="V145" s="592"/>
      <c r="W145" s="592"/>
      <c r="X145" s="594">
        <f t="shared" si="23"/>
        <v>0</v>
      </c>
      <c r="Y145" s="595">
        <f t="shared" si="24"/>
        <v>5267</v>
      </c>
      <c r="Z145" s="339"/>
      <c r="AA145" s="313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</row>
    <row r="146" spans="1:74" ht="16.5" hidden="1" customHeight="1" x14ac:dyDescent="0.2">
      <c r="A146" s="26"/>
      <c r="B146" s="32">
        <v>9427</v>
      </c>
      <c r="C146" s="74" t="s">
        <v>111</v>
      </c>
      <c r="D146" s="592"/>
      <c r="E146" s="592"/>
      <c r="F146" s="592"/>
      <c r="G146" s="592"/>
      <c r="H146" s="592"/>
      <c r="I146" s="592"/>
      <c r="J146" s="592"/>
      <c r="K146" s="592"/>
      <c r="L146" s="592">
        <f>14800+3996</f>
        <v>18796</v>
      </c>
      <c r="M146" s="592"/>
      <c r="N146" s="592"/>
      <c r="O146" s="592"/>
      <c r="P146" s="592"/>
      <c r="Q146" s="592"/>
      <c r="R146" s="592">
        <f t="shared" si="14"/>
        <v>18796</v>
      </c>
      <c r="S146" s="592"/>
      <c r="T146" s="592"/>
      <c r="U146" s="592"/>
      <c r="V146" s="592"/>
      <c r="W146" s="592"/>
      <c r="X146" s="594">
        <f t="shared" si="23"/>
        <v>0</v>
      </c>
      <c r="Y146" s="595">
        <f t="shared" si="24"/>
        <v>18796</v>
      </c>
      <c r="Z146" s="339"/>
      <c r="AA146" s="313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</row>
    <row r="147" spans="1:74" ht="16.5" hidden="1" customHeight="1" x14ac:dyDescent="0.2">
      <c r="A147" s="26"/>
      <c r="B147" s="32">
        <v>9428</v>
      </c>
      <c r="C147" s="74" t="s">
        <v>111</v>
      </c>
      <c r="D147" s="592"/>
      <c r="E147" s="592"/>
      <c r="F147" s="592">
        <f>7000+1890+400</f>
        <v>9290</v>
      </c>
      <c r="G147" s="592"/>
      <c r="H147" s="592"/>
      <c r="I147" s="592"/>
      <c r="J147" s="592"/>
      <c r="K147" s="592"/>
      <c r="L147" s="592">
        <f>119900+32373+100000+27000</f>
        <v>279273</v>
      </c>
      <c r="M147" s="592"/>
      <c r="N147" s="592"/>
      <c r="O147" s="592"/>
      <c r="P147" s="592"/>
      <c r="Q147" s="592"/>
      <c r="R147" s="592">
        <f t="shared" si="14"/>
        <v>288563</v>
      </c>
      <c r="S147" s="592"/>
      <c r="T147" s="592"/>
      <c r="U147" s="592"/>
      <c r="V147" s="592"/>
      <c r="W147" s="592"/>
      <c r="X147" s="594">
        <f t="shared" si="23"/>
        <v>0</v>
      </c>
      <c r="Y147" s="595">
        <f t="shared" si="24"/>
        <v>288563</v>
      </c>
      <c r="Z147" s="339"/>
      <c r="AA147" s="313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</row>
    <row r="148" spans="1:74" ht="16.5" hidden="1" customHeight="1" x14ac:dyDescent="0.2">
      <c r="A148" s="26"/>
      <c r="B148" s="32">
        <v>9429</v>
      </c>
      <c r="C148" s="74" t="s">
        <v>111</v>
      </c>
      <c r="D148" s="593"/>
      <c r="E148" s="593"/>
      <c r="F148" s="593"/>
      <c r="G148" s="593"/>
      <c r="H148" s="593"/>
      <c r="I148" s="593"/>
      <c r="J148" s="593"/>
      <c r="K148" s="593"/>
      <c r="L148" s="593">
        <f>19685+5315</f>
        <v>25000</v>
      </c>
      <c r="M148" s="593"/>
      <c r="N148" s="593"/>
      <c r="O148" s="593"/>
      <c r="P148" s="593"/>
      <c r="Q148" s="593"/>
      <c r="R148" s="592">
        <f t="shared" si="14"/>
        <v>25000</v>
      </c>
      <c r="S148" s="593"/>
      <c r="T148" s="593"/>
      <c r="U148" s="593"/>
      <c r="V148" s="593"/>
      <c r="W148" s="593"/>
      <c r="X148" s="596">
        <f t="shared" si="23"/>
        <v>0</v>
      </c>
      <c r="Y148" s="595">
        <f t="shared" si="24"/>
        <v>25000</v>
      </c>
      <c r="Z148" s="340"/>
      <c r="AA148" s="313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</row>
    <row r="149" spans="1:74" ht="16.5" hidden="1" customHeight="1" x14ac:dyDescent="0.2">
      <c r="A149" s="26"/>
      <c r="B149" s="32"/>
      <c r="C149" s="74" t="s">
        <v>111</v>
      </c>
      <c r="D149" s="593"/>
      <c r="E149" s="593"/>
      <c r="F149" s="593"/>
      <c r="G149" s="593"/>
      <c r="H149" s="593"/>
      <c r="I149" s="593"/>
      <c r="J149" s="593"/>
      <c r="K149" s="593"/>
      <c r="L149" s="593"/>
      <c r="M149" s="593"/>
      <c r="N149" s="593"/>
      <c r="O149" s="593"/>
      <c r="P149" s="593"/>
      <c r="Q149" s="593"/>
      <c r="R149" s="592">
        <f t="shared" si="14"/>
        <v>0</v>
      </c>
      <c r="S149" s="593"/>
      <c r="T149" s="593"/>
      <c r="U149" s="593"/>
      <c r="V149" s="593"/>
      <c r="W149" s="593"/>
      <c r="X149" s="596">
        <f t="shared" si="23"/>
        <v>0</v>
      </c>
      <c r="Y149" s="595">
        <f t="shared" si="24"/>
        <v>0</v>
      </c>
      <c r="Z149" s="340"/>
      <c r="AA149" s="313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</row>
    <row r="150" spans="1:74" ht="17.25" hidden="1" customHeight="1" thickTop="1" thickBot="1" x14ac:dyDescent="0.25">
      <c r="A150" s="144"/>
      <c r="B150" s="284"/>
      <c r="C150" s="139"/>
      <c r="D150" s="140"/>
      <c r="E150" s="140"/>
      <c r="F150" s="140"/>
      <c r="G150" s="140"/>
      <c r="H150" s="140"/>
      <c r="I150" s="141"/>
      <c r="J150" s="141"/>
      <c r="K150" s="141"/>
      <c r="L150" s="141"/>
      <c r="M150" s="141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413"/>
      <c r="Y150" s="328"/>
      <c r="Z150" s="341"/>
      <c r="AA150" s="314"/>
      <c r="AB150" s="125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</row>
    <row r="151" spans="1:74" s="77" customFormat="1" ht="30" hidden="1" customHeight="1" thickTop="1" thickBot="1" x14ac:dyDescent="0.25">
      <c r="A151" s="143"/>
      <c r="B151" s="138"/>
      <c r="C151" s="39" t="s">
        <v>189</v>
      </c>
      <c r="D151" s="50">
        <f t="shared" ref="D151:Q151" si="25">SUM(D104:D150)</f>
        <v>2510</v>
      </c>
      <c r="E151" s="50">
        <f t="shared" si="25"/>
        <v>617</v>
      </c>
      <c r="F151" s="50">
        <f t="shared" si="25"/>
        <v>382741.72899999999</v>
      </c>
      <c r="G151" s="50">
        <f t="shared" si="25"/>
        <v>14673</v>
      </c>
      <c r="H151" s="50">
        <f t="shared" si="25"/>
        <v>0</v>
      </c>
      <c r="I151" s="50">
        <f t="shared" si="25"/>
        <v>0</v>
      </c>
      <c r="J151" s="50">
        <f t="shared" si="25"/>
        <v>10494</v>
      </c>
      <c r="K151" s="50">
        <f t="shared" si="25"/>
        <v>259972</v>
      </c>
      <c r="L151" s="50">
        <f t="shared" si="25"/>
        <v>1180933</v>
      </c>
      <c r="M151" s="50">
        <f t="shared" si="25"/>
        <v>6533</v>
      </c>
      <c r="N151" s="50">
        <f t="shared" si="25"/>
        <v>100635</v>
      </c>
      <c r="O151" s="50">
        <f t="shared" si="25"/>
        <v>2000</v>
      </c>
      <c r="P151" s="50">
        <f t="shared" si="25"/>
        <v>0</v>
      </c>
      <c r="Q151" s="50">
        <f t="shared" si="25"/>
        <v>105815</v>
      </c>
      <c r="R151" s="50">
        <f t="shared" ref="R151:R257" si="26">SUM(D151:Q151)</f>
        <v>2066923.7290000001</v>
      </c>
      <c r="S151" s="50"/>
      <c r="T151" s="50">
        <f>SUM(T104:T150)</f>
        <v>0</v>
      </c>
      <c r="U151" s="50">
        <f>SUM(U104:U150)</f>
        <v>1000000</v>
      </c>
      <c r="V151" s="50">
        <f>SUM(V104:V150)</f>
        <v>0</v>
      </c>
      <c r="W151" s="50">
        <f>SUM(W104:W150)</f>
        <v>0</v>
      </c>
      <c r="X151" s="414">
        <f t="shared" si="23"/>
        <v>1000000</v>
      </c>
      <c r="Y151" s="329">
        <f t="shared" si="24"/>
        <v>3066923.7290000003</v>
      </c>
      <c r="Z151" s="342">
        <f>SUM(Z104:Z150)</f>
        <v>95447.486000000004</v>
      </c>
      <c r="AA151" s="309">
        <f>SUM(Y151:Z151)</f>
        <v>3162371.2150000003</v>
      </c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</row>
    <row r="152" spans="1:74" ht="35.1" hidden="1" customHeight="1" thickTop="1" thickBot="1" x14ac:dyDescent="0.35">
      <c r="A152" s="128"/>
      <c r="B152" s="511" t="s">
        <v>137</v>
      </c>
      <c r="C152" s="44" t="s">
        <v>191</v>
      </c>
      <c r="D152" s="82">
        <f t="shared" ref="D152:Q152" si="27">D103+D151</f>
        <v>149061</v>
      </c>
      <c r="E152" s="82">
        <f t="shared" si="27"/>
        <v>33433</v>
      </c>
      <c r="F152" s="122">
        <f t="shared" si="27"/>
        <v>4510904.9469999997</v>
      </c>
      <c r="G152" s="122">
        <f t="shared" si="27"/>
        <v>204945</v>
      </c>
      <c r="H152" s="122">
        <f t="shared" si="27"/>
        <v>300942.027</v>
      </c>
      <c r="I152" s="122">
        <f t="shared" si="27"/>
        <v>59640</v>
      </c>
      <c r="J152" s="82">
        <f t="shared" si="27"/>
        <v>700301</v>
      </c>
      <c r="K152" s="82">
        <f t="shared" si="27"/>
        <v>1769645.75</v>
      </c>
      <c r="L152" s="82">
        <f t="shared" si="27"/>
        <v>5394870</v>
      </c>
      <c r="M152" s="82">
        <f t="shared" si="27"/>
        <v>27882</v>
      </c>
      <c r="N152" s="82">
        <f t="shared" si="27"/>
        <v>100635</v>
      </c>
      <c r="O152" s="122">
        <f t="shared" si="27"/>
        <v>5000</v>
      </c>
      <c r="P152" s="82">
        <f t="shared" si="27"/>
        <v>0</v>
      </c>
      <c r="Q152" s="82">
        <f t="shared" si="27"/>
        <v>199004</v>
      </c>
      <c r="R152" s="82">
        <f t="shared" si="26"/>
        <v>13456263.723999999</v>
      </c>
      <c r="S152" s="82"/>
      <c r="T152" s="82">
        <f>T103+T151</f>
        <v>0</v>
      </c>
      <c r="U152" s="82">
        <f>U103+U151</f>
        <v>4850000</v>
      </c>
      <c r="V152" s="82">
        <f>V103+V151</f>
        <v>39440.69</v>
      </c>
      <c r="W152" s="82">
        <f>W103+W151</f>
        <v>0</v>
      </c>
      <c r="X152" s="83">
        <f t="shared" si="23"/>
        <v>4889440.6900000004</v>
      </c>
      <c r="Y152" s="83">
        <f t="shared" si="24"/>
        <v>18345704.414000001</v>
      </c>
      <c r="Z152" s="260">
        <f>Z103+Z151</f>
        <v>7771528.2169999992</v>
      </c>
      <c r="AA152" s="309"/>
      <c r="AB152" s="81">
        <f>Y152+Z152</f>
        <v>26117232.631000001</v>
      </c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</row>
    <row r="153" spans="1:74" ht="24" hidden="1" customHeight="1" thickTop="1" thickBot="1" x14ac:dyDescent="0.3">
      <c r="A153" s="204"/>
      <c r="B153" s="205"/>
      <c r="C153" s="206" t="s">
        <v>18</v>
      </c>
      <c r="D153" s="286">
        <f t="shared" ref="D153:W153" si="28">D152</f>
        <v>149061</v>
      </c>
      <c r="E153" s="286">
        <f>E152</f>
        <v>33433</v>
      </c>
      <c r="F153" s="286">
        <f>F152</f>
        <v>4510904.9469999997</v>
      </c>
      <c r="G153" s="286">
        <f>G152</f>
        <v>204945</v>
      </c>
      <c r="H153" s="286">
        <f t="shared" si="28"/>
        <v>300942.027</v>
      </c>
      <c r="I153" s="286">
        <f t="shared" si="28"/>
        <v>59640</v>
      </c>
      <c r="J153" s="286">
        <f t="shared" si="28"/>
        <v>700301</v>
      </c>
      <c r="K153" s="286">
        <f>K152</f>
        <v>1769645.75</v>
      </c>
      <c r="L153" s="286">
        <f>L152</f>
        <v>5394870</v>
      </c>
      <c r="M153" s="286">
        <f t="shared" si="28"/>
        <v>27882</v>
      </c>
      <c r="N153" s="286">
        <f t="shared" si="28"/>
        <v>100635</v>
      </c>
      <c r="O153" s="286">
        <f t="shared" si="28"/>
        <v>5000</v>
      </c>
      <c r="P153" s="286">
        <f t="shared" si="28"/>
        <v>0</v>
      </c>
      <c r="Q153" s="286">
        <f t="shared" si="28"/>
        <v>199004</v>
      </c>
      <c r="R153" s="286">
        <f t="shared" si="26"/>
        <v>13456263.723999999</v>
      </c>
      <c r="S153" s="286"/>
      <c r="T153" s="286">
        <f t="shared" si="28"/>
        <v>0</v>
      </c>
      <c r="U153" s="286">
        <f>U152</f>
        <v>4850000</v>
      </c>
      <c r="V153" s="286">
        <f>V152</f>
        <v>39440.69</v>
      </c>
      <c r="W153" s="286">
        <f t="shared" si="28"/>
        <v>0</v>
      </c>
      <c r="X153" s="415">
        <f t="shared" si="23"/>
        <v>4889440.6900000004</v>
      </c>
      <c r="Y153" s="330">
        <f t="shared" si="24"/>
        <v>18345704.414000001</v>
      </c>
      <c r="Z153" s="343">
        <f>Z152</f>
        <v>7771528.2169999992</v>
      </c>
      <c r="AA153" s="315"/>
    </row>
    <row r="154" spans="1:74" ht="24" hidden="1" customHeight="1" x14ac:dyDescent="0.2">
      <c r="A154" s="78">
        <v>1</v>
      </c>
      <c r="B154" s="439" t="s">
        <v>325</v>
      </c>
      <c r="C154" s="28" t="s">
        <v>326</v>
      </c>
      <c r="D154" s="600"/>
      <c r="E154" s="600"/>
      <c r="F154" s="520"/>
      <c r="G154" s="520"/>
      <c r="H154" s="520"/>
      <c r="I154" s="520"/>
      <c r="J154" s="520"/>
      <c r="K154" s="520">
        <f>-9757</f>
        <v>-9757</v>
      </c>
      <c r="L154" s="520"/>
      <c r="M154" s="520"/>
      <c r="N154" s="520"/>
      <c r="O154" s="520"/>
      <c r="P154" s="520"/>
      <c r="Q154" s="520"/>
      <c r="R154" s="150">
        <f>SUM(D154:Q154)</f>
        <v>-9757</v>
      </c>
      <c r="S154" s="150"/>
      <c r="T154" s="150"/>
      <c r="U154" s="150"/>
      <c r="W154" s="150"/>
      <c r="X154" s="156">
        <f>SUM(T154:W154)</f>
        <v>0</v>
      </c>
      <c r="Y154" s="229">
        <f>R154+X154</f>
        <v>-9757</v>
      </c>
      <c r="Z154" s="150">
        <f>9757</f>
        <v>9757</v>
      </c>
      <c r="AA154" s="316"/>
    </row>
    <row r="155" spans="1:74" ht="24" hidden="1" customHeight="1" x14ac:dyDescent="0.2">
      <c r="A155" s="78">
        <v>2</v>
      </c>
      <c r="B155" s="439" t="s">
        <v>322</v>
      </c>
      <c r="C155" s="28" t="s">
        <v>324</v>
      </c>
      <c r="D155" s="600"/>
      <c r="E155" s="600"/>
      <c r="F155" s="520"/>
      <c r="G155" s="520"/>
      <c r="H155" s="520"/>
      <c r="I155" s="520"/>
      <c r="J155" s="520"/>
      <c r="K155" s="520">
        <f>62</f>
        <v>62</v>
      </c>
      <c r="L155" s="520"/>
      <c r="M155" s="520"/>
      <c r="N155" s="520"/>
      <c r="O155" s="520"/>
      <c r="P155" s="520"/>
      <c r="Q155" s="520"/>
      <c r="R155" s="150">
        <f>SUM(D155:Q155)</f>
        <v>62</v>
      </c>
      <c r="S155" s="150"/>
      <c r="T155" s="150"/>
      <c r="U155" s="150"/>
      <c r="W155" s="150"/>
      <c r="X155" s="156">
        <f>SUM(T155:W155)</f>
        <v>0</v>
      </c>
      <c r="Y155" s="229">
        <f>R155+X155</f>
        <v>62</v>
      </c>
      <c r="Z155" s="150"/>
      <c r="AA155" s="316"/>
    </row>
    <row r="156" spans="1:74" ht="24" hidden="1" customHeight="1" x14ac:dyDescent="0.2">
      <c r="A156" s="78">
        <v>3</v>
      </c>
      <c r="B156" s="439" t="s">
        <v>323</v>
      </c>
      <c r="C156" s="28" t="s">
        <v>225</v>
      </c>
      <c r="D156" s="600"/>
      <c r="E156" s="600"/>
      <c r="F156" s="520">
        <v>216</v>
      </c>
      <c r="G156" s="520"/>
      <c r="H156" s="520"/>
      <c r="I156" s="520"/>
      <c r="J156" s="520"/>
      <c r="K156" s="520">
        <v>800</v>
      </c>
      <c r="L156" s="520"/>
      <c r="M156" s="520"/>
      <c r="N156" s="520"/>
      <c r="O156" s="520"/>
      <c r="P156" s="520"/>
      <c r="Q156" s="520"/>
      <c r="R156" s="150">
        <f>SUM(D156:Q156)</f>
        <v>1016</v>
      </c>
      <c r="S156" s="150"/>
      <c r="T156" s="155"/>
      <c r="U156" s="155"/>
      <c r="W156" s="150"/>
      <c r="X156" s="156">
        <f>SUM(T156:W156)</f>
        <v>0</v>
      </c>
      <c r="Y156" s="229">
        <f>R156+X156</f>
        <v>1016</v>
      </c>
      <c r="Z156" s="155"/>
      <c r="AA156" s="316"/>
    </row>
    <row r="157" spans="1:74" ht="24" hidden="1" customHeight="1" x14ac:dyDescent="0.2">
      <c r="A157" s="78">
        <v>4</v>
      </c>
      <c r="B157" s="439" t="s">
        <v>327</v>
      </c>
      <c r="C157" s="28" t="s">
        <v>235</v>
      </c>
      <c r="D157" s="600"/>
      <c r="E157" s="600"/>
      <c r="F157" s="520"/>
      <c r="G157" s="520"/>
      <c r="H157" s="520"/>
      <c r="I157" s="520"/>
      <c r="J157" s="520">
        <f>150+50+100</f>
        <v>300</v>
      </c>
      <c r="K157" s="520">
        <f>-300</f>
        <v>-300</v>
      </c>
      <c r="L157" s="520"/>
      <c r="M157" s="520"/>
      <c r="N157" s="520"/>
      <c r="O157" s="520"/>
      <c r="P157" s="520"/>
      <c r="Q157" s="520"/>
      <c r="R157" s="150">
        <f>SUM(D157:Q157)</f>
        <v>0</v>
      </c>
      <c r="S157" s="150"/>
      <c r="T157" s="155"/>
      <c r="U157" s="155"/>
      <c r="W157" s="150"/>
      <c r="X157" s="156">
        <f>SUM(T157:W157)</f>
        <v>0</v>
      </c>
      <c r="Y157" s="229">
        <f>R157+X157</f>
        <v>0</v>
      </c>
      <c r="Z157" s="155"/>
      <c r="AA157" s="316"/>
    </row>
    <row r="158" spans="1:74" ht="24" hidden="1" customHeight="1" x14ac:dyDescent="0.2">
      <c r="A158" s="78">
        <v>5</v>
      </c>
      <c r="B158" s="439" t="s">
        <v>329</v>
      </c>
      <c r="C158" s="28" t="s">
        <v>328</v>
      </c>
      <c r="D158" s="600"/>
      <c r="E158" s="600"/>
      <c r="F158" s="520">
        <f>358+97</f>
        <v>455</v>
      </c>
      <c r="G158" s="520"/>
      <c r="H158" s="520"/>
      <c r="I158" s="520"/>
      <c r="J158" s="520"/>
      <c r="K158" s="520"/>
      <c r="L158" s="520"/>
      <c r="M158" s="520"/>
      <c r="N158" s="520"/>
      <c r="O158" s="520"/>
      <c r="P158" s="520"/>
      <c r="Q158" s="520"/>
      <c r="R158" s="150">
        <f t="shared" si="26"/>
        <v>455</v>
      </c>
      <c r="S158" s="150"/>
      <c r="T158" s="155"/>
      <c r="U158" s="155"/>
      <c r="W158" s="150"/>
      <c r="X158" s="156">
        <f t="shared" si="23"/>
        <v>0</v>
      </c>
      <c r="Y158" s="229">
        <f t="shared" si="24"/>
        <v>455</v>
      </c>
      <c r="Z158" s="155">
        <f>-455</f>
        <v>-455</v>
      </c>
      <c r="AA158" s="316"/>
    </row>
    <row r="159" spans="1:74" ht="24" hidden="1" customHeight="1" x14ac:dyDescent="0.2">
      <c r="A159" s="78">
        <v>6</v>
      </c>
      <c r="B159" s="439" t="s">
        <v>340</v>
      </c>
      <c r="C159" s="28" t="s">
        <v>357</v>
      </c>
      <c r="D159" s="600"/>
      <c r="E159" s="600"/>
      <c r="F159" s="520"/>
      <c r="G159" s="520"/>
      <c r="H159" s="520"/>
      <c r="I159" s="520"/>
      <c r="J159" s="520">
        <f>-1688</f>
        <v>-1688</v>
      </c>
      <c r="K159" s="520"/>
      <c r="L159" s="520"/>
      <c r="M159" s="520"/>
      <c r="N159" s="520"/>
      <c r="O159" s="520"/>
      <c r="P159" s="520"/>
      <c r="Q159" s="520"/>
      <c r="R159" s="150">
        <f t="shared" si="26"/>
        <v>-1688</v>
      </c>
      <c r="S159" s="150"/>
      <c r="T159" s="155"/>
      <c r="U159" s="155"/>
      <c r="W159" s="150"/>
      <c r="X159" s="156">
        <f t="shared" si="23"/>
        <v>0</v>
      </c>
      <c r="Y159" s="229">
        <f t="shared" si="24"/>
        <v>-1688</v>
      </c>
      <c r="Z159" s="155">
        <f>1688</f>
        <v>1688</v>
      </c>
      <c r="AA159" s="316"/>
    </row>
    <row r="160" spans="1:74" ht="24" hidden="1" customHeight="1" x14ac:dyDescent="0.2">
      <c r="A160" s="78">
        <v>7</v>
      </c>
      <c r="B160" s="440" t="s">
        <v>331</v>
      </c>
      <c r="C160" s="28" t="s">
        <v>332</v>
      </c>
      <c r="D160" s="600"/>
      <c r="E160" s="600"/>
      <c r="F160" s="520"/>
      <c r="G160" s="520"/>
      <c r="H160" s="520"/>
      <c r="I160" s="520"/>
      <c r="J160" s="520">
        <f>100+45+100</f>
        <v>245</v>
      </c>
      <c r="K160" s="520">
        <f>-245</f>
        <v>-245</v>
      </c>
      <c r="L160" s="520"/>
      <c r="M160" s="520"/>
      <c r="N160" s="520"/>
      <c r="O160" s="520"/>
      <c r="P160" s="520"/>
      <c r="Q160" s="520"/>
      <c r="R160" s="150">
        <f t="shared" si="26"/>
        <v>0</v>
      </c>
      <c r="S160" s="150"/>
      <c r="T160" s="155"/>
      <c r="U160" s="155"/>
      <c r="W160" s="150"/>
      <c r="X160" s="156">
        <f t="shared" si="23"/>
        <v>0</v>
      </c>
      <c r="Y160" s="229">
        <f t="shared" si="24"/>
        <v>0</v>
      </c>
      <c r="Z160" s="155"/>
      <c r="AA160" s="316"/>
    </row>
    <row r="161" spans="1:27" ht="24" hidden="1" customHeight="1" x14ac:dyDescent="0.2">
      <c r="A161" s="78">
        <v>8</v>
      </c>
      <c r="B161" s="440" t="s">
        <v>341</v>
      </c>
      <c r="C161" s="41" t="s">
        <v>345</v>
      </c>
      <c r="D161" s="600">
        <f>-3700</f>
        <v>-3700</v>
      </c>
      <c r="E161" s="600">
        <f>-721.5</f>
        <v>-721.5</v>
      </c>
      <c r="F161" s="520"/>
      <c r="G161" s="520"/>
      <c r="H161" s="520"/>
      <c r="I161" s="520"/>
      <c r="J161" s="520"/>
      <c r="K161" s="520"/>
      <c r="L161" s="520"/>
      <c r="M161" s="520"/>
      <c r="N161" s="520"/>
      <c r="O161" s="520"/>
      <c r="P161" s="520"/>
      <c r="Q161" s="520"/>
      <c r="R161" s="150">
        <f t="shared" si="26"/>
        <v>-4421.5</v>
      </c>
      <c r="S161" s="150"/>
      <c r="T161" s="155"/>
      <c r="U161" s="155"/>
      <c r="W161" s="150"/>
      <c r="X161" s="156">
        <f t="shared" si="23"/>
        <v>0</v>
      </c>
      <c r="Y161" s="229">
        <f t="shared" si="24"/>
        <v>-4421.5</v>
      </c>
      <c r="Z161" s="155">
        <f>4421.5</f>
        <v>4421.5</v>
      </c>
      <c r="AA161" s="316"/>
    </row>
    <row r="162" spans="1:27" ht="24" hidden="1" customHeight="1" x14ac:dyDescent="0.2">
      <c r="A162" s="78">
        <v>9</v>
      </c>
      <c r="B162" s="440" t="s">
        <v>342</v>
      </c>
      <c r="C162" s="41" t="s">
        <v>343</v>
      </c>
      <c r="D162" s="600">
        <f>-1500</f>
        <v>-1500</v>
      </c>
      <c r="E162" s="600">
        <f>-292.5</f>
        <v>-292.5</v>
      </c>
      <c r="F162" s="520"/>
      <c r="G162" s="520"/>
      <c r="H162" s="520"/>
      <c r="I162" s="520"/>
      <c r="J162" s="520"/>
      <c r="K162" s="520"/>
      <c r="L162" s="520"/>
      <c r="M162" s="520"/>
      <c r="N162" s="520"/>
      <c r="O162" s="520"/>
      <c r="P162" s="520"/>
      <c r="Q162" s="520"/>
      <c r="R162" s="150">
        <f t="shared" si="26"/>
        <v>-1792.5</v>
      </c>
      <c r="S162" s="150"/>
      <c r="T162" s="155"/>
      <c r="U162" s="155"/>
      <c r="W162" s="150"/>
      <c r="X162" s="156">
        <f t="shared" si="23"/>
        <v>0</v>
      </c>
      <c r="Y162" s="229">
        <f t="shared" si="24"/>
        <v>-1792.5</v>
      </c>
      <c r="Z162" s="155">
        <f>1792.5</f>
        <v>1792.5</v>
      </c>
      <c r="AA162" s="316"/>
    </row>
    <row r="163" spans="1:27" ht="24" hidden="1" customHeight="1" x14ac:dyDescent="0.2">
      <c r="A163" s="78">
        <v>10</v>
      </c>
      <c r="B163" s="440" t="s">
        <v>344</v>
      </c>
      <c r="C163" s="41" t="s">
        <v>346</v>
      </c>
      <c r="D163" s="600">
        <f>-4000</f>
        <v>-4000</v>
      </c>
      <c r="E163" s="600">
        <f>-780</f>
        <v>-780</v>
      </c>
      <c r="F163" s="520"/>
      <c r="G163" s="520"/>
      <c r="H163" s="520"/>
      <c r="I163" s="520"/>
      <c r="J163" s="520"/>
      <c r="K163" s="520"/>
      <c r="L163" s="520"/>
      <c r="M163" s="520"/>
      <c r="N163" s="520"/>
      <c r="O163" s="520"/>
      <c r="P163" s="520"/>
      <c r="Q163" s="520"/>
      <c r="R163" s="150">
        <f t="shared" si="26"/>
        <v>-4780</v>
      </c>
      <c r="S163" s="150"/>
      <c r="T163" s="155"/>
      <c r="U163" s="155"/>
      <c r="W163" s="150"/>
      <c r="X163" s="156">
        <f t="shared" si="23"/>
        <v>0</v>
      </c>
      <c r="Y163" s="229">
        <f t="shared" si="24"/>
        <v>-4780</v>
      </c>
      <c r="Z163" s="155">
        <f>4780</f>
        <v>4780</v>
      </c>
      <c r="AA163" s="316"/>
    </row>
    <row r="164" spans="1:27" ht="24" hidden="1" customHeight="1" x14ac:dyDescent="0.2">
      <c r="A164" s="78">
        <v>11</v>
      </c>
      <c r="B164" s="440" t="s">
        <v>344</v>
      </c>
      <c r="C164" s="41" t="s">
        <v>347</v>
      </c>
      <c r="D164" s="600">
        <f>-200</f>
        <v>-200</v>
      </c>
      <c r="E164" s="600">
        <f>-39</f>
        <v>-39</v>
      </c>
      <c r="F164" s="520"/>
      <c r="G164" s="520"/>
      <c r="H164" s="520"/>
      <c r="I164" s="520"/>
      <c r="J164" s="520"/>
      <c r="K164" s="520"/>
      <c r="L164" s="520"/>
      <c r="M164" s="520"/>
      <c r="N164" s="520"/>
      <c r="O164" s="520"/>
      <c r="P164" s="520"/>
      <c r="Q164" s="520"/>
      <c r="R164" s="150">
        <f t="shared" si="26"/>
        <v>-239</v>
      </c>
      <c r="S164" s="150"/>
      <c r="T164" s="155"/>
      <c r="U164" s="155"/>
      <c r="W164" s="150"/>
      <c r="X164" s="156">
        <f t="shared" si="23"/>
        <v>0</v>
      </c>
      <c r="Y164" s="229">
        <f t="shared" si="24"/>
        <v>-239</v>
      </c>
      <c r="Z164" s="155">
        <f>239</f>
        <v>239</v>
      </c>
      <c r="AA164" s="316"/>
    </row>
    <row r="165" spans="1:27" ht="24" hidden="1" customHeight="1" x14ac:dyDescent="0.2">
      <c r="A165" s="78">
        <v>12</v>
      </c>
      <c r="B165" s="440" t="s">
        <v>348</v>
      </c>
      <c r="C165" s="41" t="s">
        <v>349</v>
      </c>
      <c r="D165" s="600"/>
      <c r="E165" s="600"/>
      <c r="F165" s="520"/>
      <c r="G165" s="520"/>
      <c r="H165" s="520"/>
      <c r="I165" s="520"/>
      <c r="J165" s="520">
        <f>-1640-2000</f>
        <v>-3640</v>
      </c>
      <c r="K165" s="520"/>
      <c r="L165" s="520"/>
      <c r="M165" s="520"/>
      <c r="N165" s="520"/>
      <c r="O165" s="520"/>
      <c r="P165" s="520"/>
      <c r="Q165" s="520"/>
      <c r="R165" s="150">
        <f t="shared" si="26"/>
        <v>-3640</v>
      </c>
      <c r="S165" s="150"/>
      <c r="T165" s="155"/>
      <c r="U165" s="155"/>
      <c r="W165" s="150"/>
      <c r="X165" s="156">
        <f t="shared" si="23"/>
        <v>0</v>
      </c>
      <c r="Y165" s="229">
        <f t="shared" si="24"/>
        <v>-3640</v>
      </c>
      <c r="Z165" s="155">
        <f>3640</f>
        <v>3640</v>
      </c>
      <c r="AA165" s="316"/>
    </row>
    <row r="166" spans="1:27" ht="24" hidden="1" customHeight="1" x14ac:dyDescent="0.2">
      <c r="A166" s="78">
        <v>13</v>
      </c>
      <c r="B166" s="440" t="s">
        <v>350</v>
      </c>
      <c r="C166" s="41" t="s">
        <v>351</v>
      </c>
      <c r="D166" s="600"/>
      <c r="E166" s="600"/>
      <c r="F166" s="520"/>
      <c r="G166" s="520"/>
      <c r="H166" s="520"/>
      <c r="I166" s="520"/>
      <c r="J166" s="520"/>
      <c r="K166" s="520"/>
      <c r="L166" s="520"/>
      <c r="M166" s="520"/>
      <c r="N166" s="520"/>
      <c r="O166" s="520"/>
      <c r="P166" s="520"/>
      <c r="Q166" s="520"/>
      <c r="R166" s="150">
        <f t="shared" si="26"/>
        <v>0</v>
      </c>
      <c r="S166" s="150"/>
      <c r="T166" s="155"/>
      <c r="U166" s="155"/>
      <c r="W166" s="150"/>
      <c r="X166" s="156">
        <f t="shared" si="23"/>
        <v>0</v>
      </c>
      <c r="Y166" s="229">
        <f t="shared" si="24"/>
        <v>0</v>
      </c>
      <c r="Z166" s="155">
        <v>3253.7469999999998</v>
      </c>
      <c r="AA166" s="316"/>
    </row>
    <row r="167" spans="1:27" ht="24" hidden="1" customHeight="1" x14ac:dyDescent="0.2">
      <c r="A167" s="78">
        <v>14</v>
      </c>
      <c r="B167" s="440" t="s">
        <v>350</v>
      </c>
      <c r="C167" s="41" t="s">
        <v>352</v>
      </c>
      <c r="D167" s="600"/>
      <c r="E167" s="600"/>
      <c r="F167" s="520"/>
      <c r="G167" s="520"/>
      <c r="H167" s="520"/>
      <c r="I167" s="520"/>
      <c r="J167" s="520"/>
      <c r="K167" s="520"/>
      <c r="L167" s="520"/>
      <c r="M167" s="520"/>
      <c r="N167" s="520"/>
      <c r="O167" s="520"/>
      <c r="P167" s="520"/>
      <c r="Q167" s="520"/>
      <c r="R167" s="150">
        <f t="shared" si="26"/>
        <v>0</v>
      </c>
      <c r="S167" s="150"/>
      <c r="T167" s="155"/>
      <c r="U167" s="155"/>
      <c r="W167" s="150"/>
      <c r="X167" s="156">
        <f t="shared" si="23"/>
        <v>0</v>
      </c>
      <c r="Y167" s="229">
        <f t="shared" si="24"/>
        <v>0</v>
      </c>
      <c r="Z167" s="155">
        <f>3978.286</f>
        <v>3978.2860000000001</v>
      </c>
      <c r="AA167" s="316"/>
    </row>
    <row r="168" spans="1:27" ht="24" hidden="1" customHeight="1" x14ac:dyDescent="0.2">
      <c r="A168" s="78">
        <v>15</v>
      </c>
      <c r="B168" s="440" t="s">
        <v>350</v>
      </c>
      <c r="C168" s="41" t="s">
        <v>362</v>
      </c>
      <c r="D168" s="600"/>
      <c r="E168" s="600"/>
      <c r="F168" s="520"/>
      <c r="G168" s="520"/>
      <c r="H168" s="520"/>
      <c r="I168" s="520"/>
      <c r="J168" s="520"/>
      <c r="K168" s="520"/>
      <c r="L168" s="520"/>
      <c r="M168" s="520"/>
      <c r="N168" s="520"/>
      <c r="O168" s="520"/>
      <c r="P168" s="520"/>
      <c r="Q168" s="520"/>
      <c r="R168" s="150">
        <f t="shared" si="26"/>
        <v>0</v>
      </c>
      <c r="S168" s="150"/>
      <c r="T168" s="155"/>
      <c r="U168" s="155"/>
      <c r="W168" s="150"/>
      <c r="X168" s="156">
        <f t="shared" ref="X168" si="29">SUM(T168:W168)</f>
        <v>0</v>
      </c>
      <c r="Y168" s="229">
        <f t="shared" ref="Y168" si="30">R168+X168</f>
        <v>0</v>
      </c>
      <c r="Z168" s="155">
        <f>620.085</f>
        <v>620.08500000000004</v>
      </c>
      <c r="AA168" s="316"/>
    </row>
    <row r="169" spans="1:27" ht="24" hidden="1" customHeight="1" x14ac:dyDescent="0.2">
      <c r="A169" s="78">
        <v>16</v>
      </c>
      <c r="B169" s="440" t="s">
        <v>334</v>
      </c>
      <c r="C169" s="41" t="s">
        <v>333</v>
      </c>
      <c r="D169" s="600"/>
      <c r="E169" s="600"/>
      <c r="F169" s="520"/>
      <c r="G169" s="520"/>
      <c r="H169" s="520"/>
      <c r="I169" s="520"/>
      <c r="J169" s="520"/>
      <c r="K169" s="520">
        <f>-88900</f>
        <v>-88900</v>
      </c>
      <c r="L169" s="520">
        <f>70000+18900</f>
        <v>88900</v>
      </c>
      <c r="M169" s="520"/>
      <c r="N169" s="520"/>
      <c r="O169" s="520"/>
      <c r="P169" s="520"/>
      <c r="Q169" s="520"/>
      <c r="R169" s="150">
        <f t="shared" si="26"/>
        <v>0</v>
      </c>
      <c r="S169" s="150"/>
      <c r="T169" s="155"/>
      <c r="U169" s="155"/>
      <c r="W169" s="150"/>
      <c r="X169" s="156">
        <f t="shared" si="23"/>
        <v>0</v>
      </c>
      <c r="Y169" s="229">
        <f t="shared" si="24"/>
        <v>0</v>
      </c>
      <c r="Z169" s="155"/>
      <c r="AA169" s="316"/>
    </row>
    <row r="170" spans="1:27" ht="24" hidden="1" customHeight="1" x14ac:dyDescent="0.2">
      <c r="A170" s="78">
        <v>17</v>
      </c>
      <c r="B170" s="440" t="s">
        <v>335</v>
      </c>
      <c r="C170" s="41" t="s">
        <v>336</v>
      </c>
      <c r="D170" s="600"/>
      <c r="E170" s="600"/>
      <c r="F170" s="520">
        <f>90000+24300</f>
        <v>114300</v>
      </c>
      <c r="G170" s="520"/>
      <c r="H170" s="520"/>
      <c r="I170" s="520"/>
      <c r="J170" s="520"/>
      <c r="K170" s="520">
        <f>-166700</f>
        <v>-166700</v>
      </c>
      <c r="L170" s="520">
        <f>41260+11140</f>
        <v>52400</v>
      </c>
      <c r="M170" s="520"/>
      <c r="N170" s="520"/>
      <c r="O170" s="520"/>
      <c r="P170" s="520"/>
      <c r="Q170" s="520"/>
      <c r="R170" s="150">
        <f t="shared" si="26"/>
        <v>0</v>
      </c>
      <c r="S170" s="150"/>
      <c r="T170" s="155"/>
      <c r="U170" s="155"/>
      <c r="W170" s="150"/>
      <c r="X170" s="156">
        <f t="shared" si="23"/>
        <v>0</v>
      </c>
      <c r="Y170" s="229">
        <f t="shared" si="24"/>
        <v>0</v>
      </c>
      <c r="Z170" s="155"/>
      <c r="AA170" s="316"/>
    </row>
    <row r="171" spans="1:27" ht="24" hidden="1" customHeight="1" x14ac:dyDescent="0.2">
      <c r="A171" s="78">
        <v>18</v>
      </c>
      <c r="B171" s="440" t="s">
        <v>337</v>
      </c>
      <c r="C171" s="28" t="s">
        <v>225</v>
      </c>
      <c r="D171" s="600"/>
      <c r="E171" s="600"/>
      <c r="F171" s="520">
        <f>216</f>
        <v>216</v>
      </c>
      <c r="G171" s="520"/>
      <c r="H171" s="520"/>
      <c r="I171" s="520"/>
      <c r="J171" s="520"/>
      <c r="K171" s="520">
        <f>800</f>
        <v>800</v>
      </c>
      <c r="L171" s="520"/>
      <c r="M171" s="520"/>
      <c r="N171" s="520"/>
      <c r="O171" s="520"/>
      <c r="P171" s="520"/>
      <c r="Q171" s="520"/>
      <c r="R171" s="150">
        <f t="shared" si="26"/>
        <v>1016</v>
      </c>
      <c r="S171" s="150"/>
      <c r="T171" s="155"/>
      <c r="U171" s="155"/>
      <c r="W171" s="150"/>
      <c r="X171" s="156">
        <f t="shared" si="23"/>
        <v>0</v>
      </c>
      <c r="Y171" s="229">
        <f t="shared" si="24"/>
        <v>1016</v>
      </c>
      <c r="Z171" s="155"/>
      <c r="AA171" s="316"/>
    </row>
    <row r="172" spans="1:27" ht="24" hidden="1" customHeight="1" x14ac:dyDescent="0.2">
      <c r="A172" s="78">
        <v>19</v>
      </c>
      <c r="B172" s="440" t="s">
        <v>353</v>
      </c>
      <c r="C172" s="41" t="s">
        <v>354</v>
      </c>
      <c r="D172" s="600"/>
      <c r="E172" s="600"/>
      <c r="F172" s="520"/>
      <c r="G172" s="520"/>
      <c r="H172" s="520"/>
      <c r="I172" s="520"/>
      <c r="J172" s="520"/>
      <c r="K172" s="520"/>
      <c r="L172" s="520"/>
      <c r="M172" s="520"/>
      <c r="N172" s="520"/>
      <c r="O172" s="520"/>
      <c r="P172" s="520"/>
      <c r="Q172" s="520"/>
      <c r="R172" s="150">
        <f t="shared" si="26"/>
        <v>0</v>
      </c>
      <c r="S172" s="150"/>
      <c r="T172" s="155"/>
      <c r="U172" s="155"/>
      <c r="W172" s="150"/>
      <c r="X172" s="156">
        <f t="shared" ref="X172" si="31">SUM(T172:W172)</f>
        <v>0</v>
      </c>
      <c r="Y172" s="229">
        <f t="shared" ref="Y172" si="32">R172+X172</f>
        <v>0</v>
      </c>
      <c r="Z172" s="155">
        <f>23531.8</f>
        <v>23531.8</v>
      </c>
      <c r="AA172" s="316"/>
    </row>
    <row r="173" spans="1:27" ht="24" hidden="1" customHeight="1" x14ac:dyDescent="0.2">
      <c r="A173" s="78">
        <v>20</v>
      </c>
      <c r="B173" s="440" t="s">
        <v>338</v>
      </c>
      <c r="C173" s="41" t="s">
        <v>339</v>
      </c>
      <c r="D173" s="600"/>
      <c r="E173" s="600"/>
      <c r="F173" s="520">
        <f>-709-191</f>
        <v>-900</v>
      </c>
      <c r="G173" s="520"/>
      <c r="H173" s="520"/>
      <c r="I173" s="520">
        <f>900</f>
        <v>900</v>
      </c>
      <c r="J173" s="520"/>
      <c r="K173" s="520"/>
      <c r="L173" s="520"/>
      <c r="M173" s="520"/>
      <c r="N173" s="520"/>
      <c r="O173" s="520"/>
      <c r="P173" s="520"/>
      <c r="Q173" s="520"/>
      <c r="R173" s="150">
        <f t="shared" si="26"/>
        <v>0</v>
      </c>
      <c r="S173" s="150"/>
      <c r="T173" s="155"/>
      <c r="U173" s="155"/>
      <c r="W173" s="150"/>
      <c r="X173" s="156">
        <f t="shared" si="23"/>
        <v>0</v>
      </c>
      <c r="Y173" s="229">
        <f t="shared" si="24"/>
        <v>0</v>
      </c>
      <c r="Z173" s="155"/>
      <c r="AA173" s="316"/>
    </row>
    <row r="174" spans="1:27" ht="24" hidden="1" customHeight="1" x14ac:dyDescent="0.2">
      <c r="A174" s="78">
        <v>21</v>
      </c>
      <c r="B174" s="440" t="s">
        <v>355</v>
      </c>
      <c r="C174" s="41" t="s">
        <v>356</v>
      </c>
      <c r="D174" s="600"/>
      <c r="E174" s="600"/>
      <c r="F174" s="520">
        <f>-795</f>
        <v>-795</v>
      </c>
      <c r="G174" s="520"/>
      <c r="H174" s="520"/>
      <c r="I174" s="520"/>
      <c r="J174" s="520"/>
      <c r="K174" s="520"/>
      <c r="L174" s="520"/>
      <c r="M174" s="520"/>
      <c r="N174" s="520"/>
      <c r="O174" s="520"/>
      <c r="P174" s="520"/>
      <c r="Q174" s="520"/>
      <c r="R174" s="150">
        <f t="shared" si="26"/>
        <v>-795</v>
      </c>
      <c r="S174" s="150"/>
      <c r="T174" s="155"/>
      <c r="U174" s="155"/>
      <c r="W174" s="150"/>
      <c r="X174" s="156">
        <f t="shared" si="23"/>
        <v>0</v>
      </c>
      <c r="Y174" s="229">
        <f t="shared" si="24"/>
        <v>-795</v>
      </c>
      <c r="Z174" s="155">
        <f>795</f>
        <v>795</v>
      </c>
      <c r="AA174" s="316"/>
    </row>
    <row r="175" spans="1:27" ht="24" hidden="1" customHeight="1" x14ac:dyDescent="0.2">
      <c r="A175" s="78">
        <v>22</v>
      </c>
      <c r="B175" s="440" t="s">
        <v>367</v>
      </c>
      <c r="C175" s="41" t="s">
        <v>366</v>
      </c>
      <c r="D175" s="600"/>
      <c r="E175" s="600"/>
      <c r="F175" s="520"/>
      <c r="G175" s="520"/>
      <c r="H175" s="520"/>
      <c r="I175" s="520"/>
      <c r="J175" s="520"/>
      <c r="K175" s="520">
        <f>6478.459</f>
        <v>6478.4589999999998</v>
      </c>
      <c r="L175" s="520"/>
      <c r="M175" s="520"/>
      <c r="N175" s="520"/>
      <c r="O175" s="520"/>
      <c r="P175" s="520"/>
      <c r="Q175" s="520"/>
      <c r="R175" s="150">
        <f t="shared" si="26"/>
        <v>6478.4589999999998</v>
      </c>
      <c r="S175" s="150"/>
      <c r="T175" s="155"/>
      <c r="U175" s="155"/>
      <c r="W175" s="150"/>
      <c r="X175" s="156">
        <f t="shared" ref="X175" si="33">SUM(T175:W175)</f>
        <v>0</v>
      </c>
      <c r="Y175" s="229">
        <f t="shared" ref="Y175" si="34">R175+X175</f>
        <v>6478.4589999999998</v>
      </c>
      <c r="Z175" s="155"/>
      <c r="AA175" s="316"/>
    </row>
    <row r="176" spans="1:27" ht="24" hidden="1" customHeight="1" x14ac:dyDescent="0.2">
      <c r="A176" s="78">
        <v>23</v>
      </c>
      <c r="B176" s="440" t="s">
        <v>363</v>
      </c>
      <c r="C176" s="41" t="s">
        <v>364</v>
      </c>
      <c r="D176" s="600"/>
      <c r="E176" s="600"/>
      <c r="F176" s="520"/>
      <c r="G176" s="520"/>
      <c r="H176" s="520"/>
      <c r="I176" s="520"/>
      <c r="J176" s="520"/>
      <c r="K176" s="520">
        <f>-4620</f>
        <v>-4620</v>
      </c>
      <c r="L176" s="520"/>
      <c r="M176" s="520"/>
      <c r="N176" s="520"/>
      <c r="O176" s="520"/>
      <c r="P176" s="520"/>
      <c r="Q176" s="520"/>
      <c r="R176" s="150">
        <f t="shared" si="26"/>
        <v>-4620</v>
      </c>
      <c r="S176" s="150"/>
      <c r="T176" s="155"/>
      <c r="U176" s="155"/>
      <c r="W176" s="150"/>
      <c r="X176" s="156">
        <f t="shared" si="23"/>
        <v>0</v>
      </c>
      <c r="Y176" s="229">
        <f t="shared" si="24"/>
        <v>-4620</v>
      </c>
      <c r="Z176" s="155">
        <f>4620</f>
        <v>4620</v>
      </c>
      <c r="AA176" s="316"/>
    </row>
    <row r="177" spans="1:27" ht="24" hidden="1" customHeight="1" x14ac:dyDescent="0.2">
      <c r="A177" s="78">
        <v>24</v>
      </c>
      <c r="B177" s="440" t="s">
        <v>369</v>
      </c>
      <c r="C177" s="41" t="s">
        <v>368</v>
      </c>
      <c r="D177" s="600"/>
      <c r="E177" s="600"/>
      <c r="F177" s="520"/>
      <c r="G177" s="520"/>
      <c r="H177" s="520"/>
      <c r="I177" s="520"/>
      <c r="J177" s="520"/>
      <c r="K177" s="520">
        <f>3916</f>
        <v>3916</v>
      </c>
      <c r="L177" s="520"/>
      <c r="M177" s="520"/>
      <c r="N177" s="520"/>
      <c r="O177" s="520"/>
      <c r="P177" s="520"/>
      <c r="Q177" s="520"/>
      <c r="R177" s="150">
        <f t="shared" si="26"/>
        <v>3916</v>
      </c>
      <c r="S177" s="150"/>
      <c r="T177" s="155"/>
      <c r="U177" s="155"/>
      <c r="W177" s="150"/>
      <c r="X177" s="156">
        <f t="shared" si="23"/>
        <v>0</v>
      </c>
      <c r="Y177" s="229">
        <f t="shared" si="24"/>
        <v>3916</v>
      </c>
      <c r="Z177" s="155"/>
      <c r="AA177" s="316"/>
    </row>
    <row r="178" spans="1:27" ht="24" hidden="1" customHeight="1" x14ac:dyDescent="0.2">
      <c r="A178" s="78">
        <v>25</v>
      </c>
      <c r="B178" s="440" t="s">
        <v>370</v>
      </c>
      <c r="C178" s="41" t="s">
        <v>371</v>
      </c>
      <c r="D178" s="600"/>
      <c r="E178" s="600"/>
      <c r="F178" s="520"/>
      <c r="G178" s="520"/>
      <c r="H178" s="520"/>
      <c r="I178" s="520">
        <f>9152</f>
        <v>9152</v>
      </c>
      <c r="J178" s="520"/>
      <c r="K178" s="520">
        <f>-9152</f>
        <v>-9152</v>
      </c>
      <c r="L178" s="520"/>
      <c r="M178" s="520"/>
      <c r="N178" s="520"/>
      <c r="O178" s="520"/>
      <c r="P178" s="520"/>
      <c r="Q178" s="520"/>
      <c r="R178" s="150">
        <f t="shared" si="26"/>
        <v>0</v>
      </c>
      <c r="S178" s="150"/>
      <c r="T178" s="155"/>
      <c r="U178" s="155"/>
      <c r="W178" s="150"/>
      <c r="X178" s="156">
        <f t="shared" si="23"/>
        <v>0</v>
      </c>
      <c r="Y178" s="229">
        <f t="shared" si="24"/>
        <v>0</v>
      </c>
      <c r="Z178" s="155"/>
      <c r="AA178" s="316"/>
    </row>
    <row r="179" spans="1:27" ht="24" hidden="1" customHeight="1" x14ac:dyDescent="0.2">
      <c r="A179" s="78">
        <v>26</v>
      </c>
      <c r="B179" s="440" t="s">
        <v>372</v>
      </c>
      <c r="C179" s="41" t="s">
        <v>373</v>
      </c>
      <c r="D179" s="600">
        <f>-1250</f>
        <v>-1250</v>
      </c>
      <c r="E179" s="600">
        <f>-46</f>
        <v>-46</v>
      </c>
      <c r="F179" s="520">
        <f>1250+46</f>
        <v>1296</v>
      </c>
      <c r="G179" s="520"/>
      <c r="H179" s="520"/>
      <c r="I179" s="520"/>
      <c r="J179" s="520"/>
      <c r="K179" s="520"/>
      <c r="L179" s="520"/>
      <c r="M179" s="520"/>
      <c r="N179" s="520"/>
      <c r="O179" s="520"/>
      <c r="P179" s="520"/>
      <c r="Q179" s="520"/>
      <c r="R179" s="150">
        <f t="shared" si="26"/>
        <v>0</v>
      </c>
      <c r="S179" s="150"/>
      <c r="T179" s="155"/>
      <c r="U179" s="155"/>
      <c r="W179" s="150"/>
      <c r="X179" s="156">
        <f t="shared" si="23"/>
        <v>0</v>
      </c>
      <c r="Y179" s="229">
        <f t="shared" si="24"/>
        <v>0</v>
      </c>
      <c r="Z179" s="155"/>
      <c r="AA179" s="316"/>
    </row>
    <row r="180" spans="1:27" ht="24" hidden="1" customHeight="1" x14ac:dyDescent="0.2">
      <c r="A180" s="78">
        <v>27</v>
      </c>
      <c r="B180" s="440" t="s">
        <v>375</v>
      </c>
      <c r="C180" s="41" t="s">
        <v>374</v>
      </c>
      <c r="D180" s="600"/>
      <c r="E180" s="600"/>
      <c r="F180" s="520">
        <f>1600+432</f>
        <v>2032</v>
      </c>
      <c r="G180" s="520"/>
      <c r="H180" s="520"/>
      <c r="I180" s="520"/>
      <c r="J180" s="520"/>
      <c r="K180" s="520"/>
      <c r="L180" s="520"/>
      <c r="M180" s="520"/>
      <c r="N180" s="520"/>
      <c r="O180" s="520"/>
      <c r="P180" s="520"/>
      <c r="Q180" s="520"/>
      <c r="R180" s="150">
        <f t="shared" si="26"/>
        <v>2032</v>
      </c>
      <c r="S180" s="150"/>
      <c r="T180" s="155"/>
      <c r="U180" s="155"/>
      <c r="W180" s="150"/>
      <c r="X180" s="156">
        <f t="shared" si="23"/>
        <v>0</v>
      </c>
      <c r="Y180" s="229">
        <f t="shared" si="24"/>
        <v>2032</v>
      </c>
      <c r="Z180" s="155"/>
      <c r="AA180" s="316"/>
    </row>
    <row r="181" spans="1:27" ht="24" hidden="1" customHeight="1" x14ac:dyDescent="0.2">
      <c r="A181" s="78">
        <v>28</v>
      </c>
      <c r="B181" s="603" t="s">
        <v>376</v>
      </c>
      <c r="C181" s="41" t="s">
        <v>377</v>
      </c>
      <c r="D181" s="600"/>
      <c r="E181" s="600"/>
      <c r="F181" s="520">
        <f>-754.139</f>
        <v>-754.13900000000001</v>
      </c>
      <c r="G181" s="520"/>
      <c r="H181" s="520"/>
      <c r="I181" s="520"/>
      <c r="J181" s="520"/>
      <c r="K181" s="520"/>
      <c r="L181" s="520"/>
      <c r="M181" s="520"/>
      <c r="N181" s="520"/>
      <c r="O181" s="520"/>
      <c r="P181" s="520"/>
      <c r="Q181" s="520"/>
      <c r="R181" s="150">
        <f t="shared" si="26"/>
        <v>-754.13900000000001</v>
      </c>
      <c r="S181" s="150"/>
      <c r="T181" s="155"/>
      <c r="U181" s="155"/>
      <c r="W181" s="150"/>
      <c r="X181" s="156">
        <f t="shared" si="23"/>
        <v>0</v>
      </c>
      <c r="Y181" s="229">
        <f t="shared" si="24"/>
        <v>-754.13900000000001</v>
      </c>
      <c r="Z181" s="155">
        <f>754.139</f>
        <v>754.13900000000001</v>
      </c>
      <c r="AA181" s="316"/>
    </row>
    <row r="182" spans="1:27" ht="24" hidden="1" customHeight="1" x14ac:dyDescent="0.2">
      <c r="A182" s="78">
        <v>29</v>
      </c>
      <c r="B182" s="440" t="s">
        <v>392</v>
      </c>
      <c r="C182" s="41" t="s">
        <v>400</v>
      </c>
      <c r="D182" s="600">
        <f>-100</f>
        <v>-100</v>
      </c>
      <c r="E182" s="600">
        <f>-19.5</f>
        <v>-19.5</v>
      </c>
      <c r="F182" s="520"/>
      <c r="G182" s="520"/>
      <c r="H182" s="520"/>
      <c r="I182" s="520"/>
      <c r="J182" s="520"/>
      <c r="K182" s="520"/>
      <c r="L182" s="520"/>
      <c r="M182" s="520"/>
      <c r="N182" s="520"/>
      <c r="O182" s="520"/>
      <c r="P182" s="520"/>
      <c r="Q182" s="520"/>
      <c r="R182" s="150">
        <f t="shared" si="26"/>
        <v>-119.5</v>
      </c>
      <c r="S182" s="150"/>
      <c r="T182" s="155"/>
      <c r="U182" s="155"/>
      <c r="W182" s="150"/>
      <c r="X182" s="156">
        <f t="shared" si="23"/>
        <v>0</v>
      </c>
      <c r="Y182" s="229">
        <f t="shared" si="24"/>
        <v>-119.5</v>
      </c>
      <c r="Z182" s="155">
        <f>119.5</f>
        <v>119.5</v>
      </c>
      <c r="AA182" s="316"/>
    </row>
    <row r="183" spans="1:27" ht="24" hidden="1" customHeight="1" x14ac:dyDescent="0.2">
      <c r="A183" s="78">
        <v>30</v>
      </c>
      <c r="B183" s="440" t="s">
        <v>393</v>
      </c>
      <c r="C183" s="41" t="s">
        <v>401</v>
      </c>
      <c r="D183" s="600"/>
      <c r="E183" s="600"/>
      <c r="F183" s="520">
        <f>-381-152.4-958.275-550-640</f>
        <v>-2681.6750000000002</v>
      </c>
      <c r="G183" s="520"/>
      <c r="H183" s="520"/>
      <c r="I183" s="520"/>
      <c r="J183" s="520"/>
      <c r="K183" s="520"/>
      <c r="L183" s="520"/>
      <c r="M183" s="520"/>
      <c r="N183" s="520"/>
      <c r="O183" s="520"/>
      <c r="P183" s="520"/>
      <c r="Q183" s="520"/>
      <c r="R183" s="150">
        <f t="shared" si="26"/>
        <v>-2681.6750000000002</v>
      </c>
      <c r="S183" s="150"/>
      <c r="T183" s="155"/>
      <c r="U183" s="155"/>
      <c r="W183" s="150"/>
      <c r="X183" s="156">
        <f t="shared" si="23"/>
        <v>0</v>
      </c>
      <c r="Y183" s="229">
        <f t="shared" si="24"/>
        <v>-2681.6750000000002</v>
      </c>
      <c r="Z183" s="155">
        <f>2681.675</f>
        <v>2681.6750000000002</v>
      </c>
      <c r="AA183" s="316"/>
    </row>
    <row r="184" spans="1:27" ht="24" hidden="1" customHeight="1" x14ac:dyDescent="0.2">
      <c r="A184" s="78">
        <v>31</v>
      </c>
      <c r="B184" s="438" t="s">
        <v>378</v>
      </c>
      <c r="C184" s="28" t="s">
        <v>379</v>
      </c>
      <c r="D184" s="520"/>
      <c r="E184" s="520"/>
      <c r="F184" s="520"/>
      <c r="G184" s="520"/>
      <c r="H184" s="520"/>
      <c r="I184" s="520"/>
      <c r="J184" s="520"/>
      <c r="K184" s="520">
        <f>-18969</f>
        <v>-18969</v>
      </c>
      <c r="L184" s="520"/>
      <c r="M184" s="520"/>
      <c r="N184" s="520"/>
      <c r="O184" s="520"/>
      <c r="P184" s="520"/>
      <c r="Q184" s="520"/>
      <c r="R184" s="150">
        <f t="shared" si="26"/>
        <v>-18969</v>
      </c>
      <c r="S184" s="150"/>
      <c r="T184" s="150"/>
      <c r="U184" s="150"/>
      <c r="W184" s="150"/>
      <c r="X184" s="156">
        <f t="shared" si="23"/>
        <v>0</v>
      </c>
      <c r="Y184" s="229">
        <f t="shared" si="24"/>
        <v>-18969</v>
      </c>
      <c r="Z184" s="150">
        <f>18969</f>
        <v>18969</v>
      </c>
      <c r="AA184" s="316"/>
    </row>
    <row r="185" spans="1:27" ht="31.5" hidden="1" customHeight="1" x14ac:dyDescent="0.2">
      <c r="A185" s="78">
        <v>32</v>
      </c>
      <c r="B185" s="438" t="s">
        <v>381</v>
      </c>
      <c r="C185" s="28" t="s">
        <v>391</v>
      </c>
      <c r="D185" s="520"/>
      <c r="E185" s="520"/>
      <c r="F185" s="520"/>
      <c r="G185" s="520"/>
      <c r="H185" s="520"/>
      <c r="I185" s="520"/>
      <c r="J185" s="520"/>
      <c r="K185" s="520"/>
      <c r="L185" s="520">
        <f>-191753-51773</f>
        <v>-243526</v>
      </c>
      <c r="M185" s="520"/>
      <c r="N185" s="520"/>
      <c r="O185" s="520"/>
      <c r="P185" s="520"/>
      <c r="Q185" s="520"/>
      <c r="R185" s="150">
        <f t="shared" si="26"/>
        <v>-243526</v>
      </c>
      <c r="S185" s="150"/>
      <c r="T185" s="150"/>
      <c r="U185" s="150"/>
      <c r="W185" s="150"/>
      <c r="X185" s="156">
        <f t="shared" si="23"/>
        <v>0</v>
      </c>
      <c r="Y185" s="229">
        <f t="shared" si="24"/>
        <v>-243526</v>
      </c>
      <c r="Z185" s="150"/>
      <c r="AA185" s="316"/>
    </row>
    <row r="186" spans="1:27" ht="31.5" hidden="1" customHeight="1" x14ac:dyDescent="0.2">
      <c r="A186" s="78">
        <v>33</v>
      </c>
      <c r="B186" s="438" t="s">
        <v>394</v>
      </c>
      <c r="C186" s="28" t="s">
        <v>395</v>
      </c>
      <c r="D186" s="520"/>
      <c r="E186" s="520"/>
      <c r="F186" s="520"/>
      <c r="G186" s="520"/>
      <c r="H186" s="520"/>
      <c r="I186" s="520"/>
      <c r="J186" s="520"/>
      <c r="K186" s="520">
        <f>-100141</f>
        <v>-100141</v>
      </c>
      <c r="L186" s="520"/>
      <c r="M186" s="520"/>
      <c r="N186" s="520"/>
      <c r="O186" s="520"/>
      <c r="P186" s="520"/>
      <c r="Q186" s="520"/>
      <c r="R186" s="150">
        <f t="shared" si="26"/>
        <v>-100141</v>
      </c>
      <c r="S186" s="150"/>
      <c r="T186" s="150"/>
      <c r="U186" s="150"/>
      <c r="W186" s="150"/>
      <c r="X186" s="156">
        <f t="shared" si="23"/>
        <v>0</v>
      </c>
      <c r="Y186" s="229">
        <f t="shared" si="24"/>
        <v>-100141</v>
      </c>
      <c r="Z186" s="150">
        <f>100141</f>
        <v>100141</v>
      </c>
      <c r="AA186" s="316"/>
    </row>
    <row r="187" spans="1:27" ht="24" hidden="1" customHeight="1" x14ac:dyDescent="0.2">
      <c r="A187" s="78">
        <v>34</v>
      </c>
      <c r="B187" s="438" t="s">
        <v>383</v>
      </c>
      <c r="C187" s="28" t="s">
        <v>384</v>
      </c>
      <c r="D187" s="520"/>
      <c r="E187" s="520"/>
      <c r="F187" s="520"/>
      <c r="G187" s="520"/>
      <c r="H187" s="520"/>
      <c r="I187" s="520"/>
      <c r="J187" s="520"/>
      <c r="K187" s="520">
        <f>-18415</f>
        <v>-18415</v>
      </c>
      <c r="L187" s="520"/>
      <c r="M187" s="520"/>
      <c r="N187" s="520"/>
      <c r="O187" s="520"/>
      <c r="P187" s="520"/>
      <c r="Q187" s="520"/>
      <c r="R187" s="150">
        <f t="shared" si="26"/>
        <v>-18415</v>
      </c>
      <c r="S187" s="150"/>
      <c r="T187" s="155"/>
      <c r="U187" s="155"/>
      <c r="W187" s="150"/>
      <c r="X187" s="156">
        <f t="shared" si="23"/>
        <v>0</v>
      </c>
      <c r="Y187" s="229">
        <f t="shared" si="24"/>
        <v>-18415</v>
      </c>
      <c r="Z187" s="155">
        <f>18415</f>
        <v>18415</v>
      </c>
      <c r="AA187" s="316"/>
    </row>
    <row r="188" spans="1:27" ht="24" hidden="1" customHeight="1" x14ac:dyDescent="0.2">
      <c r="A188" s="78">
        <v>35</v>
      </c>
      <c r="B188" s="438" t="s">
        <v>386</v>
      </c>
      <c r="C188" s="28" t="s">
        <v>387</v>
      </c>
      <c r="D188" s="520"/>
      <c r="E188" s="520"/>
      <c r="F188" s="520"/>
      <c r="G188" s="520"/>
      <c r="H188" s="520"/>
      <c r="I188" s="520"/>
      <c r="J188" s="520"/>
      <c r="K188" s="520">
        <f>-12447</f>
        <v>-12447</v>
      </c>
      <c r="L188" s="520"/>
      <c r="M188" s="520"/>
      <c r="N188" s="520"/>
      <c r="O188" s="520"/>
      <c r="P188" s="520"/>
      <c r="Q188" s="520"/>
      <c r="R188" s="150">
        <f t="shared" si="26"/>
        <v>-12447</v>
      </c>
      <c r="S188" s="150"/>
      <c r="T188" s="155"/>
      <c r="U188" s="155"/>
      <c r="W188" s="150"/>
      <c r="X188" s="156">
        <f>SUM(T188:W188)</f>
        <v>0</v>
      </c>
      <c r="Y188" s="229">
        <f>R188+X188</f>
        <v>-12447</v>
      </c>
      <c r="Z188" s="155">
        <f>12447</f>
        <v>12447</v>
      </c>
      <c r="AA188" s="316"/>
    </row>
    <row r="189" spans="1:27" ht="24" hidden="1" customHeight="1" x14ac:dyDescent="0.2">
      <c r="A189" s="78">
        <v>36</v>
      </c>
      <c r="B189" s="438" t="s">
        <v>396</v>
      </c>
      <c r="C189" s="41" t="s">
        <v>402</v>
      </c>
      <c r="D189" s="520"/>
      <c r="E189" s="520"/>
      <c r="F189" s="520">
        <f>-792</f>
        <v>-792</v>
      </c>
      <c r="G189" s="520"/>
      <c r="H189" s="520"/>
      <c r="I189" s="520"/>
      <c r="J189" s="520"/>
      <c r="K189" s="520"/>
      <c r="L189" s="520"/>
      <c r="M189" s="520"/>
      <c r="N189" s="520"/>
      <c r="O189" s="520"/>
      <c r="P189" s="520"/>
      <c r="Q189" s="520"/>
      <c r="R189" s="150">
        <f t="shared" si="26"/>
        <v>-792</v>
      </c>
      <c r="S189" s="150"/>
      <c r="T189" s="155"/>
      <c r="U189" s="155"/>
      <c r="W189" s="150"/>
      <c r="X189" s="156">
        <f>SUM(T189:W189)</f>
        <v>0</v>
      </c>
      <c r="Y189" s="229">
        <f>R189+X189</f>
        <v>-792</v>
      </c>
      <c r="Z189" s="155">
        <f>792</f>
        <v>792</v>
      </c>
      <c r="AA189" s="316"/>
    </row>
    <row r="190" spans="1:27" ht="24" hidden="1" customHeight="1" x14ac:dyDescent="0.2">
      <c r="A190" s="78">
        <v>37</v>
      </c>
      <c r="B190" s="438" t="s">
        <v>389</v>
      </c>
      <c r="C190" s="28" t="s">
        <v>390</v>
      </c>
      <c r="D190" s="520"/>
      <c r="E190" s="520"/>
      <c r="F190" s="520"/>
      <c r="G190" s="520"/>
      <c r="H190" s="520"/>
      <c r="I190" s="520"/>
      <c r="J190" s="520"/>
      <c r="K190" s="520">
        <f>-31750</f>
        <v>-31750</v>
      </c>
      <c r="L190" s="520">
        <f>25000+6750</f>
        <v>31750</v>
      </c>
      <c r="M190" s="520"/>
      <c r="N190" s="520"/>
      <c r="O190" s="520"/>
      <c r="P190" s="520"/>
      <c r="Q190" s="520"/>
      <c r="R190" s="150">
        <f t="shared" si="26"/>
        <v>0</v>
      </c>
      <c r="S190" s="150"/>
      <c r="T190" s="155"/>
      <c r="U190" s="155"/>
      <c r="W190" s="150"/>
      <c r="X190" s="156">
        <f t="shared" si="23"/>
        <v>0</v>
      </c>
      <c r="Y190" s="229">
        <f t="shared" si="24"/>
        <v>0</v>
      </c>
      <c r="Z190" s="155"/>
      <c r="AA190" s="316"/>
    </row>
    <row r="191" spans="1:27" ht="24" hidden="1" customHeight="1" x14ac:dyDescent="0.2">
      <c r="A191" s="78">
        <v>38</v>
      </c>
      <c r="B191" s="438" t="s">
        <v>397</v>
      </c>
      <c r="C191" s="28" t="s">
        <v>398</v>
      </c>
      <c r="D191" s="520">
        <f>-2207.4</f>
        <v>-2207.4</v>
      </c>
      <c r="E191" s="520">
        <f>-430.443</f>
        <v>-430.44299999999998</v>
      </c>
      <c r="F191" s="520"/>
      <c r="G191" s="520"/>
      <c r="H191" s="520"/>
      <c r="I191" s="520"/>
      <c r="J191" s="520"/>
      <c r="K191" s="520"/>
      <c r="L191" s="520"/>
      <c r="M191" s="520"/>
      <c r="N191" s="520"/>
      <c r="O191" s="520"/>
      <c r="P191" s="520"/>
      <c r="Q191" s="520"/>
      <c r="R191" s="150">
        <f t="shared" si="26"/>
        <v>-2637.8429999999998</v>
      </c>
      <c r="S191" s="150"/>
      <c r="T191" s="155"/>
      <c r="U191" s="155"/>
      <c r="W191" s="150"/>
      <c r="X191" s="156">
        <f t="shared" si="23"/>
        <v>0</v>
      </c>
      <c r="Y191" s="229">
        <f t="shared" si="24"/>
        <v>-2637.8429999999998</v>
      </c>
      <c r="Z191" s="155">
        <f>2637.843</f>
        <v>2637.8429999999998</v>
      </c>
      <c r="AA191" s="316"/>
    </row>
    <row r="192" spans="1:27" ht="24" hidden="1" customHeight="1" x14ac:dyDescent="0.2">
      <c r="A192" s="78">
        <v>39</v>
      </c>
      <c r="B192" s="438" t="s">
        <v>399</v>
      </c>
      <c r="C192" s="41" t="s">
        <v>400</v>
      </c>
      <c r="D192" s="520">
        <f>-3268.15</f>
        <v>-3268.15</v>
      </c>
      <c r="E192" s="520">
        <f>-637.289</f>
        <v>-637.28899999999999</v>
      </c>
      <c r="F192" s="520"/>
      <c r="G192" s="520"/>
      <c r="H192" s="520"/>
      <c r="I192" s="520"/>
      <c r="J192" s="520"/>
      <c r="K192" s="520"/>
      <c r="L192" s="520"/>
      <c r="M192" s="520"/>
      <c r="N192" s="520"/>
      <c r="O192" s="520"/>
      <c r="P192" s="520"/>
      <c r="Q192" s="520"/>
      <c r="R192" s="150">
        <f t="shared" si="26"/>
        <v>-3905.4390000000003</v>
      </c>
      <c r="S192" s="150"/>
      <c r="T192" s="150"/>
      <c r="U192" s="150"/>
      <c r="W192" s="150"/>
      <c r="X192" s="156">
        <f t="shared" si="23"/>
        <v>0</v>
      </c>
      <c r="Y192" s="229">
        <f t="shared" si="24"/>
        <v>-3905.4390000000003</v>
      </c>
      <c r="Z192" s="150">
        <f>3905.439</f>
        <v>3905.4389999999999</v>
      </c>
      <c r="AA192" s="316"/>
    </row>
    <row r="193" spans="1:27" ht="24" hidden="1" customHeight="1" x14ac:dyDescent="0.2">
      <c r="A193" s="78">
        <v>40</v>
      </c>
      <c r="B193" s="438" t="s">
        <v>403</v>
      </c>
      <c r="C193" s="28" t="s">
        <v>404</v>
      </c>
      <c r="D193" s="520"/>
      <c r="E193" s="520"/>
      <c r="F193" s="520"/>
      <c r="G193" s="520"/>
      <c r="H193" s="520"/>
      <c r="I193" s="520"/>
      <c r="J193" s="520"/>
      <c r="K193" s="520">
        <f>2010</f>
        <v>2010</v>
      </c>
      <c r="L193" s="520"/>
      <c r="M193" s="520"/>
      <c r="N193" s="520"/>
      <c r="O193" s="520"/>
      <c r="P193" s="520"/>
      <c r="Q193" s="520"/>
      <c r="R193" s="150">
        <f t="shared" si="26"/>
        <v>2010</v>
      </c>
      <c r="S193" s="150"/>
      <c r="T193" s="150"/>
      <c r="U193" s="150"/>
      <c r="W193" s="150"/>
      <c r="X193" s="156">
        <f t="shared" si="23"/>
        <v>0</v>
      </c>
      <c r="Y193" s="229">
        <f t="shared" si="24"/>
        <v>2010</v>
      </c>
      <c r="Z193" s="150">
        <f>-2010</f>
        <v>-2010</v>
      </c>
      <c r="AA193" s="316"/>
    </row>
    <row r="194" spans="1:27" ht="24" hidden="1" customHeight="1" x14ac:dyDescent="0.2">
      <c r="A194" s="78">
        <v>41</v>
      </c>
      <c r="B194" s="438" t="s">
        <v>406</v>
      </c>
      <c r="C194" s="28" t="s">
        <v>407</v>
      </c>
      <c r="D194" s="520"/>
      <c r="E194" s="520"/>
      <c r="F194" s="520">
        <f>-318</f>
        <v>-318</v>
      </c>
      <c r="G194" s="520"/>
      <c r="H194" s="520"/>
      <c r="I194" s="520"/>
      <c r="J194" s="520"/>
      <c r="K194" s="520"/>
      <c r="L194" s="520">
        <f>250+68</f>
        <v>318</v>
      </c>
      <c r="M194" s="520"/>
      <c r="N194" s="520"/>
      <c r="O194" s="520"/>
      <c r="P194" s="520"/>
      <c r="Q194" s="520"/>
      <c r="R194" s="150">
        <f t="shared" si="26"/>
        <v>0</v>
      </c>
      <c r="S194" s="150"/>
      <c r="T194" s="150"/>
      <c r="U194" s="150"/>
      <c r="W194" s="150"/>
      <c r="X194" s="156">
        <f t="shared" si="23"/>
        <v>0</v>
      </c>
      <c r="Y194" s="229">
        <f t="shared" si="24"/>
        <v>0</v>
      </c>
      <c r="Z194" s="150"/>
      <c r="AA194" s="316"/>
    </row>
    <row r="195" spans="1:27" ht="24" hidden="1" customHeight="1" x14ac:dyDescent="0.2">
      <c r="A195" s="78">
        <v>42</v>
      </c>
      <c r="B195" s="438" t="s">
        <v>409</v>
      </c>
      <c r="C195" s="28" t="s">
        <v>411</v>
      </c>
      <c r="D195" s="520"/>
      <c r="E195" s="520"/>
      <c r="F195" s="520">
        <f>4914</f>
        <v>4914</v>
      </c>
      <c r="G195" s="520"/>
      <c r="H195" s="520"/>
      <c r="I195" s="520"/>
      <c r="J195" s="520"/>
      <c r="K195" s="520"/>
      <c r="L195" s="520">
        <f>-4914</f>
        <v>-4914</v>
      </c>
      <c r="M195" s="520"/>
      <c r="N195" s="520"/>
      <c r="O195" s="520"/>
      <c r="P195" s="520"/>
      <c r="Q195" s="520"/>
      <c r="R195" s="150">
        <f t="shared" si="26"/>
        <v>0</v>
      </c>
      <c r="S195" s="150"/>
      <c r="T195" s="150"/>
      <c r="U195" s="150"/>
      <c r="W195" s="150"/>
      <c r="X195" s="156">
        <f t="shared" ref="X195" si="35">SUM(T195:W195)</f>
        <v>0</v>
      </c>
      <c r="Y195" s="229">
        <f t="shared" ref="Y195" si="36">R195+X195</f>
        <v>0</v>
      </c>
      <c r="Z195" s="150"/>
      <c r="AA195" s="316"/>
    </row>
    <row r="196" spans="1:27" ht="24" hidden="1" customHeight="1" x14ac:dyDescent="0.2">
      <c r="A196" s="78">
        <v>43</v>
      </c>
      <c r="B196" s="438" t="s">
        <v>408</v>
      </c>
      <c r="C196" s="28" t="s">
        <v>410</v>
      </c>
      <c r="D196" s="520"/>
      <c r="E196" s="520"/>
      <c r="F196" s="520"/>
      <c r="G196" s="520"/>
      <c r="H196" s="520"/>
      <c r="I196" s="520"/>
      <c r="J196" s="520">
        <f>200</f>
        <v>200</v>
      </c>
      <c r="K196" s="520">
        <f>-200</f>
        <v>-200</v>
      </c>
      <c r="L196" s="520"/>
      <c r="M196" s="520"/>
      <c r="N196" s="520"/>
      <c r="O196" s="520"/>
      <c r="P196" s="520"/>
      <c r="Q196" s="520"/>
      <c r="R196" s="150">
        <f t="shared" si="26"/>
        <v>0</v>
      </c>
      <c r="S196" s="150"/>
      <c r="T196" s="150"/>
      <c r="U196" s="150"/>
      <c r="W196" s="150"/>
      <c r="X196" s="156">
        <f t="shared" si="23"/>
        <v>0</v>
      </c>
      <c r="Y196" s="229">
        <f t="shared" si="24"/>
        <v>0</v>
      </c>
      <c r="Z196" s="150"/>
      <c r="AA196" s="316"/>
    </row>
    <row r="197" spans="1:27" ht="24" hidden="1" customHeight="1" x14ac:dyDescent="0.2">
      <c r="A197" s="78">
        <v>44</v>
      </c>
      <c r="B197" s="438" t="s">
        <v>412</v>
      </c>
      <c r="C197" s="28" t="s">
        <v>413</v>
      </c>
      <c r="D197" s="520"/>
      <c r="E197" s="520"/>
      <c r="F197" s="520">
        <f>70+19</f>
        <v>89</v>
      </c>
      <c r="G197" s="520"/>
      <c r="H197" s="520"/>
      <c r="I197" s="520"/>
      <c r="J197" s="520"/>
      <c r="K197" s="520"/>
      <c r="L197" s="520"/>
      <c r="M197" s="520"/>
      <c r="N197" s="520"/>
      <c r="O197" s="520"/>
      <c r="P197" s="520"/>
      <c r="Q197" s="520"/>
      <c r="R197" s="150">
        <f t="shared" si="26"/>
        <v>89</v>
      </c>
      <c r="S197" s="150"/>
      <c r="T197" s="150"/>
      <c r="U197" s="150"/>
      <c r="W197" s="150"/>
      <c r="X197" s="156">
        <f t="shared" si="23"/>
        <v>0</v>
      </c>
      <c r="Y197" s="229">
        <f t="shared" si="24"/>
        <v>89</v>
      </c>
      <c r="Z197" s="150"/>
      <c r="AA197" s="316"/>
    </row>
    <row r="198" spans="1:27" ht="24" hidden="1" customHeight="1" x14ac:dyDescent="0.2">
      <c r="A198" s="78">
        <v>45</v>
      </c>
      <c r="B198" s="438" t="s">
        <v>414</v>
      </c>
      <c r="C198" s="28" t="s">
        <v>410</v>
      </c>
      <c r="D198" s="520"/>
      <c r="E198" s="520"/>
      <c r="F198" s="520"/>
      <c r="G198" s="520"/>
      <c r="H198" s="520"/>
      <c r="I198" s="520"/>
      <c r="J198" s="520">
        <f>150</f>
        <v>150</v>
      </c>
      <c r="K198" s="520">
        <f>-150</f>
        <v>-150</v>
      </c>
      <c r="L198" s="520"/>
      <c r="M198" s="520"/>
      <c r="N198" s="520"/>
      <c r="O198" s="520"/>
      <c r="P198" s="520"/>
      <c r="Q198" s="520"/>
      <c r="R198" s="150">
        <f t="shared" si="26"/>
        <v>0</v>
      </c>
      <c r="S198" s="150"/>
      <c r="T198" s="150"/>
      <c r="U198" s="150"/>
      <c r="W198" s="150"/>
      <c r="X198" s="156">
        <f t="shared" si="23"/>
        <v>0</v>
      </c>
      <c r="Y198" s="229">
        <f t="shared" si="24"/>
        <v>0</v>
      </c>
      <c r="Z198" s="150"/>
      <c r="AA198" s="316"/>
    </row>
    <row r="199" spans="1:27" ht="24" hidden="1" customHeight="1" x14ac:dyDescent="0.2">
      <c r="A199" s="78">
        <v>46</v>
      </c>
      <c r="B199" s="438" t="s">
        <v>415</v>
      </c>
      <c r="C199" s="41" t="s">
        <v>421</v>
      </c>
      <c r="D199" s="520"/>
      <c r="E199" s="520"/>
      <c r="F199" s="520"/>
      <c r="G199" s="520"/>
      <c r="H199" s="520"/>
      <c r="I199" s="520"/>
      <c r="J199" s="520"/>
      <c r="K199" s="520">
        <f>-17044</f>
        <v>-17044</v>
      </c>
      <c r="L199" s="520"/>
      <c r="M199" s="520"/>
      <c r="N199" s="520"/>
      <c r="O199" s="520"/>
      <c r="P199" s="520"/>
      <c r="Q199" s="520"/>
      <c r="R199" s="150">
        <f t="shared" si="26"/>
        <v>-17044</v>
      </c>
      <c r="S199" s="150"/>
      <c r="T199" s="150"/>
      <c r="U199" s="150"/>
      <c r="W199" s="150"/>
      <c r="X199" s="156">
        <f t="shared" si="23"/>
        <v>0</v>
      </c>
      <c r="Y199" s="229">
        <f t="shared" si="24"/>
        <v>-17044</v>
      </c>
      <c r="Z199" s="150">
        <f>17044</f>
        <v>17044</v>
      </c>
      <c r="AA199" s="316"/>
    </row>
    <row r="200" spans="1:27" ht="24" hidden="1" customHeight="1" x14ac:dyDescent="0.2">
      <c r="A200" s="78">
        <v>47</v>
      </c>
      <c r="B200" s="438" t="s">
        <v>416</v>
      </c>
      <c r="C200" s="28" t="s">
        <v>423</v>
      </c>
      <c r="D200" s="520"/>
      <c r="E200" s="520"/>
      <c r="F200" s="520"/>
      <c r="G200" s="520"/>
      <c r="H200" s="520"/>
      <c r="I200" s="520"/>
      <c r="J200" s="520"/>
      <c r="K200" s="520">
        <f>-3126</f>
        <v>-3126</v>
      </c>
      <c r="L200" s="520"/>
      <c r="M200" s="520"/>
      <c r="N200" s="520"/>
      <c r="O200" s="520"/>
      <c r="P200" s="520"/>
      <c r="Q200" s="520"/>
      <c r="R200" s="150">
        <f t="shared" si="26"/>
        <v>-3126</v>
      </c>
      <c r="S200" s="150"/>
      <c r="T200" s="150"/>
      <c r="U200" s="150"/>
      <c r="W200" s="150"/>
      <c r="X200" s="156">
        <f t="shared" si="23"/>
        <v>0</v>
      </c>
      <c r="Y200" s="229">
        <f t="shared" si="24"/>
        <v>-3126</v>
      </c>
      <c r="Z200" s="150">
        <f>3126</f>
        <v>3126</v>
      </c>
      <c r="AA200" s="316"/>
    </row>
    <row r="201" spans="1:27" ht="24" hidden="1" customHeight="1" x14ac:dyDescent="0.2">
      <c r="A201" s="78">
        <v>48</v>
      </c>
      <c r="B201" s="438" t="s">
        <v>417</v>
      </c>
      <c r="C201" s="28" t="s">
        <v>425</v>
      </c>
      <c r="D201" s="520">
        <f>-200</f>
        <v>-200</v>
      </c>
      <c r="E201" s="520"/>
      <c r="F201" s="520">
        <f>200</f>
        <v>200</v>
      </c>
      <c r="G201" s="520"/>
      <c r="H201" s="520"/>
      <c r="I201" s="520"/>
      <c r="J201" s="520"/>
      <c r="K201" s="520"/>
      <c r="L201" s="520"/>
      <c r="M201" s="520"/>
      <c r="N201" s="520"/>
      <c r="O201" s="520"/>
      <c r="P201" s="520"/>
      <c r="Q201" s="520"/>
      <c r="R201" s="150">
        <f t="shared" si="26"/>
        <v>0</v>
      </c>
      <c r="S201" s="150"/>
      <c r="T201" s="150"/>
      <c r="U201" s="150"/>
      <c r="W201" s="150"/>
      <c r="X201" s="156">
        <f t="shared" si="23"/>
        <v>0</v>
      </c>
      <c r="Y201" s="229">
        <f t="shared" si="24"/>
        <v>0</v>
      </c>
      <c r="Z201" s="150"/>
      <c r="AA201" s="316"/>
    </row>
    <row r="202" spans="1:27" ht="24" hidden="1" customHeight="1" x14ac:dyDescent="0.2">
      <c r="A202" s="78">
        <v>49</v>
      </c>
      <c r="B202" s="438" t="s">
        <v>418</v>
      </c>
      <c r="C202" s="28" t="s">
        <v>426</v>
      </c>
      <c r="D202" s="520"/>
      <c r="E202" s="520"/>
      <c r="F202" s="520"/>
      <c r="G202" s="520"/>
      <c r="H202" s="520"/>
      <c r="I202" s="520">
        <f>85000</f>
        <v>85000</v>
      </c>
      <c r="J202" s="520"/>
      <c r="K202" s="520"/>
      <c r="L202" s="520"/>
      <c r="M202" s="520"/>
      <c r="N202" s="520">
        <f>-100000+15000</f>
        <v>-85000</v>
      </c>
      <c r="O202" s="520"/>
      <c r="P202" s="520"/>
      <c r="Q202" s="520"/>
      <c r="R202" s="150">
        <f t="shared" si="26"/>
        <v>0</v>
      </c>
      <c r="S202" s="150"/>
      <c r="T202" s="155"/>
      <c r="U202" s="155"/>
      <c r="W202" s="150"/>
      <c r="X202" s="156">
        <f t="shared" si="23"/>
        <v>0</v>
      </c>
      <c r="Y202" s="229">
        <f t="shared" si="24"/>
        <v>0</v>
      </c>
      <c r="Z202" s="155"/>
      <c r="AA202" s="316"/>
    </row>
    <row r="203" spans="1:27" ht="24" hidden="1" customHeight="1" x14ac:dyDescent="0.2">
      <c r="A203" s="78">
        <v>50</v>
      </c>
      <c r="B203" s="438" t="s">
        <v>419</v>
      </c>
      <c r="C203" s="41" t="s">
        <v>332</v>
      </c>
      <c r="D203" s="520"/>
      <c r="E203" s="520"/>
      <c r="F203" s="520"/>
      <c r="G203" s="520"/>
      <c r="H203" s="520"/>
      <c r="I203" s="520"/>
      <c r="J203" s="520">
        <f>50</f>
        <v>50</v>
      </c>
      <c r="K203" s="520">
        <f>-50</f>
        <v>-50</v>
      </c>
      <c r="L203" s="520"/>
      <c r="M203" s="520"/>
      <c r="N203" s="520"/>
      <c r="O203" s="520"/>
      <c r="P203" s="520"/>
      <c r="Q203" s="520"/>
      <c r="R203" s="150">
        <f t="shared" si="26"/>
        <v>0</v>
      </c>
      <c r="S203" s="150"/>
      <c r="T203" s="150"/>
      <c r="U203" s="150"/>
      <c r="V203" s="150"/>
      <c r="W203" s="150"/>
      <c r="X203" s="156">
        <f t="shared" si="23"/>
        <v>0</v>
      </c>
      <c r="Y203" s="229">
        <f t="shared" si="24"/>
        <v>0</v>
      </c>
      <c r="Z203" s="293"/>
      <c r="AA203" s="316"/>
    </row>
    <row r="204" spans="1:27" ht="24" hidden="1" customHeight="1" x14ac:dyDescent="0.2">
      <c r="A204" s="78">
        <v>51</v>
      </c>
      <c r="B204" s="438" t="s">
        <v>420</v>
      </c>
      <c r="C204" s="28" t="s">
        <v>225</v>
      </c>
      <c r="D204" s="520"/>
      <c r="E204" s="520"/>
      <c r="F204" s="520">
        <f>648</f>
        <v>648</v>
      </c>
      <c r="G204" s="520"/>
      <c r="H204" s="520"/>
      <c r="I204" s="520"/>
      <c r="J204" s="520"/>
      <c r="K204" s="520">
        <f>2400</f>
        <v>2400</v>
      </c>
      <c r="L204" s="520"/>
      <c r="M204" s="520"/>
      <c r="N204" s="520"/>
      <c r="O204" s="520"/>
      <c r="P204" s="520"/>
      <c r="Q204" s="520"/>
      <c r="R204" s="150">
        <f t="shared" si="26"/>
        <v>3048</v>
      </c>
      <c r="S204" s="150"/>
      <c r="T204" s="150"/>
      <c r="U204" s="150"/>
      <c r="V204" s="150"/>
      <c r="W204" s="150"/>
      <c r="X204" s="156">
        <f t="shared" si="23"/>
        <v>0</v>
      </c>
      <c r="Y204" s="229">
        <f t="shared" si="24"/>
        <v>3048</v>
      </c>
      <c r="Z204" s="293"/>
      <c r="AA204" s="316"/>
    </row>
    <row r="205" spans="1:27" ht="24" hidden="1" customHeight="1" x14ac:dyDescent="0.2">
      <c r="A205" s="78">
        <v>52</v>
      </c>
      <c r="B205" s="438" t="s">
        <v>438</v>
      </c>
      <c r="C205" s="28" t="s">
        <v>439</v>
      </c>
      <c r="D205" s="520"/>
      <c r="E205" s="520"/>
      <c r="F205" s="520">
        <f>-3294.861</f>
        <v>-3294.8609999999999</v>
      </c>
      <c r="G205" s="520"/>
      <c r="H205" s="520"/>
      <c r="I205" s="520"/>
      <c r="J205" s="520"/>
      <c r="K205" s="520"/>
      <c r="L205" s="520"/>
      <c r="M205" s="520"/>
      <c r="N205" s="520"/>
      <c r="O205" s="520"/>
      <c r="P205" s="520"/>
      <c r="Q205" s="520"/>
      <c r="R205" s="150">
        <f t="shared" si="26"/>
        <v>-3294.8609999999999</v>
      </c>
      <c r="S205" s="150"/>
      <c r="T205" s="150"/>
      <c r="U205" s="150"/>
      <c r="V205" s="150"/>
      <c r="W205" s="150"/>
      <c r="X205" s="156">
        <f t="shared" ref="X205" si="37">SUM(T205:W205)</f>
        <v>0</v>
      </c>
      <c r="Y205" s="229">
        <f t="shared" ref="Y205" si="38">R205+X205</f>
        <v>-3294.8609999999999</v>
      </c>
      <c r="Z205" s="293">
        <f>3294.861</f>
        <v>3294.8609999999999</v>
      </c>
      <c r="AA205" s="316"/>
    </row>
    <row r="206" spans="1:27" ht="24" hidden="1" customHeight="1" x14ac:dyDescent="0.2">
      <c r="A206" s="78">
        <v>53</v>
      </c>
      <c r="B206" s="438" t="s">
        <v>440</v>
      </c>
      <c r="C206" s="28" t="s">
        <v>441</v>
      </c>
      <c r="D206" s="520"/>
      <c r="E206" s="520"/>
      <c r="F206" s="520"/>
      <c r="G206" s="520"/>
      <c r="H206" s="520"/>
      <c r="I206" s="520"/>
      <c r="J206" s="520"/>
      <c r="K206" s="520">
        <f>-3100</f>
        <v>-3100</v>
      </c>
      <c r="L206" s="520"/>
      <c r="M206" s="520"/>
      <c r="N206" s="520"/>
      <c r="O206" s="520"/>
      <c r="P206" s="520"/>
      <c r="Q206" s="520"/>
      <c r="R206" s="150">
        <f t="shared" si="26"/>
        <v>-3100</v>
      </c>
      <c r="S206" s="150"/>
      <c r="T206" s="150"/>
      <c r="U206" s="150"/>
      <c r="V206" s="150"/>
      <c r="W206" s="150"/>
      <c r="X206" s="156">
        <f t="shared" ref="X206:X207" si="39">SUM(T206:W206)</f>
        <v>0</v>
      </c>
      <c r="Y206" s="229">
        <f t="shared" ref="Y206:Y207" si="40">R206+X206</f>
        <v>-3100</v>
      </c>
      <c r="Z206" s="293">
        <f>3100</f>
        <v>3100</v>
      </c>
      <c r="AA206" s="316"/>
    </row>
    <row r="207" spans="1:27" ht="24" hidden="1" customHeight="1" x14ac:dyDescent="0.2">
      <c r="A207" s="78">
        <v>54</v>
      </c>
      <c r="B207" s="438" t="s">
        <v>442</v>
      </c>
      <c r="C207" s="28" t="s">
        <v>443</v>
      </c>
      <c r="D207" s="520"/>
      <c r="E207" s="520"/>
      <c r="F207" s="520"/>
      <c r="G207" s="520"/>
      <c r="H207" s="520"/>
      <c r="I207" s="520"/>
      <c r="J207" s="520"/>
      <c r="K207" s="520">
        <f>-5150</f>
        <v>-5150</v>
      </c>
      <c r="L207" s="520"/>
      <c r="M207" s="520"/>
      <c r="N207" s="520"/>
      <c r="O207" s="520"/>
      <c r="P207" s="520"/>
      <c r="Q207" s="520"/>
      <c r="R207" s="150">
        <f t="shared" si="26"/>
        <v>-5150</v>
      </c>
      <c r="S207" s="150"/>
      <c r="T207" s="150"/>
      <c r="U207" s="150"/>
      <c r="V207" s="150"/>
      <c r="W207" s="150"/>
      <c r="X207" s="156">
        <f t="shared" si="39"/>
        <v>0</v>
      </c>
      <c r="Y207" s="229">
        <f t="shared" si="40"/>
        <v>-5150</v>
      </c>
      <c r="Z207" s="293">
        <f>5150</f>
        <v>5150</v>
      </c>
      <c r="AA207" s="316"/>
    </row>
    <row r="208" spans="1:27" ht="24" hidden="1" customHeight="1" x14ac:dyDescent="0.2">
      <c r="A208" s="78">
        <v>55</v>
      </c>
      <c r="B208" s="438" t="s">
        <v>435</v>
      </c>
      <c r="C208" s="41" t="s">
        <v>362</v>
      </c>
      <c r="D208" s="520"/>
      <c r="E208" s="520"/>
      <c r="F208" s="520"/>
      <c r="G208" s="520"/>
      <c r="H208" s="520"/>
      <c r="I208" s="520"/>
      <c r="J208" s="520"/>
      <c r="K208" s="520"/>
      <c r="L208" s="520"/>
      <c r="M208" s="520"/>
      <c r="N208" s="520"/>
      <c r="O208" s="520"/>
      <c r="P208" s="520"/>
      <c r="Q208" s="520"/>
      <c r="R208" s="150">
        <f t="shared" si="26"/>
        <v>0</v>
      </c>
      <c r="S208" s="150"/>
      <c r="T208" s="150"/>
      <c r="U208" s="150"/>
      <c r="V208" s="150"/>
      <c r="W208" s="150"/>
      <c r="X208" s="156">
        <f t="shared" ref="X208:X210" si="41">SUM(T208:W208)</f>
        <v>0</v>
      </c>
      <c r="Y208" s="229">
        <f t="shared" ref="Y208:Y210" si="42">R208+X208</f>
        <v>0</v>
      </c>
      <c r="Z208" s="293">
        <f>586.268</f>
        <v>586.26800000000003</v>
      </c>
      <c r="AA208" s="316"/>
    </row>
    <row r="209" spans="1:27" ht="24" hidden="1" customHeight="1" x14ac:dyDescent="0.2">
      <c r="A209" s="78">
        <v>56</v>
      </c>
      <c r="B209" s="438" t="s">
        <v>435</v>
      </c>
      <c r="C209" s="41" t="s">
        <v>352</v>
      </c>
      <c r="D209" s="520"/>
      <c r="E209" s="520"/>
      <c r="F209" s="520"/>
      <c r="G209" s="520"/>
      <c r="H209" s="520"/>
      <c r="I209" s="520"/>
      <c r="J209" s="520"/>
      <c r="K209" s="520"/>
      <c r="L209" s="520"/>
      <c r="M209" s="520"/>
      <c r="N209" s="520"/>
      <c r="O209" s="520"/>
      <c r="P209" s="520"/>
      <c r="Q209" s="520"/>
      <c r="R209" s="150">
        <f t="shared" si="26"/>
        <v>0</v>
      </c>
      <c r="S209" s="150"/>
      <c r="T209" s="150"/>
      <c r="U209" s="150"/>
      <c r="V209" s="150"/>
      <c r="W209" s="150"/>
      <c r="X209" s="156">
        <f t="shared" si="41"/>
        <v>0</v>
      </c>
      <c r="Y209" s="229">
        <f t="shared" si="42"/>
        <v>0</v>
      </c>
      <c r="Z209" s="293">
        <f>3848.145</f>
        <v>3848.145</v>
      </c>
      <c r="AA209" s="316"/>
    </row>
    <row r="210" spans="1:27" ht="24" hidden="1" customHeight="1" x14ac:dyDescent="0.2">
      <c r="A210" s="78">
        <v>57</v>
      </c>
      <c r="B210" s="438" t="s">
        <v>435</v>
      </c>
      <c r="C210" s="41" t="s">
        <v>351</v>
      </c>
      <c r="D210" s="520"/>
      <c r="E210" s="520"/>
      <c r="F210" s="520"/>
      <c r="G210" s="520"/>
      <c r="H210" s="520"/>
      <c r="I210" s="520"/>
      <c r="J210" s="520"/>
      <c r="K210" s="520"/>
      <c r="L210" s="520"/>
      <c r="M210" s="520"/>
      <c r="N210" s="520"/>
      <c r="O210" s="520"/>
      <c r="P210" s="520"/>
      <c r="Q210" s="520"/>
      <c r="R210" s="150">
        <f t="shared" si="26"/>
        <v>0</v>
      </c>
      <c r="S210" s="150"/>
      <c r="T210" s="150"/>
      <c r="U210" s="150"/>
      <c r="V210" s="150"/>
      <c r="W210" s="150"/>
      <c r="X210" s="156">
        <f t="shared" si="41"/>
        <v>0</v>
      </c>
      <c r="Y210" s="229">
        <f t="shared" si="42"/>
        <v>0</v>
      </c>
      <c r="Z210" s="293">
        <f>2900.756</f>
        <v>2900.7559999999999</v>
      </c>
      <c r="AA210" s="316"/>
    </row>
    <row r="211" spans="1:27" ht="24" hidden="1" customHeight="1" x14ac:dyDescent="0.2">
      <c r="A211" s="78">
        <v>58</v>
      </c>
      <c r="B211" s="438" t="s">
        <v>444</v>
      </c>
      <c r="C211" s="28" t="s">
        <v>354</v>
      </c>
      <c r="D211" s="520"/>
      <c r="E211" s="520"/>
      <c r="F211" s="520"/>
      <c r="G211" s="520"/>
      <c r="H211" s="520"/>
      <c r="I211" s="520"/>
      <c r="J211" s="520"/>
      <c r="K211" s="520"/>
      <c r="L211" s="520"/>
      <c r="M211" s="520"/>
      <c r="N211" s="520"/>
      <c r="O211" s="520"/>
      <c r="P211" s="520"/>
      <c r="Q211" s="520"/>
      <c r="R211" s="150">
        <f t="shared" si="26"/>
        <v>0</v>
      </c>
      <c r="S211" s="150"/>
      <c r="T211" s="150"/>
      <c r="U211" s="150"/>
      <c r="V211" s="150"/>
      <c r="W211" s="150"/>
      <c r="X211" s="156">
        <f t="shared" ref="X211" si="43">SUM(T211:W211)</f>
        <v>0</v>
      </c>
      <c r="Y211" s="229">
        <f t="shared" ref="Y211" si="44">R211+X211</f>
        <v>0</v>
      </c>
      <c r="Z211" s="293">
        <f>23107.741</f>
        <v>23107.741000000002</v>
      </c>
      <c r="AA211" s="316"/>
    </row>
    <row r="212" spans="1:27" ht="24" hidden="1" customHeight="1" x14ac:dyDescent="0.2">
      <c r="A212" s="78">
        <v>59</v>
      </c>
      <c r="B212" s="438" t="s">
        <v>432</v>
      </c>
      <c r="C212" s="28" t="s">
        <v>431</v>
      </c>
      <c r="D212" s="520"/>
      <c r="E212" s="520"/>
      <c r="F212" s="520"/>
      <c r="G212" s="520"/>
      <c r="H212" s="520"/>
      <c r="I212" s="520"/>
      <c r="J212" s="520"/>
      <c r="K212" s="520">
        <f>36094</f>
        <v>36094</v>
      </c>
      <c r="L212" s="520"/>
      <c r="M212" s="520"/>
      <c r="N212" s="520"/>
      <c r="O212" s="520"/>
      <c r="P212" s="520"/>
      <c r="Q212" s="520"/>
      <c r="R212" s="150">
        <f>SUM(D212:Q212)</f>
        <v>36094</v>
      </c>
      <c r="S212" s="150"/>
      <c r="T212" s="150"/>
      <c r="U212" s="150"/>
      <c r="V212" s="150"/>
      <c r="W212" s="150"/>
      <c r="X212" s="156">
        <f t="shared" ref="X212" si="45">SUM(T212:W212)</f>
        <v>0</v>
      </c>
      <c r="Y212" s="229">
        <f t="shared" ref="Y212" si="46">R212+X212</f>
        <v>36094</v>
      </c>
      <c r="Z212" s="293"/>
      <c r="AA212" s="316"/>
    </row>
    <row r="213" spans="1:27" ht="24" hidden="1" customHeight="1" x14ac:dyDescent="0.2">
      <c r="A213" s="78">
        <v>60</v>
      </c>
      <c r="B213" s="438" t="s">
        <v>427</v>
      </c>
      <c r="C213" s="28" t="s">
        <v>428</v>
      </c>
      <c r="D213" s="520"/>
      <c r="E213" s="520"/>
      <c r="F213" s="520">
        <f>-130</f>
        <v>-130</v>
      </c>
      <c r="G213" s="520"/>
      <c r="H213" s="520"/>
      <c r="I213" s="520"/>
      <c r="J213" s="520"/>
      <c r="K213" s="520"/>
      <c r="L213" s="520">
        <f>130</f>
        <v>130</v>
      </c>
      <c r="M213" s="520"/>
      <c r="N213" s="520"/>
      <c r="O213" s="520"/>
      <c r="P213" s="520"/>
      <c r="Q213" s="520"/>
      <c r="R213" s="150">
        <f t="shared" si="26"/>
        <v>0</v>
      </c>
      <c r="S213" s="150"/>
      <c r="T213" s="150"/>
      <c r="U213" s="150"/>
      <c r="V213" s="150"/>
      <c r="W213" s="150"/>
      <c r="X213" s="156">
        <f t="shared" si="23"/>
        <v>0</v>
      </c>
      <c r="Y213" s="229">
        <f t="shared" si="24"/>
        <v>0</v>
      </c>
      <c r="Z213" s="293"/>
      <c r="AA213" s="316"/>
    </row>
    <row r="214" spans="1:27" ht="24" hidden="1" customHeight="1" x14ac:dyDescent="0.2">
      <c r="A214" s="78">
        <v>61</v>
      </c>
      <c r="B214" s="438" t="s">
        <v>429</v>
      </c>
      <c r="C214" s="28" t="s">
        <v>430</v>
      </c>
      <c r="D214" s="520"/>
      <c r="E214" s="520"/>
      <c r="F214" s="520">
        <f>1974+77+21</f>
        <v>2072</v>
      </c>
      <c r="G214" s="520"/>
      <c r="H214" s="520"/>
      <c r="I214" s="520"/>
      <c r="J214" s="520">
        <f>-2072</f>
        <v>-2072</v>
      </c>
      <c r="K214" s="520"/>
      <c r="L214" s="520"/>
      <c r="M214" s="520"/>
      <c r="N214" s="520"/>
      <c r="O214" s="520"/>
      <c r="P214" s="520"/>
      <c r="Q214" s="520"/>
      <c r="R214" s="150">
        <f t="shared" si="26"/>
        <v>0</v>
      </c>
      <c r="S214" s="150"/>
      <c r="T214" s="150"/>
      <c r="U214" s="150"/>
      <c r="V214" s="150"/>
      <c r="W214" s="150"/>
      <c r="X214" s="156">
        <f t="shared" si="23"/>
        <v>0</v>
      </c>
      <c r="Y214" s="437">
        <f t="shared" si="24"/>
        <v>0</v>
      </c>
      <c r="Z214" s="293"/>
      <c r="AA214" s="316"/>
    </row>
    <row r="215" spans="1:27" ht="32.25" hidden="1" customHeight="1" x14ac:dyDescent="0.2">
      <c r="A215" s="78">
        <v>62</v>
      </c>
      <c r="B215" s="438" t="s">
        <v>434</v>
      </c>
      <c r="C215" s="41" t="s">
        <v>433</v>
      </c>
      <c r="D215" s="520"/>
      <c r="E215" s="520"/>
      <c r="F215" s="520"/>
      <c r="G215" s="520"/>
      <c r="H215" s="520"/>
      <c r="I215" s="520"/>
      <c r="J215" s="520"/>
      <c r="K215" s="520">
        <f>297</f>
        <v>297</v>
      </c>
      <c r="L215" s="520"/>
      <c r="M215" s="520"/>
      <c r="N215" s="520"/>
      <c r="O215" s="520"/>
      <c r="P215" s="520"/>
      <c r="Q215" s="520"/>
      <c r="R215" s="150">
        <f t="shared" si="26"/>
        <v>297</v>
      </c>
      <c r="S215" s="150"/>
      <c r="T215" s="150"/>
      <c r="U215" s="150"/>
      <c r="V215" s="150"/>
      <c r="W215" s="150"/>
      <c r="X215" s="156">
        <f t="shared" si="23"/>
        <v>0</v>
      </c>
      <c r="Y215" s="229">
        <f t="shared" si="24"/>
        <v>297</v>
      </c>
      <c r="Z215" s="293"/>
      <c r="AA215" s="316"/>
    </row>
    <row r="216" spans="1:27" ht="24" hidden="1" customHeight="1" x14ac:dyDescent="0.2">
      <c r="A216" s="78">
        <v>63</v>
      </c>
      <c r="B216" s="431" t="s">
        <v>446</v>
      </c>
      <c r="C216" s="28" t="s">
        <v>445</v>
      </c>
      <c r="D216" s="520"/>
      <c r="E216" s="520"/>
      <c r="F216" s="520">
        <f>17959.556</f>
        <v>17959.556</v>
      </c>
      <c r="G216" s="520"/>
      <c r="H216" s="520"/>
      <c r="I216" s="520"/>
      <c r="J216" s="520"/>
      <c r="K216" s="520"/>
      <c r="L216" s="520"/>
      <c r="M216" s="520"/>
      <c r="N216" s="520"/>
      <c r="O216" s="520"/>
      <c r="P216" s="520"/>
      <c r="Q216" s="520"/>
      <c r="R216" s="150">
        <f t="shared" si="26"/>
        <v>17959.556</v>
      </c>
      <c r="S216" s="150"/>
      <c r="T216" s="150"/>
      <c r="U216" s="150">
        <f>-17959.556</f>
        <v>-17959.556</v>
      </c>
      <c r="V216" s="150"/>
      <c r="W216" s="150"/>
      <c r="X216" s="156">
        <f t="shared" si="23"/>
        <v>-17959.556</v>
      </c>
      <c r="Y216" s="229">
        <f t="shared" si="24"/>
        <v>0</v>
      </c>
      <c r="Z216" s="293"/>
      <c r="AA216" s="316"/>
    </row>
    <row r="217" spans="1:27" ht="24" hidden="1" customHeight="1" x14ac:dyDescent="0.2">
      <c r="A217" s="78">
        <v>64</v>
      </c>
      <c r="B217" s="614" t="s">
        <v>447</v>
      </c>
      <c r="C217" s="33" t="s">
        <v>374</v>
      </c>
      <c r="D217" s="520"/>
      <c r="E217" s="520"/>
      <c r="F217" s="520">
        <f>1500+405</f>
        <v>1905</v>
      </c>
      <c r="G217" s="520"/>
      <c r="H217" s="520"/>
      <c r="I217" s="520"/>
      <c r="J217" s="520"/>
      <c r="K217" s="520"/>
      <c r="L217" s="520"/>
      <c r="M217" s="520"/>
      <c r="N217" s="520"/>
      <c r="O217" s="520"/>
      <c r="P217" s="520"/>
      <c r="Q217" s="520"/>
      <c r="R217" s="150">
        <f t="shared" si="26"/>
        <v>1905</v>
      </c>
      <c r="S217" s="150"/>
      <c r="T217" s="150"/>
      <c r="U217" s="150"/>
      <c r="V217" s="150"/>
      <c r="W217" s="150"/>
      <c r="X217" s="156">
        <f t="shared" si="23"/>
        <v>0</v>
      </c>
      <c r="Y217" s="229">
        <f t="shared" si="24"/>
        <v>1905</v>
      </c>
      <c r="Z217" s="293"/>
      <c r="AA217" s="316"/>
    </row>
    <row r="218" spans="1:27" ht="24" hidden="1" customHeight="1" x14ac:dyDescent="0.2">
      <c r="A218" s="78"/>
      <c r="B218" s="432"/>
      <c r="C218" s="41"/>
      <c r="D218" s="520"/>
      <c r="E218" s="520"/>
      <c r="F218" s="520"/>
      <c r="G218" s="520"/>
      <c r="H218" s="520"/>
      <c r="I218" s="520"/>
      <c r="J218" s="520"/>
      <c r="K218" s="520"/>
      <c r="L218" s="520"/>
      <c r="M218" s="520"/>
      <c r="N218" s="520"/>
      <c r="O218" s="520"/>
      <c r="P218" s="520"/>
      <c r="Q218" s="520"/>
      <c r="R218" s="150">
        <f t="shared" si="26"/>
        <v>0</v>
      </c>
      <c r="S218" s="150"/>
      <c r="T218" s="150"/>
      <c r="U218" s="150"/>
      <c r="V218" s="150"/>
      <c r="W218" s="150"/>
      <c r="X218" s="156">
        <f t="shared" si="23"/>
        <v>0</v>
      </c>
      <c r="Y218" s="229">
        <f t="shared" si="24"/>
        <v>0</v>
      </c>
      <c r="Z218" s="293"/>
      <c r="AA218" s="316"/>
    </row>
    <row r="219" spans="1:27" ht="24" hidden="1" customHeight="1" x14ac:dyDescent="0.2">
      <c r="A219" s="78"/>
      <c r="B219" s="430"/>
      <c r="C219" s="41"/>
      <c r="D219" s="520"/>
      <c r="E219" s="520"/>
      <c r="F219" s="520"/>
      <c r="G219" s="520"/>
      <c r="H219" s="520"/>
      <c r="I219" s="520"/>
      <c r="J219" s="520"/>
      <c r="K219" s="520"/>
      <c r="L219" s="520"/>
      <c r="M219" s="520"/>
      <c r="N219" s="520"/>
      <c r="O219" s="520"/>
      <c r="P219" s="520"/>
      <c r="Q219" s="520"/>
      <c r="R219" s="150">
        <f t="shared" si="26"/>
        <v>0</v>
      </c>
      <c r="S219" s="150"/>
      <c r="T219" s="150"/>
      <c r="U219" s="150"/>
      <c r="V219" s="150"/>
      <c r="W219" s="150"/>
      <c r="X219" s="156">
        <f t="shared" si="23"/>
        <v>0</v>
      </c>
      <c r="Y219" s="229">
        <f t="shared" si="24"/>
        <v>0</v>
      </c>
      <c r="Z219" s="293"/>
      <c r="AA219" s="316"/>
    </row>
    <row r="220" spans="1:27" ht="24" hidden="1" customHeight="1" x14ac:dyDescent="0.2">
      <c r="A220" s="78"/>
      <c r="B220" s="430"/>
      <c r="C220" s="28"/>
      <c r="D220" s="520"/>
      <c r="E220" s="520"/>
      <c r="F220" s="520"/>
      <c r="G220" s="520"/>
      <c r="H220" s="520"/>
      <c r="I220" s="520"/>
      <c r="J220" s="520"/>
      <c r="K220" s="520"/>
      <c r="L220" s="520"/>
      <c r="M220" s="520"/>
      <c r="N220" s="520"/>
      <c r="O220" s="520"/>
      <c r="P220" s="520"/>
      <c r="Q220" s="520"/>
      <c r="R220" s="150">
        <f t="shared" si="26"/>
        <v>0</v>
      </c>
      <c r="S220" s="150"/>
      <c r="T220" s="150"/>
      <c r="U220" s="150"/>
      <c r="V220" s="150"/>
      <c r="W220" s="150"/>
      <c r="X220" s="156">
        <f t="shared" si="23"/>
        <v>0</v>
      </c>
      <c r="Y220" s="229">
        <f t="shared" si="24"/>
        <v>0</v>
      </c>
      <c r="Z220" s="293"/>
      <c r="AA220" s="316"/>
    </row>
    <row r="221" spans="1:27" ht="24" hidden="1" customHeight="1" x14ac:dyDescent="0.2">
      <c r="A221" s="78"/>
      <c r="B221" s="430"/>
      <c r="C221" s="28"/>
      <c r="D221" s="520"/>
      <c r="E221" s="520"/>
      <c r="F221" s="520"/>
      <c r="G221" s="520"/>
      <c r="H221" s="520"/>
      <c r="I221" s="520"/>
      <c r="J221" s="520"/>
      <c r="K221" s="520"/>
      <c r="L221" s="520"/>
      <c r="M221" s="520"/>
      <c r="N221" s="520"/>
      <c r="O221" s="520"/>
      <c r="P221" s="520"/>
      <c r="Q221" s="520"/>
      <c r="R221" s="150">
        <f t="shared" si="26"/>
        <v>0</v>
      </c>
      <c r="S221" s="150"/>
      <c r="T221" s="155"/>
      <c r="U221" s="155"/>
      <c r="V221" s="155"/>
      <c r="W221" s="150"/>
      <c r="X221" s="156">
        <f t="shared" si="23"/>
        <v>0</v>
      </c>
      <c r="Y221" s="229">
        <f t="shared" si="24"/>
        <v>0</v>
      </c>
      <c r="Z221" s="293"/>
      <c r="AA221" s="316"/>
    </row>
    <row r="222" spans="1:27" ht="24" hidden="1" customHeight="1" x14ac:dyDescent="0.2">
      <c r="A222" s="78"/>
      <c r="B222" s="430"/>
      <c r="C222" s="41"/>
      <c r="D222" s="520"/>
      <c r="E222" s="520"/>
      <c r="F222" s="520"/>
      <c r="G222" s="520"/>
      <c r="H222" s="520"/>
      <c r="I222" s="520"/>
      <c r="J222" s="520"/>
      <c r="K222" s="520"/>
      <c r="L222" s="520"/>
      <c r="M222" s="520"/>
      <c r="N222" s="520"/>
      <c r="O222" s="520"/>
      <c r="P222" s="520"/>
      <c r="Q222" s="520"/>
      <c r="R222" s="150">
        <f t="shared" si="26"/>
        <v>0</v>
      </c>
      <c r="S222" s="150"/>
      <c r="T222" s="150"/>
      <c r="U222" s="150"/>
      <c r="V222" s="150"/>
      <c r="W222" s="150"/>
      <c r="X222" s="156">
        <f t="shared" si="23"/>
        <v>0</v>
      </c>
      <c r="Y222" s="229">
        <f t="shared" si="24"/>
        <v>0</v>
      </c>
      <c r="Z222" s="293"/>
      <c r="AA222" s="316"/>
    </row>
    <row r="223" spans="1:27" ht="24" hidden="1" customHeight="1" x14ac:dyDescent="0.2">
      <c r="A223" s="78"/>
      <c r="B223" s="430"/>
      <c r="C223" s="41"/>
      <c r="D223" s="520"/>
      <c r="E223" s="520"/>
      <c r="F223" s="520"/>
      <c r="G223" s="520"/>
      <c r="H223" s="520"/>
      <c r="I223" s="520"/>
      <c r="J223" s="520"/>
      <c r="K223" s="520"/>
      <c r="L223" s="520"/>
      <c r="M223" s="520"/>
      <c r="N223" s="520"/>
      <c r="O223" s="520"/>
      <c r="P223" s="520"/>
      <c r="Q223" s="520"/>
      <c r="R223" s="150">
        <f t="shared" si="26"/>
        <v>0</v>
      </c>
      <c r="S223" s="150"/>
      <c r="T223" s="150"/>
      <c r="U223" s="150"/>
      <c r="V223" s="150"/>
      <c r="W223" s="150"/>
      <c r="X223" s="156">
        <f t="shared" si="23"/>
        <v>0</v>
      </c>
      <c r="Y223" s="229">
        <f t="shared" si="24"/>
        <v>0</v>
      </c>
      <c r="Z223" s="293"/>
      <c r="AA223" s="316"/>
    </row>
    <row r="224" spans="1:27" ht="24" hidden="1" customHeight="1" x14ac:dyDescent="0.2">
      <c r="A224" s="78"/>
      <c r="B224" s="430"/>
      <c r="C224" s="28"/>
      <c r="D224" s="520"/>
      <c r="E224" s="520"/>
      <c r="F224" s="520"/>
      <c r="G224" s="520"/>
      <c r="H224" s="520"/>
      <c r="I224" s="520"/>
      <c r="J224" s="520"/>
      <c r="K224" s="520"/>
      <c r="L224" s="520"/>
      <c r="M224" s="520"/>
      <c r="N224" s="520"/>
      <c r="O224" s="520"/>
      <c r="P224" s="520"/>
      <c r="Q224" s="520"/>
      <c r="R224" s="150">
        <f t="shared" si="26"/>
        <v>0</v>
      </c>
      <c r="S224" s="150"/>
      <c r="T224" s="150"/>
      <c r="U224" s="150"/>
      <c r="V224" s="150"/>
      <c r="W224" s="150"/>
      <c r="X224" s="156">
        <f t="shared" si="23"/>
        <v>0</v>
      </c>
      <c r="Y224" s="229">
        <f t="shared" si="24"/>
        <v>0</v>
      </c>
      <c r="Z224" s="293"/>
      <c r="AA224" s="316"/>
    </row>
    <row r="225" spans="1:27" ht="24" hidden="1" customHeight="1" x14ac:dyDescent="0.2">
      <c r="A225" s="78"/>
      <c r="B225" s="430"/>
      <c r="C225" s="28"/>
      <c r="D225" s="520"/>
      <c r="E225" s="520"/>
      <c r="F225" s="520"/>
      <c r="G225" s="520"/>
      <c r="H225" s="520"/>
      <c r="I225" s="520"/>
      <c r="J225" s="520"/>
      <c r="K225" s="520"/>
      <c r="L225" s="520"/>
      <c r="M225" s="520"/>
      <c r="N225" s="520"/>
      <c r="O225" s="520"/>
      <c r="P225" s="520"/>
      <c r="Q225" s="520"/>
      <c r="R225" s="150">
        <f t="shared" si="26"/>
        <v>0</v>
      </c>
      <c r="S225" s="150"/>
      <c r="T225" s="155"/>
      <c r="U225" s="155"/>
      <c r="V225" s="155"/>
      <c r="W225" s="150"/>
      <c r="X225" s="156">
        <f t="shared" si="23"/>
        <v>0</v>
      </c>
      <c r="Y225" s="229">
        <f t="shared" si="24"/>
        <v>0</v>
      </c>
      <c r="Z225" s="293"/>
      <c r="AA225" s="316"/>
    </row>
    <row r="226" spans="1:27" ht="24" hidden="1" customHeight="1" x14ac:dyDescent="0.2">
      <c r="A226" s="78"/>
      <c r="B226" s="430"/>
      <c r="C226" s="28"/>
      <c r="D226" s="520"/>
      <c r="E226" s="520"/>
      <c r="F226" s="520"/>
      <c r="G226" s="520"/>
      <c r="H226" s="520"/>
      <c r="I226" s="520"/>
      <c r="J226" s="520"/>
      <c r="K226" s="520"/>
      <c r="L226" s="520"/>
      <c r="M226" s="520"/>
      <c r="N226" s="520"/>
      <c r="O226" s="520"/>
      <c r="P226" s="520"/>
      <c r="Q226" s="520"/>
      <c r="R226" s="150">
        <f t="shared" si="26"/>
        <v>0</v>
      </c>
      <c r="S226" s="150"/>
      <c r="T226" s="150"/>
      <c r="U226" s="150"/>
      <c r="V226" s="150"/>
      <c r="W226" s="150"/>
      <c r="X226" s="156">
        <f t="shared" si="23"/>
        <v>0</v>
      </c>
      <c r="Y226" s="229">
        <f t="shared" si="24"/>
        <v>0</v>
      </c>
      <c r="Z226" s="293"/>
      <c r="AA226" s="316"/>
    </row>
    <row r="227" spans="1:27" ht="24" hidden="1" customHeight="1" x14ac:dyDescent="0.2">
      <c r="A227" s="78"/>
      <c r="B227" s="430"/>
      <c r="C227" s="41"/>
      <c r="D227" s="520"/>
      <c r="E227" s="520"/>
      <c r="F227" s="520"/>
      <c r="G227" s="520"/>
      <c r="H227" s="520"/>
      <c r="I227" s="520"/>
      <c r="J227" s="520"/>
      <c r="K227" s="520"/>
      <c r="L227" s="520"/>
      <c r="M227" s="520"/>
      <c r="N227" s="520"/>
      <c r="O227" s="520"/>
      <c r="P227" s="520"/>
      <c r="Q227" s="520"/>
      <c r="R227" s="150">
        <f t="shared" si="26"/>
        <v>0</v>
      </c>
      <c r="S227" s="150"/>
      <c r="T227" s="155"/>
      <c r="U227" s="155"/>
      <c r="V227" s="155"/>
      <c r="W227" s="150"/>
      <c r="X227" s="156">
        <f t="shared" si="23"/>
        <v>0</v>
      </c>
      <c r="Y227" s="229">
        <f t="shared" si="24"/>
        <v>0</v>
      </c>
      <c r="Z227" s="293"/>
      <c r="AA227" s="316"/>
    </row>
    <row r="228" spans="1:27" ht="24" hidden="1" customHeight="1" x14ac:dyDescent="0.2">
      <c r="A228" s="78"/>
      <c r="B228" s="430"/>
      <c r="C228" s="28"/>
      <c r="D228" s="520"/>
      <c r="E228" s="520"/>
      <c r="F228" s="520"/>
      <c r="G228" s="520"/>
      <c r="H228" s="520"/>
      <c r="I228" s="520"/>
      <c r="J228" s="520"/>
      <c r="K228" s="520"/>
      <c r="L228" s="520"/>
      <c r="M228" s="520"/>
      <c r="N228" s="520"/>
      <c r="O228" s="520"/>
      <c r="P228" s="520"/>
      <c r="Q228" s="520"/>
      <c r="R228" s="150">
        <f t="shared" si="26"/>
        <v>0</v>
      </c>
      <c r="S228" s="150"/>
      <c r="T228" s="150"/>
      <c r="U228" s="150"/>
      <c r="V228" s="150"/>
      <c r="W228" s="150"/>
      <c r="X228" s="156">
        <f t="shared" si="23"/>
        <v>0</v>
      </c>
      <c r="Y228" s="229">
        <f t="shared" si="24"/>
        <v>0</v>
      </c>
      <c r="Z228" s="293"/>
      <c r="AA228" s="316"/>
    </row>
    <row r="229" spans="1:27" ht="24" hidden="1" customHeight="1" x14ac:dyDescent="0.2">
      <c r="A229" s="78"/>
      <c r="B229" s="431"/>
      <c r="C229" s="33"/>
      <c r="D229" s="520"/>
      <c r="E229" s="520"/>
      <c r="F229" s="520"/>
      <c r="G229" s="520"/>
      <c r="H229" s="520"/>
      <c r="I229" s="520"/>
      <c r="J229" s="520"/>
      <c r="K229" s="520"/>
      <c r="L229" s="520"/>
      <c r="M229" s="520"/>
      <c r="N229" s="520"/>
      <c r="O229" s="520"/>
      <c r="P229" s="520"/>
      <c r="Q229" s="520"/>
      <c r="R229" s="150">
        <f t="shared" si="26"/>
        <v>0</v>
      </c>
      <c r="S229" s="150"/>
      <c r="T229" s="150"/>
      <c r="U229" s="150"/>
      <c r="V229" s="150"/>
      <c r="W229" s="150"/>
      <c r="X229" s="156">
        <f t="shared" si="23"/>
        <v>0</v>
      </c>
      <c r="Y229" s="229">
        <f t="shared" si="24"/>
        <v>0</v>
      </c>
      <c r="Z229" s="293"/>
      <c r="AA229" s="316"/>
    </row>
    <row r="230" spans="1:27" ht="24" hidden="1" customHeight="1" x14ac:dyDescent="0.2">
      <c r="A230" s="217"/>
      <c r="B230" s="222"/>
      <c r="C230" s="28"/>
      <c r="D230" s="520"/>
      <c r="E230" s="520"/>
      <c r="F230" s="520"/>
      <c r="G230" s="520"/>
      <c r="H230" s="520"/>
      <c r="I230" s="520"/>
      <c r="J230" s="520"/>
      <c r="K230" s="520"/>
      <c r="L230" s="520"/>
      <c r="M230" s="520"/>
      <c r="N230" s="520"/>
      <c r="O230" s="520"/>
      <c r="P230" s="520"/>
      <c r="Q230" s="520"/>
      <c r="R230" s="150">
        <f t="shared" si="26"/>
        <v>0</v>
      </c>
      <c r="S230" s="150"/>
      <c r="T230" s="150"/>
      <c r="U230" s="150"/>
      <c r="V230" s="150"/>
      <c r="W230" s="150"/>
      <c r="X230" s="156">
        <f t="shared" si="23"/>
        <v>0</v>
      </c>
      <c r="Y230" s="229">
        <f t="shared" si="24"/>
        <v>0</v>
      </c>
      <c r="Z230" s="293"/>
      <c r="AA230" s="316"/>
    </row>
    <row r="231" spans="1:27" ht="24" hidden="1" customHeight="1" x14ac:dyDescent="0.2">
      <c r="A231" s="217"/>
      <c r="B231" s="222"/>
      <c r="C231" s="28"/>
      <c r="D231" s="520"/>
      <c r="E231" s="520"/>
      <c r="F231" s="520"/>
      <c r="G231" s="520"/>
      <c r="H231" s="520"/>
      <c r="I231" s="520"/>
      <c r="J231" s="520"/>
      <c r="K231" s="520"/>
      <c r="L231" s="520"/>
      <c r="M231" s="520"/>
      <c r="N231" s="520"/>
      <c r="O231" s="520"/>
      <c r="P231" s="520"/>
      <c r="Q231" s="520"/>
      <c r="R231" s="150">
        <f t="shared" si="26"/>
        <v>0</v>
      </c>
      <c r="S231" s="150"/>
      <c r="T231" s="150"/>
      <c r="U231" s="150"/>
      <c r="V231" s="150"/>
      <c r="W231" s="150"/>
      <c r="X231" s="156">
        <f t="shared" si="23"/>
        <v>0</v>
      </c>
      <c r="Y231" s="229">
        <f t="shared" si="24"/>
        <v>0</v>
      </c>
      <c r="Z231" s="293"/>
      <c r="AA231" s="316"/>
    </row>
    <row r="232" spans="1:27" ht="24" hidden="1" customHeight="1" x14ac:dyDescent="0.2">
      <c r="A232" s="78"/>
      <c r="B232" s="45"/>
      <c r="C232" s="33"/>
      <c r="D232" s="520"/>
      <c r="E232" s="520"/>
      <c r="F232" s="520"/>
      <c r="G232" s="520"/>
      <c r="H232" s="520"/>
      <c r="I232" s="520"/>
      <c r="J232" s="520"/>
      <c r="K232" s="520"/>
      <c r="L232" s="520"/>
      <c r="M232" s="520"/>
      <c r="N232" s="520"/>
      <c r="O232" s="520"/>
      <c r="P232" s="520"/>
      <c r="Q232" s="520"/>
      <c r="R232" s="150">
        <f t="shared" si="26"/>
        <v>0</v>
      </c>
      <c r="S232" s="150"/>
      <c r="T232" s="150"/>
      <c r="U232" s="150"/>
      <c r="V232" s="150"/>
      <c r="W232" s="150"/>
      <c r="X232" s="156">
        <f t="shared" si="23"/>
        <v>0</v>
      </c>
      <c r="Y232" s="229">
        <f t="shared" si="24"/>
        <v>0</v>
      </c>
      <c r="Z232" s="293"/>
      <c r="AA232" s="316"/>
    </row>
    <row r="233" spans="1:27" ht="24" hidden="1" customHeight="1" x14ac:dyDescent="0.2">
      <c r="A233" s="78"/>
      <c r="B233" s="45"/>
      <c r="C233" s="33"/>
      <c r="D233" s="520"/>
      <c r="E233" s="520"/>
      <c r="F233" s="520"/>
      <c r="G233" s="520"/>
      <c r="H233" s="520"/>
      <c r="I233" s="520"/>
      <c r="J233" s="520"/>
      <c r="K233" s="520"/>
      <c r="L233" s="520"/>
      <c r="M233" s="520"/>
      <c r="N233" s="520"/>
      <c r="O233" s="520"/>
      <c r="P233" s="520"/>
      <c r="Q233" s="520"/>
      <c r="R233" s="150">
        <f t="shared" si="26"/>
        <v>0</v>
      </c>
      <c r="S233" s="150"/>
      <c r="T233" s="150"/>
      <c r="U233" s="150"/>
      <c r="V233" s="150"/>
      <c r="W233" s="150"/>
      <c r="X233" s="156">
        <f t="shared" si="23"/>
        <v>0</v>
      </c>
      <c r="Y233" s="229">
        <f t="shared" si="24"/>
        <v>0</v>
      </c>
      <c r="Z233" s="293"/>
      <c r="AA233" s="316"/>
    </row>
    <row r="234" spans="1:27" ht="24" hidden="1" customHeight="1" x14ac:dyDescent="0.2">
      <c r="A234" s="78"/>
      <c r="B234" s="45"/>
      <c r="C234" s="28"/>
      <c r="D234" s="520"/>
      <c r="E234" s="520"/>
      <c r="F234" s="520"/>
      <c r="G234" s="520"/>
      <c r="H234" s="520"/>
      <c r="I234" s="520"/>
      <c r="J234" s="520"/>
      <c r="K234" s="520"/>
      <c r="L234" s="520"/>
      <c r="M234" s="520"/>
      <c r="N234" s="520"/>
      <c r="O234" s="520"/>
      <c r="P234" s="520"/>
      <c r="Q234" s="520"/>
      <c r="R234" s="150">
        <f t="shared" si="26"/>
        <v>0</v>
      </c>
      <c r="S234" s="150"/>
      <c r="T234" s="150"/>
      <c r="U234" s="150"/>
      <c r="V234" s="150"/>
      <c r="W234" s="150"/>
      <c r="X234" s="156">
        <f t="shared" si="23"/>
        <v>0</v>
      </c>
      <c r="Y234" s="229">
        <f t="shared" si="24"/>
        <v>0</v>
      </c>
      <c r="Z234" s="293"/>
      <c r="AA234" s="316"/>
    </row>
    <row r="235" spans="1:27" ht="24" hidden="1" customHeight="1" x14ac:dyDescent="0.2">
      <c r="A235" s="78"/>
      <c r="B235" s="32"/>
      <c r="C235" s="34"/>
      <c r="D235" s="520"/>
      <c r="E235" s="520"/>
      <c r="F235" s="520"/>
      <c r="G235" s="520"/>
      <c r="H235" s="520"/>
      <c r="I235" s="520"/>
      <c r="J235" s="520"/>
      <c r="K235" s="520"/>
      <c r="L235" s="520"/>
      <c r="M235" s="520"/>
      <c r="N235" s="520"/>
      <c r="O235" s="520"/>
      <c r="P235" s="520"/>
      <c r="Q235" s="520"/>
      <c r="R235" s="150">
        <f t="shared" si="26"/>
        <v>0</v>
      </c>
      <c r="S235" s="150"/>
      <c r="T235" s="150"/>
      <c r="U235" s="150"/>
      <c r="V235" s="150"/>
      <c r="W235" s="150"/>
      <c r="X235" s="156">
        <f t="shared" si="23"/>
        <v>0</v>
      </c>
      <c r="Y235" s="229">
        <f t="shared" si="24"/>
        <v>0</v>
      </c>
      <c r="Z235" s="293"/>
      <c r="AA235" s="316"/>
    </row>
    <row r="236" spans="1:27" ht="24" hidden="1" customHeight="1" x14ac:dyDescent="0.2">
      <c r="A236" s="78"/>
      <c r="B236" s="32"/>
      <c r="C236" s="34"/>
      <c r="D236" s="520"/>
      <c r="E236" s="520"/>
      <c r="F236" s="520"/>
      <c r="G236" s="520"/>
      <c r="H236" s="520"/>
      <c r="I236" s="520"/>
      <c r="J236" s="520"/>
      <c r="K236" s="520"/>
      <c r="L236" s="520"/>
      <c r="M236" s="520"/>
      <c r="N236" s="520"/>
      <c r="O236" s="520"/>
      <c r="P236" s="520"/>
      <c r="Q236" s="520"/>
      <c r="R236" s="150">
        <f t="shared" si="26"/>
        <v>0</v>
      </c>
      <c r="S236" s="150"/>
      <c r="T236" s="150"/>
      <c r="U236" s="150"/>
      <c r="V236" s="150"/>
      <c r="W236" s="150"/>
      <c r="X236" s="156">
        <f t="shared" si="23"/>
        <v>0</v>
      </c>
      <c r="Y236" s="229">
        <f t="shared" si="24"/>
        <v>0</v>
      </c>
      <c r="Z236" s="293"/>
      <c r="AA236" s="316"/>
    </row>
    <row r="237" spans="1:27" ht="24" hidden="1" customHeight="1" x14ac:dyDescent="0.2">
      <c r="A237" s="78"/>
      <c r="B237" s="32"/>
      <c r="C237" s="34"/>
      <c r="D237" s="520"/>
      <c r="E237" s="520"/>
      <c r="F237" s="520"/>
      <c r="G237" s="520"/>
      <c r="H237" s="520"/>
      <c r="I237" s="520"/>
      <c r="J237" s="520"/>
      <c r="K237" s="520"/>
      <c r="L237" s="520"/>
      <c r="M237" s="520"/>
      <c r="N237" s="520"/>
      <c r="O237" s="520"/>
      <c r="P237" s="520"/>
      <c r="Q237" s="520"/>
      <c r="R237" s="150">
        <f t="shared" si="26"/>
        <v>0</v>
      </c>
      <c r="S237" s="150"/>
      <c r="T237" s="150"/>
      <c r="U237" s="150"/>
      <c r="V237" s="150"/>
      <c r="W237" s="150"/>
      <c r="X237" s="156">
        <f t="shared" si="23"/>
        <v>0</v>
      </c>
      <c r="Y237" s="229">
        <f t="shared" si="24"/>
        <v>0</v>
      </c>
      <c r="Z237" s="293"/>
      <c r="AA237" s="316"/>
    </row>
    <row r="238" spans="1:27" ht="24" hidden="1" customHeight="1" x14ac:dyDescent="0.2">
      <c r="A238" s="78"/>
      <c r="B238" s="32"/>
      <c r="C238" s="34"/>
      <c r="D238" s="520"/>
      <c r="E238" s="520"/>
      <c r="F238" s="520"/>
      <c r="G238" s="520"/>
      <c r="H238" s="520"/>
      <c r="I238" s="520"/>
      <c r="J238" s="520"/>
      <c r="K238" s="520"/>
      <c r="L238" s="520"/>
      <c r="M238" s="520"/>
      <c r="N238" s="520"/>
      <c r="O238" s="520"/>
      <c r="P238" s="520"/>
      <c r="Q238" s="520"/>
      <c r="R238" s="150">
        <f t="shared" si="26"/>
        <v>0</v>
      </c>
      <c r="S238" s="150"/>
      <c r="T238" s="150"/>
      <c r="U238" s="150"/>
      <c r="V238" s="150"/>
      <c r="W238" s="150"/>
      <c r="X238" s="156">
        <f t="shared" si="23"/>
        <v>0</v>
      </c>
      <c r="Y238" s="229">
        <f t="shared" si="24"/>
        <v>0</v>
      </c>
      <c r="Z238" s="293"/>
      <c r="AA238" s="316"/>
    </row>
    <row r="239" spans="1:27" ht="24" hidden="1" customHeight="1" x14ac:dyDescent="0.2">
      <c r="A239" s="78"/>
      <c r="B239" s="31"/>
      <c r="C239" s="41"/>
      <c r="D239" s="600"/>
      <c r="E239" s="600"/>
      <c r="F239" s="520"/>
      <c r="G239" s="520"/>
      <c r="H239" s="520"/>
      <c r="I239" s="520"/>
      <c r="J239" s="520"/>
      <c r="K239" s="520"/>
      <c r="L239" s="520"/>
      <c r="M239" s="520"/>
      <c r="N239" s="520"/>
      <c r="O239" s="520"/>
      <c r="P239" s="520"/>
      <c r="Q239" s="520"/>
      <c r="R239" s="150">
        <f t="shared" si="26"/>
        <v>0</v>
      </c>
      <c r="S239" s="150"/>
      <c r="T239" s="150"/>
      <c r="U239" s="150"/>
      <c r="V239" s="150"/>
      <c r="W239" s="150"/>
      <c r="X239" s="156">
        <f t="shared" si="23"/>
        <v>0</v>
      </c>
      <c r="Y239" s="229">
        <f t="shared" si="24"/>
        <v>0</v>
      </c>
      <c r="Z239" s="293"/>
      <c r="AA239" s="316"/>
    </row>
    <row r="240" spans="1:27" ht="24" hidden="1" customHeight="1" x14ac:dyDescent="0.2">
      <c r="A240" s="78"/>
      <c r="B240" s="31"/>
      <c r="C240" s="41"/>
      <c r="D240" s="520"/>
      <c r="E240" s="520"/>
      <c r="F240" s="520"/>
      <c r="G240" s="520"/>
      <c r="H240" s="520"/>
      <c r="I240" s="520"/>
      <c r="J240" s="520"/>
      <c r="K240" s="520"/>
      <c r="L240" s="520"/>
      <c r="M240" s="520"/>
      <c r="N240" s="520"/>
      <c r="O240" s="520"/>
      <c r="P240" s="520"/>
      <c r="Q240" s="520"/>
      <c r="R240" s="150">
        <f t="shared" si="26"/>
        <v>0</v>
      </c>
      <c r="S240" s="150"/>
      <c r="T240" s="150"/>
      <c r="U240" s="150"/>
      <c r="V240" s="150"/>
      <c r="W240" s="150"/>
      <c r="X240" s="156">
        <f t="shared" si="23"/>
        <v>0</v>
      </c>
      <c r="Y240" s="229">
        <f t="shared" si="24"/>
        <v>0</v>
      </c>
      <c r="Z240" s="293"/>
      <c r="AA240" s="316"/>
    </row>
    <row r="241" spans="1:27" ht="24" hidden="1" customHeight="1" x14ac:dyDescent="0.2">
      <c r="A241" s="78"/>
      <c r="B241" s="31"/>
      <c r="C241" s="41"/>
      <c r="D241" s="520"/>
      <c r="E241" s="520"/>
      <c r="F241" s="520"/>
      <c r="G241" s="520"/>
      <c r="H241" s="520"/>
      <c r="I241" s="520"/>
      <c r="J241" s="520"/>
      <c r="K241" s="520"/>
      <c r="L241" s="520"/>
      <c r="M241" s="520"/>
      <c r="N241" s="520"/>
      <c r="O241" s="520"/>
      <c r="P241" s="520"/>
      <c r="Q241" s="520"/>
      <c r="R241" s="150">
        <f t="shared" si="26"/>
        <v>0</v>
      </c>
      <c r="S241" s="150"/>
      <c r="T241" s="150"/>
      <c r="U241" s="150"/>
      <c r="V241" s="150"/>
      <c r="W241" s="150"/>
      <c r="X241" s="156">
        <f t="shared" si="23"/>
        <v>0</v>
      </c>
      <c r="Y241" s="229">
        <f t="shared" si="24"/>
        <v>0</v>
      </c>
      <c r="Z241" s="293"/>
      <c r="AA241" s="316"/>
    </row>
    <row r="242" spans="1:27" ht="24" hidden="1" customHeight="1" x14ac:dyDescent="0.2">
      <c r="A242" s="78"/>
      <c r="B242" s="31"/>
      <c r="C242" s="41"/>
      <c r="D242" s="520"/>
      <c r="E242" s="520"/>
      <c r="F242" s="520"/>
      <c r="G242" s="520"/>
      <c r="H242" s="520"/>
      <c r="I242" s="520"/>
      <c r="J242" s="520"/>
      <c r="K242" s="520"/>
      <c r="L242" s="520"/>
      <c r="M242" s="520"/>
      <c r="N242" s="520"/>
      <c r="O242" s="520"/>
      <c r="P242" s="520"/>
      <c r="Q242" s="520"/>
      <c r="R242" s="150">
        <f t="shared" si="26"/>
        <v>0</v>
      </c>
      <c r="S242" s="150"/>
      <c r="T242" s="150"/>
      <c r="U242" s="150"/>
      <c r="V242" s="150"/>
      <c r="W242" s="150"/>
      <c r="X242" s="156">
        <f t="shared" si="23"/>
        <v>0</v>
      </c>
      <c r="Y242" s="229">
        <f t="shared" si="24"/>
        <v>0</v>
      </c>
      <c r="Z242" s="293"/>
      <c r="AA242" s="316"/>
    </row>
    <row r="243" spans="1:27" ht="24" hidden="1" customHeight="1" x14ac:dyDescent="0.2">
      <c r="A243" s="78"/>
      <c r="B243" s="98"/>
      <c r="C243" s="28"/>
      <c r="D243" s="520"/>
      <c r="E243" s="520"/>
      <c r="F243" s="520"/>
      <c r="G243" s="520"/>
      <c r="H243" s="520"/>
      <c r="I243" s="520"/>
      <c r="J243" s="520"/>
      <c r="K243" s="520"/>
      <c r="L243" s="520"/>
      <c r="M243" s="520"/>
      <c r="N243" s="520"/>
      <c r="O243" s="520"/>
      <c r="P243" s="520"/>
      <c r="Q243" s="520"/>
      <c r="R243" s="150">
        <f t="shared" si="26"/>
        <v>0</v>
      </c>
      <c r="S243" s="150"/>
      <c r="T243" s="150"/>
      <c r="U243" s="150"/>
      <c r="V243" s="150"/>
      <c r="W243" s="150"/>
      <c r="X243" s="156">
        <f t="shared" si="23"/>
        <v>0</v>
      </c>
      <c r="Y243" s="229">
        <f t="shared" si="24"/>
        <v>0</v>
      </c>
      <c r="Z243" s="293"/>
      <c r="AA243" s="316"/>
    </row>
    <row r="244" spans="1:27" ht="24" hidden="1" customHeight="1" x14ac:dyDescent="0.2">
      <c r="A244" s="78"/>
      <c r="B244" s="80"/>
      <c r="C244" s="41"/>
      <c r="D244" s="520"/>
      <c r="E244" s="520"/>
      <c r="F244" s="520"/>
      <c r="G244" s="520"/>
      <c r="H244" s="520"/>
      <c r="I244" s="520"/>
      <c r="J244" s="520"/>
      <c r="K244" s="520"/>
      <c r="L244" s="520"/>
      <c r="M244" s="520"/>
      <c r="N244" s="520"/>
      <c r="O244" s="520"/>
      <c r="P244" s="520"/>
      <c r="Q244" s="520"/>
      <c r="R244" s="150">
        <f t="shared" si="26"/>
        <v>0</v>
      </c>
      <c r="S244" s="150"/>
      <c r="T244" s="150"/>
      <c r="U244" s="150"/>
      <c r="V244" s="150"/>
      <c r="W244" s="150"/>
      <c r="X244" s="156">
        <f t="shared" si="23"/>
        <v>0</v>
      </c>
      <c r="Y244" s="229">
        <f t="shared" si="24"/>
        <v>0</v>
      </c>
      <c r="Z244" s="293"/>
      <c r="AA244" s="316"/>
    </row>
    <row r="245" spans="1:27" ht="24" hidden="1" customHeight="1" x14ac:dyDescent="0.2">
      <c r="A245" s="78"/>
      <c r="B245" s="31"/>
      <c r="C245" s="41"/>
      <c r="D245" s="520"/>
      <c r="E245" s="520"/>
      <c r="F245" s="520"/>
      <c r="G245" s="520"/>
      <c r="H245" s="520"/>
      <c r="I245" s="520"/>
      <c r="J245" s="520"/>
      <c r="K245" s="520"/>
      <c r="L245" s="520"/>
      <c r="M245" s="520"/>
      <c r="N245" s="520"/>
      <c r="O245" s="520"/>
      <c r="P245" s="520"/>
      <c r="Q245" s="520"/>
      <c r="R245" s="150">
        <f t="shared" si="26"/>
        <v>0</v>
      </c>
      <c r="S245" s="150"/>
      <c r="T245" s="150"/>
      <c r="U245" s="150"/>
      <c r="V245" s="150"/>
      <c r="W245" s="150"/>
      <c r="X245" s="156">
        <f t="shared" si="23"/>
        <v>0</v>
      </c>
      <c r="Y245" s="229">
        <f t="shared" si="24"/>
        <v>0</v>
      </c>
      <c r="Z245" s="293"/>
      <c r="AA245" s="316"/>
    </row>
    <row r="246" spans="1:27" ht="24" hidden="1" customHeight="1" x14ac:dyDescent="0.2">
      <c r="A246" s="78"/>
      <c r="B246" s="31"/>
      <c r="C246" s="41"/>
      <c r="D246" s="520"/>
      <c r="E246" s="520"/>
      <c r="F246" s="520"/>
      <c r="G246" s="520"/>
      <c r="H246" s="520"/>
      <c r="I246" s="520"/>
      <c r="J246" s="520"/>
      <c r="K246" s="520"/>
      <c r="L246" s="520"/>
      <c r="M246" s="520"/>
      <c r="N246" s="520"/>
      <c r="O246" s="520"/>
      <c r="P246" s="520"/>
      <c r="Q246" s="520"/>
      <c r="R246" s="150">
        <f t="shared" si="26"/>
        <v>0</v>
      </c>
      <c r="S246" s="150"/>
      <c r="T246" s="150"/>
      <c r="U246" s="150"/>
      <c r="V246" s="150"/>
      <c r="W246" s="150"/>
      <c r="X246" s="156">
        <f t="shared" si="23"/>
        <v>0</v>
      </c>
      <c r="Y246" s="229">
        <f t="shared" si="24"/>
        <v>0</v>
      </c>
      <c r="Z246" s="293"/>
      <c r="AA246" s="316"/>
    </row>
    <row r="247" spans="1:27" ht="24" hidden="1" customHeight="1" x14ac:dyDescent="0.2">
      <c r="A247" s="78"/>
      <c r="B247" s="31"/>
      <c r="C247" s="41"/>
      <c r="D247" s="520"/>
      <c r="E247" s="520"/>
      <c r="F247" s="520"/>
      <c r="G247" s="520"/>
      <c r="H247" s="520"/>
      <c r="I247" s="520"/>
      <c r="J247" s="520"/>
      <c r="K247" s="520"/>
      <c r="L247" s="520"/>
      <c r="M247" s="520"/>
      <c r="N247" s="520"/>
      <c r="O247" s="520"/>
      <c r="P247" s="520"/>
      <c r="Q247" s="520"/>
      <c r="R247" s="150">
        <f t="shared" si="26"/>
        <v>0</v>
      </c>
      <c r="S247" s="150"/>
      <c r="T247" s="150"/>
      <c r="U247" s="150"/>
      <c r="V247" s="150"/>
      <c r="W247" s="150"/>
      <c r="X247" s="156">
        <f t="shared" si="23"/>
        <v>0</v>
      </c>
      <c r="Y247" s="229">
        <f t="shared" si="24"/>
        <v>0</v>
      </c>
      <c r="Z247" s="293"/>
      <c r="AA247" s="316"/>
    </row>
    <row r="248" spans="1:27" ht="24" hidden="1" customHeight="1" x14ac:dyDescent="0.2">
      <c r="A248" s="78"/>
      <c r="B248" s="30"/>
      <c r="C248" s="28"/>
      <c r="D248" s="520"/>
      <c r="E248" s="520"/>
      <c r="F248" s="520"/>
      <c r="G248" s="520"/>
      <c r="H248" s="520"/>
      <c r="I248" s="520"/>
      <c r="J248" s="520"/>
      <c r="K248" s="520"/>
      <c r="L248" s="520"/>
      <c r="M248" s="520"/>
      <c r="N248" s="520"/>
      <c r="O248" s="520"/>
      <c r="P248" s="520"/>
      <c r="Q248" s="520"/>
      <c r="R248" s="150">
        <f t="shared" si="26"/>
        <v>0</v>
      </c>
      <c r="S248" s="150"/>
      <c r="T248" s="150"/>
      <c r="U248" s="150"/>
      <c r="V248" s="150"/>
      <c r="W248" s="150"/>
      <c r="X248" s="156">
        <f t="shared" si="23"/>
        <v>0</v>
      </c>
      <c r="Y248" s="229">
        <f t="shared" si="24"/>
        <v>0</v>
      </c>
      <c r="Z248" s="293"/>
      <c r="AA248" s="316"/>
    </row>
    <row r="249" spans="1:27" ht="24" hidden="1" customHeight="1" x14ac:dyDescent="0.2">
      <c r="A249" s="121"/>
      <c r="B249" s="98"/>
      <c r="C249" s="99"/>
      <c r="D249" s="601"/>
      <c r="E249" s="601"/>
      <c r="F249" s="601"/>
      <c r="G249" s="601"/>
      <c r="H249" s="601"/>
      <c r="I249" s="601"/>
      <c r="J249" s="601"/>
      <c r="K249" s="601"/>
      <c r="L249" s="601"/>
      <c r="M249" s="601"/>
      <c r="N249" s="601"/>
      <c r="O249" s="601"/>
      <c r="P249" s="601"/>
      <c r="Q249" s="601"/>
      <c r="R249" s="159">
        <f t="shared" si="26"/>
        <v>0</v>
      </c>
      <c r="S249" s="159"/>
      <c r="T249" s="159"/>
      <c r="U249" s="159"/>
      <c r="V249" s="159"/>
      <c r="W249" s="159"/>
      <c r="X249" s="416">
        <f t="shared" si="23"/>
        <v>0</v>
      </c>
      <c r="Y249" s="331">
        <f t="shared" si="24"/>
        <v>0</v>
      </c>
      <c r="Z249" s="344"/>
      <c r="AA249" s="316"/>
    </row>
    <row r="250" spans="1:27" ht="24" hidden="1" customHeight="1" x14ac:dyDescent="0.2">
      <c r="A250" s="78"/>
      <c r="B250" s="80"/>
      <c r="C250" s="41"/>
      <c r="D250" s="150"/>
      <c r="E250" s="150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>
        <f t="shared" si="26"/>
        <v>0</v>
      </c>
      <c r="S250" s="150"/>
      <c r="T250" s="150"/>
      <c r="U250" s="150"/>
      <c r="V250" s="150"/>
      <c r="W250" s="150"/>
      <c r="X250" s="156">
        <f t="shared" si="23"/>
        <v>0</v>
      </c>
      <c r="Y250" s="229">
        <f t="shared" si="24"/>
        <v>0</v>
      </c>
      <c r="Z250" s="293"/>
      <c r="AA250" s="316"/>
    </row>
    <row r="251" spans="1:27" ht="24" hidden="1" customHeight="1" x14ac:dyDescent="0.2">
      <c r="A251" s="78"/>
      <c r="B251" s="31"/>
      <c r="C251" s="41" t="s">
        <v>50</v>
      </c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>
        <f t="shared" si="26"/>
        <v>0</v>
      </c>
      <c r="S251" s="150"/>
      <c r="T251" s="150"/>
      <c r="U251" s="150"/>
      <c r="V251" s="150"/>
      <c r="W251" s="150"/>
      <c r="X251" s="156">
        <f t="shared" ref="X251:X363" si="47">SUM(T251:W251)</f>
        <v>0</v>
      </c>
      <c r="Y251" s="229">
        <f t="shared" ref="Y251:Y363" si="48">R251+X251</f>
        <v>0</v>
      </c>
      <c r="Z251" s="293"/>
      <c r="AA251" s="316"/>
    </row>
    <row r="252" spans="1:27" ht="17.25" hidden="1" customHeight="1" thickBot="1" x14ac:dyDescent="0.25">
      <c r="A252" s="78"/>
      <c r="B252" s="98"/>
      <c r="C252" s="99"/>
      <c r="D252" s="100"/>
      <c r="E252" s="100"/>
      <c r="F252" s="7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>
        <f t="shared" si="26"/>
        <v>0</v>
      </c>
      <c r="S252" s="100"/>
      <c r="T252" s="100"/>
      <c r="U252" s="100"/>
      <c r="V252" s="100"/>
      <c r="W252" s="100"/>
      <c r="X252" s="101">
        <f t="shared" si="47"/>
        <v>0</v>
      </c>
      <c r="Y252" s="332">
        <f t="shared" si="48"/>
        <v>0</v>
      </c>
      <c r="Z252" s="345"/>
      <c r="AA252" s="308"/>
    </row>
    <row r="253" spans="1:27" ht="24" hidden="1" customHeight="1" thickTop="1" thickBot="1" x14ac:dyDescent="0.25">
      <c r="A253" s="42"/>
      <c r="B253" s="103" t="s">
        <v>142</v>
      </c>
      <c r="C253" s="44" t="s">
        <v>19</v>
      </c>
      <c r="D253" s="434">
        <f t="shared" ref="D253:Q253" si="49">SUM(D154:D252)</f>
        <v>-16425.55</v>
      </c>
      <c r="E253" s="434">
        <f t="shared" si="49"/>
        <v>-2966.232</v>
      </c>
      <c r="F253" s="434">
        <f t="shared" si="49"/>
        <v>136636.88099999999</v>
      </c>
      <c r="G253" s="434">
        <f t="shared" si="49"/>
        <v>0</v>
      </c>
      <c r="H253" s="434">
        <f t="shared" si="49"/>
        <v>0</v>
      </c>
      <c r="I253" s="434">
        <f t="shared" si="49"/>
        <v>95052</v>
      </c>
      <c r="J253" s="434">
        <f t="shared" si="49"/>
        <v>-6455</v>
      </c>
      <c r="K253" s="434">
        <f t="shared" si="49"/>
        <v>-437358.54099999997</v>
      </c>
      <c r="L253" s="434">
        <f t="shared" si="49"/>
        <v>-74942</v>
      </c>
      <c r="M253" s="434">
        <f t="shared" si="49"/>
        <v>0</v>
      </c>
      <c r="N253" s="434">
        <f t="shared" si="49"/>
        <v>-85000</v>
      </c>
      <c r="O253" s="434">
        <f t="shared" si="49"/>
        <v>0</v>
      </c>
      <c r="P253" s="434">
        <f t="shared" si="49"/>
        <v>0</v>
      </c>
      <c r="Q253" s="434">
        <f t="shared" si="49"/>
        <v>0</v>
      </c>
      <c r="R253" s="434">
        <f t="shared" si="26"/>
        <v>-391458.44199999998</v>
      </c>
      <c r="S253" s="434"/>
      <c r="T253" s="434">
        <f>SUM(T154:T252)</f>
        <v>0</v>
      </c>
      <c r="U253" s="434">
        <f>SUM(U154:U252)</f>
        <v>-17959.556</v>
      </c>
      <c r="V253" s="434">
        <f>SUM(V154:V252)</f>
        <v>0</v>
      </c>
      <c r="W253" s="434">
        <f>SUM(W154:W252)</f>
        <v>0</v>
      </c>
      <c r="X253" s="435">
        <f t="shared" si="47"/>
        <v>-17959.556</v>
      </c>
      <c r="Y253" s="435">
        <f t="shared" si="48"/>
        <v>-409417.99799999996</v>
      </c>
      <c r="Z253" s="436">
        <f>SUM(Z154:Z252)</f>
        <v>283672.28499999997</v>
      </c>
      <c r="AA253" s="317"/>
    </row>
    <row r="254" spans="1:27" ht="16.5" hidden="1" customHeight="1" thickTop="1" x14ac:dyDescent="0.2">
      <c r="A254" s="78"/>
      <c r="B254" s="31"/>
      <c r="C254" s="41"/>
      <c r="D254" s="150"/>
      <c r="E254" s="150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>
        <f t="shared" si="26"/>
        <v>0</v>
      </c>
      <c r="S254" s="150"/>
      <c r="T254" s="150"/>
      <c r="U254" s="150"/>
      <c r="V254" s="150"/>
      <c r="W254" s="150"/>
      <c r="X254" s="156">
        <f t="shared" si="47"/>
        <v>0</v>
      </c>
      <c r="Y254" s="229">
        <f t="shared" si="48"/>
        <v>0</v>
      </c>
      <c r="Z254" s="293"/>
      <c r="AA254" s="316"/>
    </row>
    <row r="255" spans="1:27" ht="16.5" hidden="1" customHeight="1" x14ac:dyDescent="0.2">
      <c r="A255" s="78"/>
      <c r="B255" s="32"/>
      <c r="C255" s="41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>
        <f t="shared" si="26"/>
        <v>0</v>
      </c>
      <c r="S255" s="150"/>
      <c r="T255" s="150"/>
      <c r="U255" s="150"/>
      <c r="V255" s="150"/>
      <c r="W255" s="150"/>
      <c r="X255" s="156">
        <f t="shared" si="47"/>
        <v>0</v>
      </c>
      <c r="Y255" s="229">
        <f t="shared" si="48"/>
        <v>0</v>
      </c>
      <c r="Z255" s="293"/>
      <c r="AA255" s="316"/>
    </row>
    <row r="256" spans="1:27" ht="16.5" hidden="1" customHeight="1" x14ac:dyDescent="0.2">
      <c r="A256" s="78"/>
      <c r="B256" s="31"/>
      <c r="C256" s="41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>
        <f t="shared" si="26"/>
        <v>0</v>
      </c>
      <c r="S256" s="150"/>
      <c r="T256" s="150"/>
      <c r="U256" s="150"/>
      <c r="V256" s="150"/>
      <c r="W256" s="150"/>
      <c r="X256" s="156">
        <f t="shared" si="47"/>
        <v>0</v>
      </c>
      <c r="Y256" s="229">
        <f t="shared" si="48"/>
        <v>0</v>
      </c>
      <c r="Z256" s="293"/>
      <c r="AA256" s="316"/>
    </row>
    <row r="257" spans="1:28" ht="16.5" hidden="1" customHeight="1" x14ac:dyDescent="0.2">
      <c r="A257" s="78"/>
      <c r="B257" s="31"/>
      <c r="C257" s="41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>
        <f t="shared" si="26"/>
        <v>0</v>
      </c>
      <c r="S257" s="150"/>
      <c r="T257" s="150"/>
      <c r="U257" s="150"/>
      <c r="V257" s="150"/>
      <c r="W257" s="150"/>
      <c r="X257" s="156">
        <f t="shared" si="47"/>
        <v>0</v>
      </c>
      <c r="Y257" s="229">
        <f t="shared" si="48"/>
        <v>0</v>
      </c>
      <c r="Z257" s="293"/>
      <c r="AA257" s="316"/>
    </row>
    <row r="258" spans="1:28" ht="16.5" hidden="1" customHeight="1" x14ac:dyDescent="0.2">
      <c r="A258" s="78"/>
      <c r="B258" s="32"/>
      <c r="C258" s="41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>
        <f t="shared" ref="R258:R363" si="50">SUM(D258:Q258)</f>
        <v>0</v>
      </c>
      <c r="S258" s="150"/>
      <c r="T258" s="150"/>
      <c r="U258" s="150"/>
      <c r="V258" s="150"/>
      <c r="W258" s="150"/>
      <c r="X258" s="156">
        <f t="shared" si="47"/>
        <v>0</v>
      </c>
      <c r="Y258" s="229">
        <f t="shared" si="48"/>
        <v>0</v>
      </c>
      <c r="Z258" s="293"/>
      <c r="AA258" s="316"/>
    </row>
    <row r="259" spans="1:28" ht="16.5" hidden="1" customHeight="1" x14ac:dyDescent="0.2">
      <c r="A259" s="78"/>
      <c r="B259" s="31"/>
      <c r="C259" s="41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>
        <f t="shared" si="50"/>
        <v>0</v>
      </c>
      <c r="S259" s="150"/>
      <c r="T259" s="150"/>
      <c r="U259" s="150"/>
      <c r="V259" s="150"/>
      <c r="W259" s="150"/>
      <c r="X259" s="156">
        <f t="shared" si="47"/>
        <v>0</v>
      </c>
      <c r="Y259" s="229">
        <f t="shared" si="48"/>
        <v>0</v>
      </c>
      <c r="Z259" s="293"/>
      <c r="AA259" s="316"/>
    </row>
    <row r="260" spans="1:28" ht="16.5" hidden="1" customHeight="1" x14ac:dyDescent="0.2">
      <c r="A260" s="78"/>
      <c r="B260" s="31"/>
      <c r="C260" s="41"/>
      <c r="D260" s="150"/>
      <c r="E260" s="150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>
        <f t="shared" si="50"/>
        <v>0</v>
      </c>
      <c r="S260" s="150"/>
      <c r="T260" s="150"/>
      <c r="U260" s="150"/>
      <c r="V260" s="150"/>
      <c r="W260" s="150"/>
      <c r="X260" s="156">
        <f t="shared" si="47"/>
        <v>0</v>
      </c>
      <c r="Y260" s="229">
        <f t="shared" si="48"/>
        <v>0</v>
      </c>
      <c r="Z260" s="293"/>
      <c r="AA260" s="316"/>
    </row>
    <row r="261" spans="1:28" ht="17.25" hidden="1" customHeight="1" thickBot="1" x14ac:dyDescent="0.25">
      <c r="A261" s="78"/>
      <c r="B261" s="31"/>
      <c r="C261" s="41"/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>
        <f t="shared" si="50"/>
        <v>0</v>
      </c>
      <c r="S261" s="150"/>
      <c r="T261" s="150"/>
      <c r="U261" s="150"/>
      <c r="V261" s="150"/>
      <c r="W261" s="150"/>
      <c r="X261" s="156">
        <f t="shared" si="47"/>
        <v>0</v>
      </c>
      <c r="Y261" s="229">
        <f t="shared" si="48"/>
        <v>0</v>
      </c>
      <c r="Z261" s="293"/>
      <c r="AA261" s="316"/>
    </row>
    <row r="262" spans="1:28" ht="18.75" hidden="1" customHeight="1" thickTop="1" thickBot="1" x14ac:dyDescent="0.25">
      <c r="A262" s="102"/>
      <c r="B262" s="104" t="s">
        <v>45</v>
      </c>
      <c r="C262" s="44"/>
      <c r="D262" s="157">
        <f t="shared" ref="D262:I262" si="51">SUM(D254:D258)</f>
        <v>0</v>
      </c>
      <c r="E262" s="157">
        <f t="shared" si="51"/>
        <v>0</v>
      </c>
      <c r="F262" s="157">
        <f t="shared" si="51"/>
        <v>0</v>
      </c>
      <c r="G262" s="157">
        <f t="shared" si="51"/>
        <v>0</v>
      </c>
      <c r="H262" s="157">
        <f t="shared" si="51"/>
        <v>0</v>
      </c>
      <c r="I262" s="157">
        <f t="shared" si="51"/>
        <v>0</v>
      </c>
      <c r="J262" s="157">
        <f>SUM(J254:J258)</f>
        <v>0</v>
      </c>
      <c r="K262" s="157">
        <f t="shared" ref="K262:W262" si="52">SUM(K254:K258)</f>
        <v>0</v>
      </c>
      <c r="L262" s="157">
        <f t="shared" si="52"/>
        <v>0</v>
      </c>
      <c r="M262" s="157">
        <f t="shared" si="52"/>
        <v>0</v>
      </c>
      <c r="N262" s="157">
        <f t="shared" si="52"/>
        <v>0</v>
      </c>
      <c r="O262" s="157">
        <f t="shared" si="52"/>
        <v>0</v>
      </c>
      <c r="P262" s="157">
        <f t="shared" si="52"/>
        <v>0</v>
      </c>
      <c r="Q262" s="157">
        <f t="shared" si="52"/>
        <v>0</v>
      </c>
      <c r="R262" s="157">
        <f t="shared" si="50"/>
        <v>0</v>
      </c>
      <c r="S262" s="157"/>
      <c r="T262" s="157">
        <f t="shared" si="52"/>
        <v>0</v>
      </c>
      <c r="U262" s="157">
        <f>SUM(U254:U258)</f>
        <v>0</v>
      </c>
      <c r="V262" s="157">
        <f>SUM(V254:V258)</f>
        <v>0</v>
      </c>
      <c r="W262" s="157">
        <f t="shared" si="52"/>
        <v>0</v>
      </c>
      <c r="X262" s="160">
        <f t="shared" si="47"/>
        <v>0</v>
      </c>
      <c r="Y262" s="160">
        <f t="shared" si="48"/>
        <v>0</v>
      </c>
      <c r="Z262" s="262">
        <f>SUM(Z254:Z258)</f>
        <v>0</v>
      </c>
      <c r="AA262" s="317"/>
    </row>
    <row r="263" spans="1:28" ht="24" hidden="1" customHeight="1" thickTop="1" thickBot="1" x14ac:dyDescent="0.25">
      <c r="A263" s="42"/>
      <c r="B263" s="615" t="s">
        <v>448</v>
      </c>
      <c r="C263" s="44" t="s">
        <v>118</v>
      </c>
      <c r="D263" s="249">
        <f t="shared" ref="D263:Q263" si="53">D153+D253+D262</f>
        <v>132635.45000000001</v>
      </c>
      <c r="E263" s="249">
        <f t="shared" si="53"/>
        <v>30466.768</v>
      </c>
      <c r="F263" s="249">
        <f t="shared" si="53"/>
        <v>4647541.8279999997</v>
      </c>
      <c r="G263" s="249">
        <f t="shared" si="53"/>
        <v>204945</v>
      </c>
      <c r="H263" s="249">
        <f t="shared" si="53"/>
        <v>300942.027</v>
      </c>
      <c r="I263" s="249">
        <f t="shared" si="53"/>
        <v>154692</v>
      </c>
      <c r="J263" s="249">
        <f t="shared" si="53"/>
        <v>693846</v>
      </c>
      <c r="K263" s="249">
        <f t="shared" si="53"/>
        <v>1332287.209</v>
      </c>
      <c r="L263" s="249">
        <f t="shared" si="53"/>
        <v>5319928</v>
      </c>
      <c r="M263" s="249">
        <f t="shared" si="53"/>
        <v>27882</v>
      </c>
      <c r="N263" s="249">
        <f t="shared" si="53"/>
        <v>15635</v>
      </c>
      <c r="O263" s="249">
        <f t="shared" si="53"/>
        <v>5000</v>
      </c>
      <c r="P263" s="249">
        <f t="shared" si="53"/>
        <v>0</v>
      </c>
      <c r="Q263" s="249">
        <f t="shared" si="53"/>
        <v>199004</v>
      </c>
      <c r="R263" s="249">
        <f t="shared" si="50"/>
        <v>13064805.282</v>
      </c>
      <c r="S263" s="249"/>
      <c r="T263" s="249">
        <f>T153+T253+T262</f>
        <v>0</v>
      </c>
      <c r="U263" s="249">
        <f>U153+U253+U262</f>
        <v>4832040.4440000001</v>
      </c>
      <c r="V263" s="249">
        <f>V153+V253+V262</f>
        <v>39440.69</v>
      </c>
      <c r="W263" s="249">
        <f>W153+W253+W262</f>
        <v>0</v>
      </c>
      <c r="X263" s="249">
        <f t="shared" si="47"/>
        <v>4871481.1340000005</v>
      </c>
      <c r="Y263" s="249">
        <f t="shared" si="48"/>
        <v>17936286.416000001</v>
      </c>
      <c r="Z263" s="225">
        <f>Z153+Z253+Z262</f>
        <v>8055200.5019999994</v>
      </c>
      <c r="AA263" s="315"/>
      <c r="AB263" s="81">
        <f>Y263+Z263</f>
        <v>25991486.918000001</v>
      </c>
    </row>
    <row r="264" spans="1:28" ht="24.95" customHeight="1" thickTop="1" x14ac:dyDescent="0.2">
      <c r="A264" s="175"/>
      <c r="B264" s="176" t="s">
        <v>144</v>
      </c>
      <c r="C264" s="127" t="s">
        <v>18</v>
      </c>
      <c r="D264" s="226">
        <f t="shared" ref="D264:W264" si="54">D263</f>
        <v>132635.45000000001</v>
      </c>
      <c r="E264" s="226">
        <f t="shared" si="54"/>
        <v>30466.768</v>
      </c>
      <c r="F264" s="226">
        <f t="shared" si="54"/>
        <v>4647541.8279999997</v>
      </c>
      <c r="G264" s="226">
        <f t="shared" si="54"/>
        <v>204945</v>
      </c>
      <c r="H264" s="226">
        <f t="shared" si="54"/>
        <v>300942.027</v>
      </c>
      <c r="I264" s="226">
        <f t="shared" si="54"/>
        <v>154692</v>
      </c>
      <c r="J264" s="226">
        <f t="shared" si="54"/>
        <v>693846</v>
      </c>
      <c r="K264" s="226">
        <f t="shared" si="54"/>
        <v>1332287.209</v>
      </c>
      <c r="L264" s="226">
        <f t="shared" si="54"/>
        <v>5319928</v>
      </c>
      <c r="M264" s="226">
        <f t="shared" si="54"/>
        <v>27882</v>
      </c>
      <c r="N264" s="226">
        <f t="shared" si="54"/>
        <v>15635</v>
      </c>
      <c r="O264" s="226">
        <f t="shared" si="54"/>
        <v>5000</v>
      </c>
      <c r="P264" s="226">
        <f t="shared" si="54"/>
        <v>0</v>
      </c>
      <c r="Q264" s="226">
        <f t="shared" si="54"/>
        <v>199004</v>
      </c>
      <c r="R264" s="226">
        <f t="shared" si="50"/>
        <v>13064805.282</v>
      </c>
      <c r="S264" s="226"/>
      <c r="T264" s="226">
        <f t="shared" si="54"/>
        <v>0</v>
      </c>
      <c r="U264" s="226">
        <f t="shared" si="54"/>
        <v>4832040.4440000001</v>
      </c>
      <c r="V264" s="226">
        <f t="shared" si="54"/>
        <v>39440.69</v>
      </c>
      <c r="W264" s="226">
        <f t="shared" si="54"/>
        <v>0</v>
      </c>
      <c r="X264" s="429">
        <f t="shared" si="47"/>
        <v>4871481.1340000005</v>
      </c>
      <c r="Y264" s="333">
        <f t="shared" si="48"/>
        <v>17936286.416000001</v>
      </c>
      <c r="Z264" s="346">
        <f>Z263</f>
        <v>8055200.5019999994</v>
      </c>
      <c r="AA264" s="309"/>
    </row>
    <row r="265" spans="1:28" ht="17.25" customHeight="1" x14ac:dyDescent="0.2">
      <c r="A265" s="78"/>
      <c r="B265" s="112"/>
      <c r="C265" s="28"/>
      <c r="D265" s="155"/>
      <c r="E265" s="155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56"/>
      <c r="Y265" s="229"/>
      <c r="Z265" s="293"/>
      <c r="AA265" s="316"/>
    </row>
    <row r="266" spans="1:28" ht="24.95" customHeight="1" x14ac:dyDescent="0.2">
      <c r="A266" s="78">
        <v>1</v>
      </c>
      <c r="B266" s="112" t="s">
        <v>455</v>
      </c>
      <c r="C266" s="28" t="s">
        <v>456</v>
      </c>
      <c r="D266" s="155"/>
      <c r="E266" s="155"/>
      <c r="F266" s="150"/>
      <c r="G266" s="150"/>
      <c r="H266" s="150"/>
      <c r="I266" s="150"/>
      <c r="J266" s="150"/>
      <c r="K266" s="150">
        <f>-668</f>
        <v>-668</v>
      </c>
      <c r="L266" s="150"/>
      <c r="M266" s="150"/>
      <c r="N266" s="150"/>
      <c r="O266" s="150"/>
      <c r="P266" s="150"/>
      <c r="Q266" s="150">
        <f>668</f>
        <v>668</v>
      </c>
      <c r="R266" s="150">
        <f t="shared" si="50"/>
        <v>0</v>
      </c>
      <c r="S266" s="150"/>
      <c r="T266" s="150"/>
      <c r="U266" s="150"/>
      <c r="V266" s="150"/>
      <c r="W266" s="150"/>
      <c r="X266" s="156">
        <f t="shared" ref="X266" si="55">SUM(T266:W266)</f>
        <v>0</v>
      </c>
      <c r="Y266" s="229">
        <f t="shared" ref="Y266" si="56">R266+X266</f>
        <v>0</v>
      </c>
      <c r="Z266" s="293"/>
      <c r="AA266" s="316"/>
    </row>
    <row r="267" spans="1:28" ht="24.95" customHeight="1" x14ac:dyDescent="0.2">
      <c r="A267" s="78">
        <v>2</v>
      </c>
      <c r="B267" s="112" t="s">
        <v>457</v>
      </c>
      <c r="C267" s="28" t="s">
        <v>458</v>
      </c>
      <c r="D267" s="155"/>
      <c r="E267" s="155"/>
      <c r="F267" s="150"/>
      <c r="G267" s="150"/>
      <c r="H267" s="150"/>
      <c r="I267" s="150"/>
      <c r="J267" s="150"/>
      <c r="K267" s="150">
        <f>-913</f>
        <v>-913</v>
      </c>
      <c r="L267" s="150"/>
      <c r="M267" s="150"/>
      <c r="N267" s="150"/>
      <c r="O267" s="150"/>
      <c r="P267" s="150"/>
      <c r="Q267" s="150">
        <f>913</f>
        <v>913</v>
      </c>
      <c r="R267" s="150">
        <f t="shared" si="50"/>
        <v>0</v>
      </c>
      <c r="S267" s="150"/>
      <c r="T267" s="150"/>
      <c r="U267" s="150"/>
      <c r="V267" s="150"/>
      <c r="W267" s="150"/>
      <c r="X267" s="156">
        <f t="shared" si="47"/>
        <v>0</v>
      </c>
      <c r="Y267" s="229">
        <f t="shared" si="48"/>
        <v>0</v>
      </c>
      <c r="Z267" s="293"/>
      <c r="AA267" s="316"/>
    </row>
    <row r="268" spans="1:28" ht="33" customHeight="1" x14ac:dyDescent="0.2">
      <c r="A268" s="78">
        <v>3</v>
      </c>
      <c r="B268" s="112" t="s">
        <v>462</v>
      </c>
      <c r="C268" s="28" t="s">
        <v>463</v>
      </c>
      <c r="D268" s="155"/>
      <c r="E268" s="155"/>
      <c r="F268" s="150"/>
      <c r="G268" s="150"/>
      <c r="H268" s="150"/>
      <c r="I268" s="150"/>
      <c r="J268" s="150"/>
      <c r="K268" s="150">
        <f>-24765</f>
        <v>-24765</v>
      </c>
      <c r="L268" s="150">
        <f>19500+5265</f>
        <v>24765</v>
      </c>
      <c r="M268" s="150"/>
      <c r="N268" s="150"/>
      <c r="O268" s="150"/>
      <c r="P268" s="150"/>
      <c r="Q268" s="150"/>
      <c r="R268" s="150">
        <f t="shared" si="50"/>
        <v>0</v>
      </c>
      <c r="S268" s="150"/>
      <c r="T268" s="150"/>
      <c r="U268" s="150"/>
      <c r="V268" s="150"/>
      <c r="W268" s="150"/>
      <c r="X268" s="156">
        <f t="shared" ref="X268" si="57">SUM(T268:W268)</f>
        <v>0</v>
      </c>
      <c r="Y268" s="229">
        <f t="shared" ref="Y268" si="58">R268+X268</f>
        <v>0</v>
      </c>
      <c r="Z268" s="293"/>
      <c r="AA268" s="316"/>
    </row>
    <row r="269" spans="1:28" ht="33" customHeight="1" x14ac:dyDescent="0.2">
      <c r="A269" s="78">
        <v>4</v>
      </c>
      <c r="B269" s="112" t="s">
        <v>459</v>
      </c>
      <c r="C269" s="28" t="s">
        <v>460</v>
      </c>
      <c r="D269" s="155"/>
      <c r="E269" s="155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>
        <v>200000</v>
      </c>
      <c r="R269" s="150">
        <f t="shared" si="50"/>
        <v>200000</v>
      </c>
      <c r="S269" s="150"/>
      <c r="T269" s="150"/>
      <c r="U269" s="150"/>
      <c r="V269" s="150"/>
      <c r="W269" s="150"/>
      <c r="X269" s="156">
        <f t="shared" si="47"/>
        <v>0</v>
      </c>
      <c r="Y269" s="229">
        <f t="shared" si="48"/>
        <v>200000</v>
      </c>
      <c r="Z269" s="293"/>
      <c r="AA269" s="316"/>
    </row>
    <row r="270" spans="1:28" ht="33" customHeight="1" x14ac:dyDescent="0.2">
      <c r="A270" s="78">
        <v>5</v>
      </c>
      <c r="B270" s="112" t="s">
        <v>461</v>
      </c>
      <c r="C270" s="28" t="s">
        <v>464</v>
      </c>
      <c r="D270" s="155"/>
      <c r="E270" s="155"/>
      <c r="F270" s="150"/>
      <c r="G270" s="150"/>
      <c r="H270" s="150"/>
      <c r="I270" s="150"/>
      <c r="J270" s="150"/>
      <c r="K270" s="150"/>
      <c r="L270" s="150">
        <f>-5720-1545</f>
        <v>-7265</v>
      </c>
      <c r="M270" s="150"/>
      <c r="N270" s="150"/>
      <c r="O270" s="150"/>
      <c r="P270" s="150"/>
      <c r="Q270" s="150">
        <f>7265</f>
        <v>7265</v>
      </c>
      <c r="R270" s="150">
        <f t="shared" si="50"/>
        <v>0</v>
      </c>
      <c r="S270" s="150"/>
      <c r="T270" s="150"/>
      <c r="U270" s="150"/>
      <c r="V270" s="150"/>
      <c r="W270" s="150"/>
      <c r="X270" s="156">
        <f t="shared" si="47"/>
        <v>0</v>
      </c>
      <c r="Y270" s="229">
        <f t="shared" si="48"/>
        <v>0</v>
      </c>
      <c r="Z270" s="293"/>
      <c r="AA270" s="316"/>
    </row>
    <row r="271" spans="1:28" ht="24.95" customHeight="1" x14ac:dyDescent="0.2">
      <c r="A271" s="78">
        <v>6</v>
      </c>
      <c r="B271" s="112" t="s">
        <v>465</v>
      </c>
      <c r="C271" s="28" t="s">
        <v>466</v>
      </c>
      <c r="D271" s="155"/>
      <c r="E271" s="155"/>
      <c r="F271" s="150">
        <f>866+234</f>
        <v>1100</v>
      </c>
      <c r="G271" s="150"/>
      <c r="H271" s="150"/>
      <c r="I271" s="150"/>
      <c r="J271" s="150"/>
      <c r="K271" s="150"/>
      <c r="L271" s="150">
        <f>-866-234</f>
        <v>-1100</v>
      </c>
      <c r="M271" s="150"/>
      <c r="N271" s="150"/>
      <c r="O271" s="150"/>
      <c r="P271" s="150"/>
      <c r="Q271" s="150"/>
      <c r="R271" s="150">
        <f t="shared" si="50"/>
        <v>0</v>
      </c>
      <c r="S271" s="150"/>
      <c r="T271" s="150"/>
      <c r="U271" s="150"/>
      <c r="V271" s="150"/>
      <c r="W271" s="150"/>
      <c r="X271" s="156">
        <f t="shared" si="47"/>
        <v>0</v>
      </c>
      <c r="Y271" s="229">
        <f t="shared" si="48"/>
        <v>0</v>
      </c>
      <c r="Z271" s="293"/>
      <c r="AA271" s="316"/>
    </row>
    <row r="272" spans="1:28" ht="24.95" customHeight="1" x14ac:dyDescent="0.2">
      <c r="A272" s="78">
        <v>7</v>
      </c>
      <c r="B272" s="298" t="s">
        <v>467</v>
      </c>
      <c r="C272" s="28" t="s">
        <v>332</v>
      </c>
      <c r="D272" s="155"/>
      <c r="E272" s="155"/>
      <c r="F272" s="150"/>
      <c r="G272" s="150"/>
      <c r="H272" s="150"/>
      <c r="I272" s="150"/>
      <c r="J272" s="150">
        <f>300</f>
        <v>300</v>
      </c>
      <c r="K272" s="150">
        <f>-300</f>
        <v>-300</v>
      </c>
      <c r="L272" s="150"/>
      <c r="M272" s="150"/>
      <c r="N272" s="150"/>
      <c r="O272" s="150"/>
      <c r="P272" s="150"/>
      <c r="Q272" s="150"/>
      <c r="R272" s="150">
        <f t="shared" si="50"/>
        <v>0</v>
      </c>
      <c r="S272" s="150"/>
      <c r="T272" s="150"/>
      <c r="U272" s="150"/>
      <c r="V272" s="150"/>
      <c r="W272" s="150"/>
      <c r="X272" s="156">
        <f t="shared" si="47"/>
        <v>0</v>
      </c>
      <c r="Y272" s="229">
        <f t="shared" si="48"/>
        <v>0</v>
      </c>
      <c r="Z272" s="293"/>
      <c r="AA272" s="316"/>
    </row>
    <row r="273" spans="1:27" ht="24.95" customHeight="1" x14ac:dyDescent="0.2">
      <c r="A273" s="78">
        <v>8</v>
      </c>
      <c r="B273" s="27" t="s">
        <v>468</v>
      </c>
      <c r="C273" s="28" t="s">
        <v>373</v>
      </c>
      <c r="D273" s="155">
        <f>-1250</f>
        <v>-1250</v>
      </c>
      <c r="E273" s="155">
        <f>-248</f>
        <v>-248</v>
      </c>
      <c r="F273" s="150">
        <f>1498</f>
        <v>1498</v>
      </c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>
        <f t="shared" si="50"/>
        <v>0</v>
      </c>
      <c r="S273" s="150"/>
      <c r="T273" s="150"/>
      <c r="U273" s="150"/>
      <c r="V273" s="150"/>
      <c r="W273" s="150"/>
      <c r="X273" s="156">
        <f t="shared" si="47"/>
        <v>0</v>
      </c>
      <c r="Y273" s="229">
        <f t="shared" si="48"/>
        <v>0</v>
      </c>
      <c r="Z273" s="293"/>
      <c r="AA273" s="316"/>
    </row>
    <row r="274" spans="1:27" ht="24.95" customHeight="1" x14ac:dyDescent="0.2">
      <c r="A274" s="78">
        <v>9</v>
      </c>
      <c r="B274" s="27" t="s">
        <v>469</v>
      </c>
      <c r="C274" s="28" t="s">
        <v>470</v>
      </c>
      <c r="D274" s="155"/>
      <c r="E274" s="155"/>
      <c r="F274" s="150"/>
      <c r="G274" s="150"/>
      <c r="H274" s="150"/>
      <c r="I274" s="150"/>
      <c r="J274" s="150"/>
      <c r="K274" s="150">
        <f>-12700</f>
        <v>-12700</v>
      </c>
      <c r="L274" s="150">
        <f>10000+2700</f>
        <v>12700</v>
      </c>
      <c r="M274" s="150"/>
      <c r="N274" s="150"/>
      <c r="O274" s="150"/>
      <c r="P274" s="150"/>
      <c r="Q274" s="150"/>
      <c r="R274" s="150">
        <f t="shared" si="50"/>
        <v>0</v>
      </c>
      <c r="S274" s="150"/>
      <c r="T274" s="150"/>
      <c r="U274" s="150"/>
      <c r="V274" s="150"/>
      <c r="W274" s="150"/>
      <c r="X274" s="156">
        <f t="shared" si="47"/>
        <v>0</v>
      </c>
      <c r="Y274" s="229">
        <f t="shared" si="48"/>
        <v>0</v>
      </c>
      <c r="Z274" s="293"/>
      <c r="AA274" s="316"/>
    </row>
    <row r="275" spans="1:27" ht="24.95" customHeight="1" x14ac:dyDescent="0.2">
      <c r="A275" s="78">
        <v>10</v>
      </c>
      <c r="B275" s="27" t="s">
        <v>471</v>
      </c>
      <c r="C275" s="28" t="s">
        <v>472</v>
      </c>
      <c r="D275" s="150"/>
      <c r="E275" s="150"/>
      <c r="F275" s="150"/>
      <c r="G275" s="150"/>
      <c r="H275" s="150"/>
      <c r="I275" s="150"/>
      <c r="J275" s="150"/>
      <c r="K275" s="150">
        <f>-635</f>
        <v>-635</v>
      </c>
      <c r="L275" s="150"/>
      <c r="M275" s="150"/>
      <c r="N275" s="150"/>
      <c r="O275" s="150"/>
      <c r="P275" s="150"/>
      <c r="Q275" s="150"/>
      <c r="R275" s="150">
        <f t="shared" si="50"/>
        <v>-635</v>
      </c>
      <c r="S275" s="150"/>
      <c r="T275" s="150"/>
      <c r="U275" s="150"/>
      <c r="V275" s="150"/>
      <c r="W275" s="150"/>
      <c r="X275" s="156">
        <f t="shared" si="47"/>
        <v>0</v>
      </c>
      <c r="Y275" s="229">
        <f t="shared" si="48"/>
        <v>-635</v>
      </c>
      <c r="Z275" s="293">
        <f>635</f>
        <v>635</v>
      </c>
      <c r="AA275" s="316"/>
    </row>
    <row r="276" spans="1:27" ht="32.25" customHeight="1" x14ac:dyDescent="0.2">
      <c r="A276" s="78">
        <v>11</v>
      </c>
      <c r="B276" s="27" t="s">
        <v>474</v>
      </c>
      <c r="C276" s="84" t="s">
        <v>475</v>
      </c>
      <c r="D276" s="150"/>
      <c r="E276" s="150"/>
      <c r="F276" s="150">
        <f>1338+362+236+64</f>
        <v>2000</v>
      </c>
      <c r="G276" s="150"/>
      <c r="H276" s="150"/>
      <c r="I276" s="150"/>
      <c r="J276" s="150"/>
      <c r="K276" s="150"/>
      <c r="L276" s="150">
        <f>-1338-362-236-64</f>
        <v>-2000</v>
      </c>
      <c r="M276" s="150"/>
      <c r="N276" s="150"/>
      <c r="O276" s="150"/>
      <c r="P276" s="150"/>
      <c r="Q276" s="150"/>
      <c r="R276" s="150">
        <f t="shared" si="50"/>
        <v>0</v>
      </c>
      <c r="S276" s="150"/>
      <c r="T276" s="150"/>
      <c r="U276" s="150"/>
      <c r="V276" s="150"/>
      <c r="W276" s="150"/>
      <c r="X276" s="156">
        <f t="shared" si="47"/>
        <v>0</v>
      </c>
      <c r="Y276" s="229">
        <f t="shared" si="48"/>
        <v>0</v>
      </c>
      <c r="Z276" s="293"/>
      <c r="AA276" s="316"/>
    </row>
    <row r="277" spans="1:27" ht="24.95" customHeight="1" x14ac:dyDescent="0.2">
      <c r="A277" s="78">
        <v>12</v>
      </c>
      <c r="B277" s="27" t="s">
        <v>476</v>
      </c>
      <c r="C277" s="28" t="s">
        <v>477</v>
      </c>
      <c r="D277" s="150"/>
      <c r="E277" s="150"/>
      <c r="F277" s="150"/>
      <c r="G277" s="150"/>
      <c r="H277" s="150"/>
      <c r="I277" s="150"/>
      <c r="J277" s="150">
        <f>1142</f>
        <v>1142</v>
      </c>
      <c r="K277" s="150">
        <f>-1142</f>
        <v>-1142</v>
      </c>
      <c r="L277" s="150"/>
      <c r="M277" s="150"/>
      <c r="N277" s="150"/>
      <c r="O277" s="150"/>
      <c r="P277" s="150"/>
      <c r="Q277" s="150"/>
      <c r="R277" s="150">
        <f t="shared" si="50"/>
        <v>0</v>
      </c>
      <c r="S277" s="150"/>
      <c r="T277" s="150"/>
      <c r="U277" s="150"/>
      <c r="V277" s="150"/>
      <c r="W277" s="150"/>
      <c r="X277" s="156">
        <f t="shared" si="47"/>
        <v>0</v>
      </c>
      <c r="Y277" s="229">
        <f t="shared" si="48"/>
        <v>0</v>
      </c>
      <c r="Z277" s="293"/>
      <c r="AA277" s="316"/>
    </row>
    <row r="278" spans="1:27" ht="24.95" customHeight="1" x14ac:dyDescent="0.2">
      <c r="A278" s="78">
        <v>13</v>
      </c>
      <c r="B278" s="287" t="s">
        <v>478</v>
      </c>
      <c r="C278" s="28" t="s">
        <v>479</v>
      </c>
      <c r="D278" s="150"/>
      <c r="E278" s="150"/>
      <c r="F278" s="150">
        <f>394+106</f>
        <v>500</v>
      </c>
      <c r="G278" s="150"/>
      <c r="H278" s="150"/>
      <c r="I278" s="150"/>
      <c r="J278" s="150"/>
      <c r="K278" s="150"/>
      <c r="L278" s="150">
        <f>-394-106</f>
        <v>-500</v>
      </c>
      <c r="M278" s="150"/>
      <c r="N278" s="150"/>
      <c r="O278" s="150"/>
      <c r="P278" s="150"/>
      <c r="Q278" s="150"/>
      <c r="R278" s="150">
        <f t="shared" si="50"/>
        <v>0</v>
      </c>
      <c r="S278" s="150"/>
      <c r="T278" s="150"/>
      <c r="U278" s="150"/>
      <c r="V278" s="150"/>
      <c r="W278" s="150"/>
      <c r="X278" s="156">
        <f t="shared" si="47"/>
        <v>0</v>
      </c>
      <c r="Y278" s="229">
        <f t="shared" si="48"/>
        <v>0</v>
      </c>
      <c r="Z278" s="293"/>
      <c r="AA278" s="316"/>
    </row>
    <row r="279" spans="1:27" ht="24.95" customHeight="1" x14ac:dyDescent="0.2">
      <c r="A279" s="78">
        <v>14</v>
      </c>
      <c r="B279" s="45" t="s">
        <v>481</v>
      </c>
      <c r="C279" s="84" t="s">
        <v>480</v>
      </c>
      <c r="D279" s="150"/>
      <c r="E279" s="150"/>
      <c r="F279" s="150"/>
      <c r="G279" s="150"/>
      <c r="H279" s="150"/>
      <c r="I279" s="150"/>
      <c r="J279" s="150"/>
      <c r="K279" s="150">
        <f>2418.8</f>
        <v>2418.8000000000002</v>
      </c>
      <c r="L279" s="150"/>
      <c r="M279" s="150"/>
      <c r="N279" s="150"/>
      <c r="O279" s="150"/>
      <c r="P279" s="150"/>
      <c r="Q279" s="150"/>
      <c r="R279" s="150">
        <f t="shared" si="50"/>
        <v>2418.8000000000002</v>
      </c>
      <c r="S279" s="150"/>
      <c r="T279" s="150"/>
      <c r="U279" s="150"/>
      <c r="V279" s="150"/>
      <c r="W279" s="150"/>
      <c r="X279" s="156">
        <f t="shared" si="47"/>
        <v>0</v>
      </c>
      <c r="Y279" s="229">
        <f t="shared" si="48"/>
        <v>2418.8000000000002</v>
      </c>
      <c r="Z279" s="293"/>
      <c r="AA279" s="316"/>
    </row>
    <row r="280" spans="1:27" ht="24.95" customHeight="1" x14ac:dyDescent="0.2">
      <c r="A280" s="78">
        <v>15</v>
      </c>
      <c r="B280" s="45" t="s">
        <v>482</v>
      </c>
      <c r="C280" s="28" t="s">
        <v>484</v>
      </c>
      <c r="D280" s="150"/>
      <c r="E280" s="150"/>
      <c r="F280" s="150">
        <f>236+64</f>
        <v>300</v>
      </c>
      <c r="G280" s="150"/>
      <c r="H280" s="150"/>
      <c r="I280" s="150"/>
      <c r="J280" s="150"/>
      <c r="K280" s="150"/>
      <c r="L280" s="150">
        <f>-236-64</f>
        <v>-300</v>
      </c>
      <c r="M280" s="150"/>
      <c r="N280" s="150"/>
      <c r="O280" s="150"/>
      <c r="P280" s="150"/>
      <c r="Q280" s="150"/>
      <c r="R280" s="150">
        <f t="shared" si="50"/>
        <v>0</v>
      </c>
      <c r="S280" s="150"/>
      <c r="T280" s="150"/>
      <c r="U280" s="150"/>
      <c r="V280" s="150"/>
      <c r="W280" s="150"/>
      <c r="X280" s="156">
        <f t="shared" si="47"/>
        <v>0</v>
      </c>
      <c r="Y280" s="229">
        <f t="shared" si="48"/>
        <v>0</v>
      </c>
      <c r="Z280" s="293"/>
      <c r="AA280" s="316"/>
    </row>
    <row r="281" spans="1:27" ht="24.95" customHeight="1" x14ac:dyDescent="0.2">
      <c r="A281" s="78">
        <v>16</v>
      </c>
      <c r="B281" s="222" t="s">
        <v>483</v>
      </c>
      <c r="C281" s="28" t="s">
        <v>485</v>
      </c>
      <c r="D281" s="150"/>
      <c r="E281" s="150"/>
      <c r="F281" s="150"/>
      <c r="G281" s="150"/>
      <c r="H281" s="150"/>
      <c r="I281" s="150"/>
      <c r="J281" s="150"/>
      <c r="K281" s="150">
        <f>-18669</f>
        <v>-18669</v>
      </c>
      <c r="L281" s="150"/>
      <c r="M281" s="150"/>
      <c r="N281" s="150"/>
      <c r="O281" s="150"/>
      <c r="P281" s="150"/>
      <c r="Q281" s="150"/>
      <c r="R281" s="150">
        <f t="shared" si="50"/>
        <v>-18669</v>
      </c>
      <c r="S281" s="150"/>
      <c r="T281" s="150"/>
      <c r="U281" s="150"/>
      <c r="V281" s="150"/>
      <c r="W281" s="150"/>
      <c r="X281" s="156">
        <f t="shared" si="47"/>
        <v>0</v>
      </c>
      <c r="Y281" s="229">
        <f t="shared" si="48"/>
        <v>-18669</v>
      </c>
      <c r="Z281" s="293">
        <f>18669</f>
        <v>18669</v>
      </c>
      <c r="AA281" s="316"/>
    </row>
    <row r="282" spans="1:27" ht="24.95" customHeight="1" x14ac:dyDescent="0.2">
      <c r="A282" s="78">
        <v>17</v>
      </c>
      <c r="B282" s="222" t="s">
        <v>488</v>
      </c>
      <c r="C282" s="28" t="s">
        <v>487</v>
      </c>
      <c r="D282" s="150"/>
      <c r="E282" s="150"/>
      <c r="F282" s="150">
        <f>-2673</f>
        <v>-2673</v>
      </c>
      <c r="G282" s="150"/>
      <c r="H282" s="150"/>
      <c r="I282" s="150"/>
      <c r="J282" s="150"/>
      <c r="K282" s="150"/>
      <c r="L282" s="150">
        <f>2673</f>
        <v>2673</v>
      </c>
      <c r="M282" s="150"/>
      <c r="N282" s="150"/>
      <c r="O282" s="150"/>
      <c r="P282" s="150"/>
      <c r="Q282" s="150"/>
      <c r="R282" s="150">
        <f t="shared" si="50"/>
        <v>0</v>
      </c>
      <c r="S282" s="150"/>
      <c r="T282" s="150"/>
      <c r="U282" s="150"/>
      <c r="V282" s="150"/>
      <c r="W282" s="150"/>
      <c r="X282" s="156">
        <f t="shared" si="47"/>
        <v>0</v>
      </c>
      <c r="Y282" s="229">
        <f t="shared" si="48"/>
        <v>0</v>
      </c>
      <c r="Z282" s="293"/>
      <c r="AA282" s="316"/>
    </row>
    <row r="283" spans="1:27" ht="24.95" customHeight="1" x14ac:dyDescent="0.2">
      <c r="A283" s="78">
        <v>18</v>
      </c>
      <c r="B283" s="222" t="s">
        <v>489</v>
      </c>
      <c r="C283" s="33" t="s">
        <v>490</v>
      </c>
      <c r="D283" s="150"/>
      <c r="E283" s="150"/>
      <c r="F283" s="150">
        <f>-3625-979</f>
        <v>-4604</v>
      </c>
      <c r="G283" s="150"/>
      <c r="H283" s="150"/>
      <c r="I283" s="150"/>
      <c r="J283" s="150"/>
      <c r="K283" s="150"/>
      <c r="L283" s="150"/>
      <c r="M283" s="150">
        <f>3625+979</f>
        <v>4604</v>
      </c>
      <c r="N283" s="150"/>
      <c r="O283" s="150"/>
      <c r="P283" s="150"/>
      <c r="Q283" s="150"/>
      <c r="R283" s="150">
        <f t="shared" si="50"/>
        <v>0</v>
      </c>
      <c r="S283" s="150"/>
      <c r="T283" s="150"/>
      <c r="U283" s="150"/>
      <c r="V283" s="150"/>
      <c r="W283" s="150"/>
      <c r="X283" s="156">
        <f t="shared" si="47"/>
        <v>0</v>
      </c>
      <c r="Y283" s="229">
        <f t="shared" si="48"/>
        <v>0</v>
      </c>
      <c r="Z283" s="293"/>
      <c r="AA283" s="316"/>
    </row>
    <row r="284" spans="1:27" ht="24.95" customHeight="1" x14ac:dyDescent="0.2">
      <c r="A284" s="78">
        <v>19</v>
      </c>
      <c r="B284" s="222" t="s">
        <v>491</v>
      </c>
      <c r="C284" s="28" t="s">
        <v>493</v>
      </c>
      <c r="D284" s="150"/>
      <c r="E284" s="150"/>
      <c r="F284" s="150"/>
      <c r="G284" s="150"/>
      <c r="H284" s="150"/>
      <c r="I284" s="150"/>
      <c r="J284" s="150"/>
      <c r="K284" s="150">
        <f>1318</f>
        <v>1318</v>
      </c>
      <c r="L284" s="150"/>
      <c r="M284" s="150"/>
      <c r="N284" s="150"/>
      <c r="O284" s="150"/>
      <c r="P284" s="150"/>
      <c r="Q284" s="150"/>
      <c r="R284" s="150">
        <f t="shared" si="50"/>
        <v>1318</v>
      </c>
      <c r="S284" s="150"/>
      <c r="T284" s="150"/>
      <c r="U284" s="150"/>
      <c r="V284" s="150"/>
      <c r="W284" s="150"/>
      <c r="X284" s="156">
        <f t="shared" si="47"/>
        <v>0</v>
      </c>
      <c r="Y284" s="229">
        <f t="shared" si="48"/>
        <v>1318</v>
      </c>
      <c r="Z284" s="293">
        <f>-1318</f>
        <v>-1318</v>
      </c>
      <c r="AA284" s="316"/>
    </row>
    <row r="285" spans="1:27" ht="24.95" customHeight="1" x14ac:dyDescent="0.2">
      <c r="A285" s="78">
        <v>20</v>
      </c>
      <c r="B285" s="222" t="s">
        <v>496</v>
      </c>
      <c r="C285" s="33" t="s">
        <v>495</v>
      </c>
      <c r="D285" s="150"/>
      <c r="E285" s="150"/>
      <c r="F285" s="150"/>
      <c r="G285" s="150"/>
      <c r="H285" s="150"/>
      <c r="I285" s="150"/>
      <c r="J285" s="150"/>
      <c r="K285" s="150">
        <f>1710</f>
        <v>1710</v>
      </c>
      <c r="L285" s="150"/>
      <c r="M285" s="150"/>
      <c r="N285" s="150"/>
      <c r="O285" s="150"/>
      <c r="P285" s="150"/>
      <c r="Q285" s="150"/>
      <c r="R285" s="150">
        <f t="shared" si="50"/>
        <v>1710</v>
      </c>
      <c r="S285" s="150"/>
      <c r="T285" s="150"/>
      <c r="U285" s="150"/>
      <c r="V285" s="150"/>
      <c r="W285" s="150"/>
      <c r="X285" s="156">
        <f t="shared" si="47"/>
        <v>0</v>
      </c>
      <c r="Y285" s="229">
        <f t="shared" si="48"/>
        <v>1710</v>
      </c>
      <c r="Z285" s="293"/>
      <c r="AA285" s="316"/>
    </row>
    <row r="286" spans="1:27" ht="24.95" customHeight="1" x14ac:dyDescent="0.2">
      <c r="A286" s="78">
        <v>21</v>
      </c>
      <c r="B286" s="45" t="s">
        <v>497</v>
      </c>
      <c r="C286" s="33" t="s">
        <v>498</v>
      </c>
      <c r="D286" s="150"/>
      <c r="E286" s="150"/>
      <c r="F286" s="150"/>
      <c r="G286" s="150"/>
      <c r="H286" s="150"/>
      <c r="I286" s="150"/>
      <c r="K286" s="150">
        <f>-161975</f>
        <v>-161975</v>
      </c>
      <c r="L286" s="150">
        <f>127539+34436</f>
        <v>161975</v>
      </c>
      <c r="M286" s="150"/>
      <c r="N286" s="150"/>
      <c r="P286" s="150"/>
      <c r="Q286" s="150"/>
      <c r="R286" s="150">
        <f>SUM(D286:Q286)</f>
        <v>0</v>
      </c>
      <c r="S286" s="150"/>
      <c r="T286" s="150"/>
      <c r="U286" s="150"/>
      <c r="V286" s="150"/>
      <c r="W286" s="150"/>
      <c r="X286" s="156">
        <f t="shared" si="47"/>
        <v>0</v>
      </c>
      <c r="Y286" s="229">
        <f t="shared" si="48"/>
        <v>0</v>
      </c>
      <c r="Z286" s="293"/>
      <c r="AA286" s="316"/>
    </row>
    <row r="287" spans="1:27" ht="24.95" customHeight="1" x14ac:dyDescent="0.2">
      <c r="A287" s="78">
        <v>22</v>
      </c>
      <c r="B287" s="45" t="s">
        <v>499</v>
      </c>
      <c r="C287" s="28" t="s">
        <v>502</v>
      </c>
      <c r="D287" s="150"/>
      <c r="E287" s="150"/>
      <c r="F287" s="150"/>
      <c r="G287" s="150"/>
      <c r="H287" s="150"/>
      <c r="I287" s="150"/>
      <c r="J287" s="150"/>
      <c r="K287" s="150">
        <f>-109830</f>
        <v>-109830</v>
      </c>
      <c r="L287" s="150">
        <f>20000+5400+4000+1080+14961+4039+25000+6750+7559+2041</f>
        <v>90830</v>
      </c>
      <c r="M287" s="150">
        <f>14961+4039</f>
        <v>19000</v>
      </c>
      <c r="N287" s="150"/>
      <c r="O287" s="150"/>
      <c r="P287" s="150"/>
      <c r="Q287" s="150"/>
      <c r="R287" s="150">
        <f t="shared" si="50"/>
        <v>0</v>
      </c>
      <c r="S287" s="150"/>
      <c r="T287" s="150"/>
      <c r="U287" s="150"/>
      <c r="V287" s="150"/>
      <c r="W287" s="150"/>
      <c r="X287" s="156">
        <f t="shared" si="47"/>
        <v>0</v>
      </c>
      <c r="Y287" s="229">
        <f t="shared" si="48"/>
        <v>0</v>
      </c>
      <c r="Z287" s="293"/>
      <c r="AA287" s="316"/>
    </row>
    <row r="288" spans="1:27" ht="24.95" customHeight="1" x14ac:dyDescent="0.2">
      <c r="A288" s="78">
        <v>23</v>
      </c>
      <c r="B288" s="222" t="s">
        <v>500</v>
      </c>
      <c r="C288" s="28" t="s">
        <v>501</v>
      </c>
      <c r="D288" s="150"/>
      <c r="E288" s="150"/>
      <c r="F288" s="150">
        <f>472+128</f>
        <v>600</v>
      </c>
      <c r="G288" s="150"/>
      <c r="H288" s="150"/>
      <c r="I288" s="150"/>
      <c r="J288" s="150"/>
      <c r="K288" s="150"/>
      <c r="L288" s="150">
        <f>-472-128</f>
        <v>-600</v>
      </c>
      <c r="M288" s="150"/>
      <c r="N288" s="150"/>
      <c r="O288" s="150"/>
      <c r="P288" s="150"/>
      <c r="Q288" s="150"/>
      <c r="R288" s="150">
        <f t="shared" si="50"/>
        <v>0</v>
      </c>
      <c r="S288" s="150"/>
      <c r="T288" s="150"/>
      <c r="U288" s="150"/>
      <c r="V288" s="150"/>
      <c r="W288" s="150"/>
      <c r="X288" s="156">
        <f t="shared" si="47"/>
        <v>0</v>
      </c>
      <c r="Y288" s="229">
        <f t="shared" si="48"/>
        <v>0</v>
      </c>
      <c r="Z288" s="293"/>
      <c r="AA288" s="316"/>
    </row>
    <row r="289" spans="1:27" ht="24.95" customHeight="1" x14ac:dyDescent="0.2">
      <c r="A289" s="78">
        <v>24</v>
      </c>
      <c r="B289" s="45" t="s">
        <v>503</v>
      </c>
      <c r="C289" s="33" t="s">
        <v>484</v>
      </c>
      <c r="D289" s="150"/>
      <c r="E289" s="150"/>
      <c r="F289" s="150">
        <f>213+57</f>
        <v>270</v>
      </c>
      <c r="G289" s="150"/>
      <c r="H289" s="150"/>
      <c r="I289" s="150"/>
      <c r="J289" s="150"/>
      <c r="K289" s="150"/>
      <c r="L289" s="150">
        <f>-213-57</f>
        <v>-270</v>
      </c>
      <c r="M289" s="150"/>
      <c r="N289" s="150"/>
      <c r="O289" s="150"/>
      <c r="P289" s="150"/>
      <c r="Q289" s="150"/>
      <c r="R289" s="150">
        <f t="shared" si="50"/>
        <v>0</v>
      </c>
      <c r="S289" s="150"/>
      <c r="T289" s="150"/>
      <c r="U289" s="150"/>
      <c r="V289" s="150"/>
      <c r="W289" s="150"/>
      <c r="X289" s="156">
        <f t="shared" si="47"/>
        <v>0</v>
      </c>
      <c r="Y289" s="229">
        <f t="shared" si="48"/>
        <v>0</v>
      </c>
      <c r="Z289" s="293"/>
      <c r="AA289" s="316"/>
    </row>
    <row r="290" spans="1:27" ht="24.95" customHeight="1" x14ac:dyDescent="0.2">
      <c r="A290" s="78">
        <v>25</v>
      </c>
      <c r="B290" s="45" t="s">
        <v>504</v>
      </c>
      <c r="C290" s="33" t="s">
        <v>505</v>
      </c>
      <c r="D290" s="150"/>
      <c r="E290" s="150"/>
      <c r="F290" s="150"/>
      <c r="G290" s="150"/>
      <c r="H290" s="150"/>
      <c r="I290" s="150"/>
      <c r="J290" s="150"/>
      <c r="K290" s="150">
        <f>467</f>
        <v>467</v>
      </c>
      <c r="L290" s="150"/>
      <c r="M290" s="150"/>
      <c r="N290" s="150"/>
      <c r="O290" s="150"/>
      <c r="P290" s="150"/>
      <c r="Q290" s="150"/>
      <c r="R290" s="150">
        <f t="shared" si="50"/>
        <v>467</v>
      </c>
      <c r="S290" s="150"/>
      <c r="T290" s="150"/>
      <c r="U290" s="150"/>
      <c r="V290" s="150"/>
      <c r="W290" s="150"/>
      <c r="X290" s="156">
        <f t="shared" si="47"/>
        <v>0</v>
      </c>
      <c r="Y290" s="229">
        <f t="shared" si="48"/>
        <v>467</v>
      </c>
      <c r="Z290" s="293"/>
      <c r="AA290" s="316"/>
    </row>
    <row r="291" spans="1:27" ht="24.95" customHeight="1" x14ac:dyDescent="0.2">
      <c r="A291" s="78">
        <v>26</v>
      </c>
      <c r="B291" s="45" t="s">
        <v>518</v>
      </c>
      <c r="C291" s="28" t="s">
        <v>522</v>
      </c>
      <c r="D291" s="150"/>
      <c r="E291" s="150"/>
      <c r="F291" s="150">
        <f>-876.1</f>
        <v>-876.1</v>
      </c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>
        <f t="shared" si="50"/>
        <v>-876.1</v>
      </c>
      <c r="S291" s="150"/>
      <c r="T291" s="150"/>
      <c r="U291" s="150"/>
      <c r="V291" s="150"/>
      <c r="W291" s="150"/>
      <c r="X291" s="156">
        <f t="shared" si="47"/>
        <v>0</v>
      </c>
      <c r="Y291" s="229">
        <f t="shared" si="48"/>
        <v>-876.1</v>
      </c>
      <c r="Z291" s="293">
        <f>876.1</f>
        <v>876.1</v>
      </c>
      <c r="AA291" s="316"/>
    </row>
    <row r="292" spans="1:27" ht="24.95" customHeight="1" x14ac:dyDescent="0.2">
      <c r="A292" s="78">
        <v>27</v>
      </c>
      <c r="B292" s="45" t="s">
        <v>519</v>
      </c>
      <c r="C292" s="33" t="s">
        <v>523</v>
      </c>
      <c r="D292" s="150"/>
      <c r="E292" s="150"/>
      <c r="F292" s="150"/>
      <c r="G292" s="150"/>
      <c r="H292" s="150"/>
      <c r="I292" s="150"/>
      <c r="J292" s="150"/>
      <c r="K292" s="150">
        <f>-6060</f>
        <v>-6060</v>
      </c>
      <c r="L292" s="150"/>
      <c r="M292" s="150"/>
      <c r="N292" s="150"/>
      <c r="O292" s="150"/>
      <c r="P292" s="150"/>
      <c r="Q292" s="150"/>
      <c r="R292" s="150">
        <f t="shared" si="50"/>
        <v>-6060</v>
      </c>
      <c r="S292" s="150"/>
      <c r="T292" s="150"/>
      <c r="U292" s="150"/>
      <c r="V292" s="150"/>
      <c r="W292" s="150"/>
      <c r="X292" s="156">
        <f t="shared" si="47"/>
        <v>0</v>
      </c>
      <c r="Y292" s="229">
        <f t="shared" si="48"/>
        <v>-6060</v>
      </c>
      <c r="Z292" s="293">
        <f>6060</f>
        <v>6060</v>
      </c>
      <c r="AA292" s="316"/>
    </row>
    <row r="293" spans="1:27" ht="24.95" customHeight="1" x14ac:dyDescent="0.2">
      <c r="A293" s="78">
        <v>28</v>
      </c>
      <c r="B293" s="45" t="s">
        <v>520</v>
      </c>
      <c r="C293" s="28" t="s">
        <v>524</v>
      </c>
      <c r="D293" s="150"/>
      <c r="E293" s="150"/>
      <c r="F293" s="150">
        <f>-792</f>
        <v>-792</v>
      </c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>
        <f t="shared" si="50"/>
        <v>-792</v>
      </c>
      <c r="S293" s="150"/>
      <c r="T293" s="150"/>
      <c r="U293" s="150"/>
      <c r="V293" s="150"/>
      <c r="W293" s="150"/>
      <c r="X293" s="156">
        <f t="shared" si="47"/>
        <v>0</v>
      </c>
      <c r="Y293" s="229">
        <f t="shared" si="48"/>
        <v>-792</v>
      </c>
      <c r="Z293" s="293">
        <f>792</f>
        <v>792</v>
      </c>
      <c r="AA293" s="316"/>
    </row>
    <row r="294" spans="1:27" ht="24.95" customHeight="1" x14ac:dyDescent="0.2">
      <c r="A294" s="78">
        <v>29</v>
      </c>
      <c r="B294" s="45" t="s">
        <v>521</v>
      </c>
      <c r="C294" s="28" t="s">
        <v>525</v>
      </c>
      <c r="D294" s="150"/>
      <c r="E294" s="150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>
        <f t="shared" si="50"/>
        <v>0</v>
      </c>
      <c r="S294" s="150"/>
      <c r="T294" s="150"/>
      <c r="U294" s="150"/>
      <c r="V294" s="150"/>
      <c r="W294" s="150"/>
      <c r="X294" s="156">
        <f t="shared" si="47"/>
        <v>0</v>
      </c>
      <c r="Y294" s="229">
        <f t="shared" si="48"/>
        <v>0</v>
      </c>
      <c r="Z294" s="293">
        <f>10795</f>
        <v>10795</v>
      </c>
      <c r="AA294" s="316"/>
    </row>
    <row r="295" spans="1:27" ht="24.95" customHeight="1" x14ac:dyDescent="0.2">
      <c r="A295" s="78">
        <v>30</v>
      </c>
      <c r="B295" s="222" t="s">
        <v>506</v>
      </c>
      <c r="C295" s="28" t="s">
        <v>507</v>
      </c>
      <c r="D295" s="150"/>
      <c r="E295" s="150"/>
      <c r="F295" s="150">
        <f>-5000-1350</f>
        <v>-6350</v>
      </c>
      <c r="G295" s="150"/>
      <c r="H295" s="150"/>
      <c r="I295" s="150"/>
      <c r="J295" s="150"/>
      <c r="K295" s="150"/>
      <c r="L295" s="150">
        <f>5000+1350</f>
        <v>6350</v>
      </c>
      <c r="M295" s="150"/>
      <c r="N295" s="150"/>
      <c r="O295" s="150"/>
      <c r="P295" s="150"/>
      <c r="Q295" s="150"/>
      <c r="R295" s="150">
        <f t="shared" si="50"/>
        <v>0</v>
      </c>
      <c r="S295" s="150"/>
      <c r="T295" s="150"/>
      <c r="U295" s="150"/>
      <c r="V295" s="150"/>
      <c r="W295" s="150"/>
      <c r="X295" s="156">
        <f t="shared" si="47"/>
        <v>0</v>
      </c>
      <c r="Y295" s="229">
        <f t="shared" si="48"/>
        <v>0</v>
      </c>
      <c r="Z295" s="293"/>
      <c r="AA295" s="316"/>
    </row>
    <row r="296" spans="1:27" ht="24.95" customHeight="1" x14ac:dyDescent="0.2">
      <c r="A296" s="78">
        <v>31</v>
      </c>
      <c r="B296" s="220" t="s">
        <v>508</v>
      </c>
      <c r="C296" s="28" t="s">
        <v>509</v>
      </c>
      <c r="D296" s="150"/>
      <c r="E296" s="150"/>
      <c r="F296" s="150">
        <f>29+8</f>
        <v>37</v>
      </c>
      <c r="G296" s="150"/>
      <c r="H296" s="150"/>
      <c r="I296" s="150"/>
      <c r="J296" s="150"/>
      <c r="K296" s="150"/>
      <c r="L296" s="150">
        <f>-29-8</f>
        <v>-37</v>
      </c>
      <c r="M296" s="150"/>
      <c r="N296" s="150"/>
      <c r="O296" s="150"/>
      <c r="P296" s="150"/>
      <c r="Q296" s="150"/>
      <c r="R296" s="150">
        <f t="shared" si="50"/>
        <v>0</v>
      </c>
      <c r="S296" s="150"/>
      <c r="T296" s="150"/>
      <c r="U296" s="150"/>
      <c r="V296" s="150"/>
      <c r="W296" s="150"/>
      <c r="X296" s="156">
        <f t="shared" si="47"/>
        <v>0</v>
      </c>
      <c r="Y296" s="229">
        <f t="shared" si="48"/>
        <v>0</v>
      </c>
      <c r="Z296" s="293"/>
      <c r="AA296" s="316"/>
    </row>
    <row r="297" spans="1:27" ht="24.95" customHeight="1" x14ac:dyDescent="0.2">
      <c r="A297" s="78">
        <v>32</v>
      </c>
      <c r="B297" s="220" t="s">
        <v>510</v>
      </c>
      <c r="C297" s="28" t="s">
        <v>511</v>
      </c>
      <c r="D297" s="150"/>
      <c r="E297" s="150">
        <f>7+6</f>
        <v>13</v>
      </c>
      <c r="F297" s="150">
        <f>-73+38+17+5</f>
        <v>-13</v>
      </c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>
        <f t="shared" si="50"/>
        <v>0</v>
      </c>
      <c r="S297" s="150"/>
      <c r="T297" s="150"/>
      <c r="U297" s="150"/>
      <c r="V297" s="150"/>
      <c r="W297" s="150"/>
      <c r="X297" s="156">
        <f t="shared" si="47"/>
        <v>0</v>
      </c>
      <c r="Y297" s="229">
        <f t="shared" si="48"/>
        <v>0</v>
      </c>
      <c r="Z297" s="293"/>
      <c r="AA297" s="316"/>
    </row>
    <row r="298" spans="1:27" ht="24.95" customHeight="1" x14ac:dyDescent="0.2">
      <c r="A298" s="78">
        <v>33</v>
      </c>
      <c r="B298" s="220" t="s">
        <v>512</v>
      </c>
      <c r="C298" s="84" t="s">
        <v>513</v>
      </c>
      <c r="D298" s="150"/>
      <c r="E298" s="150"/>
      <c r="F298" s="150"/>
      <c r="G298" s="150"/>
      <c r="H298" s="150"/>
      <c r="I298" s="150"/>
      <c r="J298" s="150"/>
      <c r="K298" s="150">
        <f>21500</f>
        <v>21500</v>
      </c>
      <c r="L298" s="150"/>
      <c r="M298" s="150"/>
      <c r="N298" s="150"/>
      <c r="O298" s="150"/>
      <c r="P298" s="150"/>
      <c r="Q298" s="150"/>
      <c r="R298" s="150">
        <f t="shared" si="50"/>
        <v>21500</v>
      </c>
      <c r="S298" s="150"/>
      <c r="T298" s="150"/>
      <c r="U298" s="150"/>
      <c r="V298" s="150"/>
      <c r="W298" s="150"/>
      <c r="X298" s="156">
        <f t="shared" si="47"/>
        <v>0</v>
      </c>
      <c r="Y298" s="229">
        <f t="shared" si="48"/>
        <v>21500</v>
      </c>
      <c r="Z298" s="293"/>
      <c r="AA298" s="316"/>
    </row>
    <row r="299" spans="1:27" ht="24.95" customHeight="1" x14ac:dyDescent="0.2">
      <c r="A299" s="78">
        <v>34</v>
      </c>
      <c r="B299" s="220" t="s">
        <v>514</v>
      </c>
      <c r="C299" s="28" t="s">
        <v>515</v>
      </c>
      <c r="D299" s="150"/>
      <c r="E299" s="150"/>
      <c r="F299" s="150">
        <f>3750+1013</f>
        <v>4763</v>
      </c>
      <c r="G299" s="150"/>
      <c r="H299" s="150"/>
      <c r="I299" s="150"/>
      <c r="J299" s="150"/>
      <c r="K299" s="150">
        <f>-4763</f>
        <v>-4763</v>
      </c>
      <c r="L299" s="150"/>
      <c r="M299" s="150"/>
      <c r="N299" s="150"/>
      <c r="O299" s="150"/>
      <c r="P299" s="150"/>
      <c r="Q299" s="150"/>
      <c r="R299" s="150">
        <f t="shared" si="50"/>
        <v>0</v>
      </c>
      <c r="S299" s="150"/>
      <c r="T299" s="150"/>
      <c r="U299" s="150"/>
      <c r="V299" s="150"/>
      <c r="W299" s="150"/>
      <c r="X299" s="156">
        <f t="shared" si="47"/>
        <v>0</v>
      </c>
      <c r="Y299" s="229">
        <f t="shared" si="48"/>
        <v>0</v>
      </c>
      <c r="Z299" s="293"/>
      <c r="AA299" s="316"/>
    </row>
    <row r="300" spans="1:27" ht="24.95" customHeight="1" x14ac:dyDescent="0.2">
      <c r="A300" s="78">
        <v>35</v>
      </c>
      <c r="B300" s="220" t="s">
        <v>516</v>
      </c>
      <c r="C300" s="28" t="s">
        <v>517</v>
      </c>
      <c r="D300" s="150"/>
      <c r="E300" s="150"/>
      <c r="F300" s="150">
        <f>3150+850</f>
        <v>4000</v>
      </c>
      <c r="G300" s="150"/>
      <c r="H300" s="150"/>
      <c r="I300" s="150"/>
      <c r="J300" s="150"/>
      <c r="K300" s="150">
        <f>-4000</f>
        <v>-4000</v>
      </c>
      <c r="L300" s="150"/>
      <c r="M300" s="150"/>
      <c r="N300" s="150"/>
      <c r="O300" s="150"/>
      <c r="P300" s="150"/>
      <c r="Q300" s="150"/>
      <c r="R300" s="150">
        <f t="shared" si="50"/>
        <v>0</v>
      </c>
      <c r="S300" s="150"/>
      <c r="T300" s="150"/>
      <c r="U300" s="150"/>
      <c r="V300" s="150"/>
      <c r="W300" s="150"/>
      <c r="X300" s="156">
        <f t="shared" si="47"/>
        <v>0</v>
      </c>
      <c r="Y300" s="229">
        <f t="shared" si="48"/>
        <v>0</v>
      </c>
      <c r="Z300" s="293"/>
      <c r="AA300" s="316"/>
    </row>
    <row r="301" spans="1:27" ht="24.95" customHeight="1" x14ac:dyDescent="0.2">
      <c r="A301" s="78">
        <v>36</v>
      </c>
      <c r="B301" s="30" t="s">
        <v>526</v>
      </c>
      <c r="C301" s="33" t="s">
        <v>527</v>
      </c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>
        <f t="shared" si="50"/>
        <v>0</v>
      </c>
      <c r="S301" s="150"/>
      <c r="T301" s="150"/>
      <c r="U301" s="150"/>
      <c r="V301" s="150"/>
      <c r="W301" s="150"/>
      <c r="X301" s="156">
        <f t="shared" si="47"/>
        <v>0</v>
      </c>
      <c r="Y301" s="229">
        <f t="shared" si="48"/>
        <v>0</v>
      </c>
      <c r="Z301" s="293">
        <f>785.476</f>
        <v>785.476</v>
      </c>
      <c r="AA301" s="316"/>
    </row>
    <row r="302" spans="1:27" ht="24.95" customHeight="1" x14ac:dyDescent="0.2">
      <c r="A302" s="78">
        <v>37</v>
      </c>
      <c r="B302" s="30" t="s">
        <v>526</v>
      </c>
      <c r="C302" s="34" t="s">
        <v>528</v>
      </c>
      <c r="D302" s="150"/>
      <c r="E302" s="150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>
        <f t="shared" si="50"/>
        <v>0</v>
      </c>
      <c r="S302" s="150"/>
      <c r="T302" s="150"/>
      <c r="U302" s="150"/>
      <c r="V302" s="150"/>
      <c r="W302" s="150"/>
      <c r="X302" s="156">
        <f t="shared" si="47"/>
        <v>0</v>
      </c>
      <c r="Y302" s="229">
        <f t="shared" si="48"/>
        <v>0</v>
      </c>
      <c r="Z302" s="293">
        <v>1185.2080000000001</v>
      </c>
      <c r="AA302" s="316"/>
    </row>
    <row r="303" spans="1:27" ht="24.95" customHeight="1" x14ac:dyDescent="0.2">
      <c r="A303" s="78">
        <v>38</v>
      </c>
      <c r="B303" s="30" t="s">
        <v>526</v>
      </c>
      <c r="C303" s="41" t="s">
        <v>529</v>
      </c>
      <c r="D303" s="150"/>
      <c r="E303" s="150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>
        <f t="shared" si="50"/>
        <v>0</v>
      </c>
      <c r="S303" s="150"/>
      <c r="T303" s="150"/>
      <c r="U303" s="150"/>
      <c r="V303" s="150"/>
      <c r="W303" s="150"/>
      <c r="X303" s="156">
        <f t="shared" si="47"/>
        <v>0</v>
      </c>
      <c r="Y303" s="229">
        <f t="shared" si="48"/>
        <v>0</v>
      </c>
      <c r="Z303" s="293">
        <v>184.98599999999999</v>
      </c>
      <c r="AA303" s="316"/>
    </row>
    <row r="304" spans="1:27" ht="24.95" customHeight="1" x14ac:dyDescent="0.2">
      <c r="A304" s="78">
        <v>39</v>
      </c>
      <c r="B304" s="610" t="s">
        <v>530</v>
      </c>
      <c r="C304" s="41" t="s">
        <v>531</v>
      </c>
      <c r="D304" s="150"/>
      <c r="E304" s="150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>
        <f t="shared" si="50"/>
        <v>0</v>
      </c>
      <c r="S304" s="150"/>
      <c r="T304" s="150"/>
      <c r="U304" s="150"/>
      <c r="V304" s="150"/>
      <c r="W304" s="150"/>
      <c r="X304" s="156">
        <f t="shared" si="47"/>
        <v>0</v>
      </c>
      <c r="Y304" s="229">
        <f t="shared" si="48"/>
        <v>0</v>
      </c>
      <c r="Z304" s="293">
        <v>7559.1279999999997</v>
      </c>
      <c r="AA304" s="316"/>
    </row>
    <row r="305" spans="1:27" ht="24.95" customHeight="1" x14ac:dyDescent="0.2">
      <c r="A305" s="78">
        <v>40</v>
      </c>
      <c r="B305" s="219" t="s">
        <v>534</v>
      </c>
      <c r="C305" s="41" t="s">
        <v>374</v>
      </c>
      <c r="D305" s="150"/>
      <c r="E305" s="150"/>
      <c r="F305" s="165">
        <f>2000+540</f>
        <v>2540</v>
      </c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>
        <f t="shared" si="50"/>
        <v>2540</v>
      </c>
      <c r="S305" s="150"/>
      <c r="T305" s="150"/>
      <c r="U305" s="150"/>
      <c r="V305" s="150"/>
      <c r="W305" s="150"/>
      <c r="X305" s="156">
        <f t="shared" si="47"/>
        <v>0</v>
      </c>
      <c r="Y305" s="229">
        <f t="shared" si="48"/>
        <v>2540</v>
      </c>
      <c r="Z305" s="293"/>
      <c r="AA305" s="316"/>
    </row>
    <row r="306" spans="1:27" ht="24.95" hidden="1" customHeight="1" x14ac:dyDescent="0.2">
      <c r="A306" s="78"/>
      <c r="B306" s="30"/>
      <c r="C306" s="28"/>
      <c r="D306" s="150"/>
      <c r="E306" s="150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6"/>
      <c r="Y306" s="229"/>
      <c r="Z306" s="293"/>
      <c r="AA306" s="316"/>
    </row>
    <row r="307" spans="1:27" ht="24.95" hidden="1" customHeight="1" x14ac:dyDescent="0.2">
      <c r="A307" s="78"/>
      <c r="B307" s="220"/>
      <c r="C307" s="28"/>
      <c r="D307" s="150"/>
      <c r="E307" s="150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  <c r="X307" s="156">
        <f t="shared" si="47"/>
        <v>0</v>
      </c>
      <c r="Y307" s="229">
        <f t="shared" si="48"/>
        <v>0</v>
      </c>
      <c r="Z307" s="293"/>
      <c r="AA307" s="316"/>
    </row>
    <row r="308" spans="1:27" ht="24.95" hidden="1" customHeight="1" x14ac:dyDescent="0.2">
      <c r="A308" s="78"/>
      <c r="B308" s="30"/>
      <c r="C308" s="28"/>
      <c r="D308" s="150"/>
      <c r="E308" s="150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56">
        <f t="shared" si="47"/>
        <v>0</v>
      </c>
      <c r="Y308" s="229">
        <f t="shared" si="48"/>
        <v>0</v>
      </c>
      <c r="Z308" s="293"/>
      <c r="AA308" s="316"/>
    </row>
    <row r="309" spans="1:27" ht="24.95" hidden="1" customHeight="1" x14ac:dyDescent="0.2">
      <c r="A309" s="78"/>
      <c r="B309" s="470"/>
      <c r="C309" s="28"/>
      <c r="D309" s="150"/>
      <c r="E309" s="150"/>
      <c r="F309" s="150"/>
      <c r="G309" s="150"/>
      <c r="H309" s="150"/>
      <c r="I309" s="150"/>
      <c r="J309" s="318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56">
        <f t="shared" si="47"/>
        <v>0</v>
      </c>
      <c r="Y309" s="229">
        <f t="shared" si="48"/>
        <v>0</v>
      </c>
      <c r="Z309" s="293"/>
      <c r="AA309" s="316"/>
    </row>
    <row r="310" spans="1:27" ht="24.95" hidden="1" customHeight="1" x14ac:dyDescent="0.2">
      <c r="A310" s="78"/>
      <c r="B310" s="30"/>
      <c r="C310" s="28"/>
      <c r="D310" s="150"/>
      <c r="E310" s="150"/>
      <c r="F310" s="150"/>
      <c r="G310" s="150"/>
      <c r="H310" s="150"/>
      <c r="I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  <c r="X310" s="156">
        <f t="shared" si="47"/>
        <v>0</v>
      </c>
      <c r="Y310" s="229">
        <f t="shared" si="48"/>
        <v>0</v>
      </c>
      <c r="Z310" s="293"/>
      <c r="AA310" s="316"/>
    </row>
    <row r="311" spans="1:27" ht="24.95" hidden="1" customHeight="1" x14ac:dyDescent="0.2">
      <c r="A311" s="78"/>
      <c r="B311" s="30"/>
      <c r="C311" s="28"/>
      <c r="D311" s="150"/>
      <c r="E311" s="150"/>
      <c r="F311" s="150"/>
      <c r="G311" s="150"/>
      <c r="H311" s="150"/>
      <c r="I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56">
        <f t="shared" si="47"/>
        <v>0</v>
      </c>
      <c r="Y311" s="229">
        <f t="shared" si="48"/>
        <v>0</v>
      </c>
      <c r="Z311" s="293"/>
      <c r="AA311" s="316"/>
    </row>
    <row r="312" spans="1:27" ht="24.95" hidden="1" customHeight="1" x14ac:dyDescent="0.2">
      <c r="A312" s="78"/>
      <c r="B312" s="30"/>
      <c r="C312" s="28"/>
      <c r="D312" s="150"/>
      <c r="E312" s="150"/>
      <c r="F312" s="150"/>
      <c r="G312" s="150"/>
      <c r="H312" s="150"/>
      <c r="I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  <c r="X312" s="156">
        <f t="shared" si="47"/>
        <v>0</v>
      </c>
      <c r="Y312" s="229">
        <f t="shared" si="48"/>
        <v>0</v>
      </c>
      <c r="Z312" s="293"/>
      <c r="AA312" s="316"/>
    </row>
    <row r="313" spans="1:27" ht="24.95" hidden="1" customHeight="1" x14ac:dyDescent="0.2">
      <c r="A313" s="78"/>
      <c r="B313" s="30"/>
      <c r="C313" s="28"/>
      <c r="D313" s="150"/>
      <c r="E313" s="150"/>
      <c r="F313" s="150"/>
      <c r="G313" s="150"/>
      <c r="H313" s="150"/>
      <c r="I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56">
        <f t="shared" si="47"/>
        <v>0</v>
      </c>
      <c r="Y313" s="229">
        <f t="shared" si="48"/>
        <v>0</v>
      </c>
      <c r="Z313" s="293"/>
      <c r="AA313" s="316"/>
    </row>
    <row r="314" spans="1:27" ht="24.95" hidden="1" customHeight="1" x14ac:dyDescent="0.2">
      <c r="A314" s="78"/>
      <c r="B314" s="30"/>
      <c r="C314" s="28"/>
      <c r="D314" s="150"/>
      <c r="E314" s="150"/>
      <c r="F314" s="150"/>
      <c r="G314" s="150"/>
      <c r="H314" s="150"/>
      <c r="I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  <c r="X314" s="156">
        <f t="shared" si="47"/>
        <v>0</v>
      </c>
      <c r="Y314" s="229">
        <f t="shared" si="48"/>
        <v>0</v>
      </c>
      <c r="Z314" s="293"/>
      <c r="AA314" s="316"/>
    </row>
    <row r="315" spans="1:27" ht="24.95" hidden="1" customHeight="1" x14ac:dyDescent="0.2">
      <c r="A315" s="78"/>
      <c r="B315" s="30"/>
      <c r="C315" s="28"/>
      <c r="D315" s="150"/>
      <c r="E315" s="150"/>
      <c r="F315" s="150"/>
      <c r="G315" s="150"/>
      <c r="H315" s="150"/>
      <c r="I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  <c r="X315" s="156">
        <f t="shared" si="47"/>
        <v>0</v>
      </c>
      <c r="Y315" s="229">
        <f t="shared" si="48"/>
        <v>0</v>
      </c>
      <c r="Z315" s="293"/>
      <c r="AA315" s="316"/>
    </row>
    <row r="316" spans="1:27" ht="24.95" hidden="1" customHeight="1" x14ac:dyDescent="0.2">
      <c r="A316" s="78"/>
      <c r="B316" s="30"/>
      <c r="C316" s="28"/>
      <c r="D316" s="150"/>
      <c r="E316" s="150"/>
      <c r="F316" s="150"/>
      <c r="G316" s="150"/>
      <c r="H316" s="150"/>
      <c r="I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56">
        <f t="shared" si="47"/>
        <v>0</v>
      </c>
      <c r="Y316" s="229">
        <f t="shared" si="48"/>
        <v>0</v>
      </c>
      <c r="Z316" s="293"/>
      <c r="AA316" s="316"/>
    </row>
    <row r="317" spans="1:27" ht="24.95" hidden="1" customHeight="1" x14ac:dyDescent="0.2">
      <c r="A317" s="78"/>
      <c r="B317" s="470"/>
      <c r="C317" s="28"/>
      <c r="D317" s="150"/>
      <c r="E317" s="150"/>
      <c r="F317" s="150"/>
      <c r="G317" s="150"/>
      <c r="H317" s="150"/>
      <c r="I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6">
        <f>SUM(T317:W317)</f>
        <v>0</v>
      </c>
      <c r="Y317" s="229">
        <f>R317+X317</f>
        <v>0</v>
      </c>
      <c r="Z317" s="293"/>
      <c r="AA317" s="316"/>
    </row>
    <row r="318" spans="1:27" ht="24.95" hidden="1" customHeight="1" x14ac:dyDescent="0.2">
      <c r="A318" s="78"/>
      <c r="B318" s="30"/>
      <c r="C318" s="28"/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  <c r="X318" s="156">
        <f t="shared" si="47"/>
        <v>0</v>
      </c>
      <c r="Y318" s="229">
        <f t="shared" si="48"/>
        <v>0</v>
      </c>
      <c r="Z318" s="293"/>
      <c r="AA318" s="316"/>
    </row>
    <row r="319" spans="1:27" ht="24.95" hidden="1" customHeight="1" x14ac:dyDescent="0.2">
      <c r="A319" s="78"/>
      <c r="B319" s="30"/>
      <c r="C319" s="28"/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  <c r="X319" s="156">
        <f t="shared" si="47"/>
        <v>0</v>
      </c>
      <c r="Y319" s="229">
        <f t="shared" si="48"/>
        <v>0</v>
      </c>
      <c r="Z319" s="293"/>
      <c r="AA319" s="316"/>
    </row>
    <row r="320" spans="1:27" ht="24.95" hidden="1" customHeight="1" x14ac:dyDescent="0.2">
      <c r="A320" s="78"/>
      <c r="B320" s="30"/>
      <c r="C320" s="28"/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56">
        <f t="shared" si="47"/>
        <v>0</v>
      </c>
      <c r="Y320" s="229">
        <f t="shared" si="48"/>
        <v>0</v>
      </c>
      <c r="Z320" s="293"/>
      <c r="AA320" s="316"/>
    </row>
    <row r="321" spans="1:27" ht="24.95" hidden="1" customHeight="1" x14ac:dyDescent="0.2">
      <c r="A321" s="78"/>
      <c r="B321" s="30"/>
      <c r="C321" s="28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56">
        <f t="shared" si="47"/>
        <v>0</v>
      </c>
      <c r="Y321" s="229">
        <f t="shared" si="48"/>
        <v>0</v>
      </c>
      <c r="Z321" s="293"/>
      <c r="AA321" s="316"/>
    </row>
    <row r="322" spans="1:27" ht="24.95" hidden="1" customHeight="1" x14ac:dyDescent="0.2">
      <c r="A322" s="78"/>
      <c r="B322" s="30"/>
      <c r="C322" s="28"/>
      <c r="D322" s="150"/>
      <c r="E322" s="150"/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  <c r="X322" s="156">
        <f t="shared" si="47"/>
        <v>0</v>
      </c>
      <c r="Y322" s="229">
        <f t="shared" si="48"/>
        <v>0</v>
      </c>
      <c r="Z322" s="293"/>
      <c r="AA322" s="316"/>
    </row>
    <row r="323" spans="1:27" ht="24.95" hidden="1" customHeight="1" x14ac:dyDescent="0.2">
      <c r="A323" s="78"/>
      <c r="B323" s="30"/>
      <c r="C323" s="28"/>
      <c r="D323" s="150"/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6">
        <f t="shared" si="47"/>
        <v>0</v>
      </c>
      <c r="Y323" s="229">
        <f t="shared" si="48"/>
        <v>0</v>
      </c>
      <c r="Z323" s="293"/>
      <c r="AA323" s="316"/>
    </row>
    <row r="324" spans="1:27" ht="24.95" hidden="1" customHeight="1" x14ac:dyDescent="0.2">
      <c r="A324" s="78"/>
      <c r="B324" s="30"/>
      <c r="C324" s="28"/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56">
        <f t="shared" si="47"/>
        <v>0</v>
      </c>
      <c r="Y324" s="229">
        <f t="shared" si="48"/>
        <v>0</v>
      </c>
      <c r="Z324" s="293"/>
      <c r="AA324" s="316"/>
    </row>
    <row r="325" spans="1:27" ht="24.95" hidden="1" customHeight="1" x14ac:dyDescent="0.2">
      <c r="A325" s="78"/>
      <c r="B325" s="30"/>
      <c r="C325" s="28"/>
      <c r="D325" s="150"/>
      <c r="E325" s="150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  <c r="X325" s="156">
        <f t="shared" si="47"/>
        <v>0</v>
      </c>
      <c r="Y325" s="229">
        <f t="shared" si="48"/>
        <v>0</v>
      </c>
      <c r="Z325" s="293"/>
      <c r="AA325" s="316"/>
    </row>
    <row r="326" spans="1:27" ht="24.95" hidden="1" customHeight="1" x14ac:dyDescent="0.2">
      <c r="A326" s="78"/>
      <c r="B326" s="30"/>
      <c r="C326" s="28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56">
        <f t="shared" si="47"/>
        <v>0</v>
      </c>
      <c r="Y326" s="229">
        <f t="shared" si="48"/>
        <v>0</v>
      </c>
      <c r="Z326" s="293"/>
      <c r="AA326" s="316"/>
    </row>
    <row r="327" spans="1:27" ht="24.95" hidden="1" customHeight="1" x14ac:dyDescent="0.2">
      <c r="A327" s="78"/>
      <c r="B327" s="30"/>
      <c r="C327" s="28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56">
        <f t="shared" si="47"/>
        <v>0</v>
      </c>
      <c r="Y327" s="229">
        <f t="shared" si="48"/>
        <v>0</v>
      </c>
      <c r="Z327" s="293"/>
      <c r="AA327" s="316"/>
    </row>
    <row r="328" spans="1:27" ht="24.95" hidden="1" customHeight="1" x14ac:dyDescent="0.2">
      <c r="A328" s="78"/>
      <c r="B328" s="30"/>
      <c r="C328" s="28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6">
        <f t="shared" si="47"/>
        <v>0</v>
      </c>
      <c r="Y328" s="229">
        <f t="shared" si="48"/>
        <v>0</v>
      </c>
      <c r="Z328" s="293"/>
      <c r="AA328" s="316"/>
    </row>
    <row r="329" spans="1:27" ht="24.95" hidden="1" customHeight="1" x14ac:dyDescent="0.2">
      <c r="A329" s="78"/>
      <c r="B329" s="30"/>
      <c r="C329" s="28"/>
      <c r="D329" s="150"/>
      <c r="E329" s="150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  <c r="X329" s="156">
        <f t="shared" si="47"/>
        <v>0</v>
      </c>
      <c r="Y329" s="229">
        <f t="shared" si="48"/>
        <v>0</v>
      </c>
      <c r="Z329" s="293"/>
      <c r="AA329" s="316"/>
    </row>
    <row r="330" spans="1:27" ht="24.95" hidden="1" customHeight="1" x14ac:dyDescent="0.2">
      <c r="A330" s="78"/>
      <c r="B330" s="30"/>
      <c r="C330" s="28"/>
      <c r="D330" s="150"/>
      <c r="E330" s="150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56">
        <f>SUM(T330:W330)</f>
        <v>0</v>
      </c>
      <c r="Y330" s="229">
        <f>R330+X330</f>
        <v>0</v>
      </c>
      <c r="Z330" s="293"/>
      <c r="AA330" s="316"/>
    </row>
    <row r="331" spans="1:27" ht="24.95" hidden="1" customHeight="1" x14ac:dyDescent="0.2">
      <c r="A331" s="78"/>
      <c r="B331" s="30"/>
      <c r="C331" s="28"/>
      <c r="D331" s="150"/>
      <c r="E331" s="150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  <c r="X331" s="156">
        <f>SUM(T331:W331)</f>
        <v>0</v>
      </c>
      <c r="Y331" s="229">
        <f>R331+X331</f>
        <v>0</v>
      </c>
      <c r="Z331" s="293"/>
      <c r="AA331" s="316"/>
    </row>
    <row r="332" spans="1:27" ht="24.95" hidden="1" customHeight="1" x14ac:dyDescent="0.2">
      <c r="A332" s="78"/>
      <c r="B332" s="30"/>
      <c r="C332" s="28"/>
      <c r="D332" s="150"/>
      <c r="E332" s="150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  <c r="X332" s="156">
        <f>SUM(T332:W332)</f>
        <v>0</v>
      </c>
      <c r="Y332" s="229">
        <f>R332+X332</f>
        <v>0</v>
      </c>
      <c r="Z332" s="293"/>
      <c r="AA332" s="316"/>
    </row>
    <row r="333" spans="1:27" ht="24.95" hidden="1" customHeight="1" x14ac:dyDescent="0.2">
      <c r="A333" s="78"/>
      <c r="B333" s="30"/>
      <c r="C333" s="28"/>
      <c r="D333" s="150"/>
      <c r="E333" s="150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56">
        <f t="shared" si="47"/>
        <v>0</v>
      </c>
      <c r="Y333" s="229">
        <f t="shared" si="48"/>
        <v>0</v>
      </c>
      <c r="Z333" s="293"/>
      <c r="AA333" s="316"/>
    </row>
    <row r="334" spans="1:27" ht="24.95" hidden="1" customHeight="1" x14ac:dyDescent="0.2">
      <c r="A334" s="78"/>
      <c r="B334" s="30"/>
      <c r="C334" s="28"/>
      <c r="D334" s="150"/>
      <c r="E334" s="150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  <c r="X334" s="156">
        <f t="shared" si="47"/>
        <v>0</v>
      </c>
      <c r="Y334" s="229">
        <f t="shared" si="48"/>
        <v>0</v>
      </c>
      <c r="Z334" s="293"/>
      <c r="AA334" s="316"/>
    </row>
    <row r="335" spans="1:27" ht="24.95" hidden="1" customHeight="1" x14ac:dyDescent="0.2">
      <c r="A335" s="78"/>
      <c r="B335" s="30"/>
      <c r="C335" s="28"/>
      <c r="D335" s="150"/>
      <c r="E335" s="150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  <c r="X335" s="156">
        <f t="shared" si="47"/>
        <v>0</v>
      </c>
      <c r="Y335" s="229">
        <f t="shared" si="48"/>
        <v>0</v>
      </c>
      <c r="Z335" s="293"/>
      <c r="AA335" s="316"/>
    </row>
    <row r="336" spans="1:27" ht="24.95" hidden="1" customHeight="1" x14ac:dyDescent="0.2">
      <c r="A336" s="78"/>
      <c r="B336" s="30"/>
      <c r="C336" s="28"/>
      <c r="D336" s="150"/>
      <c r="E336" s="150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  <c r="X336" s="156">
        <f t="shared" si="47"/>
        <v>0</v>
      </c>
      <c r="Y336" s="229">
        <f t="shared" si="48"/>
        <v>0</v>
      </c>
      <c r="Z336" s="293"/>
      <c r="AA336" s="316"/>
    </row>
    <row r="337" spans="1:27" ht="24.95" hidden="1" customHeight="1" x14ac:dyDescent="0.2">
      <c r="A337" s="78"/>
      <c r="B337" s="30"/>
      <c r="C337" s="28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  <c r="X337" s="156">
        <f t="shared" si="47"/>
        <v>0</v>
      </c>
      <c r="Y337" s="229">
        <f t="shared" si="48"/>
        <v>0</v>
      </c>
      <c r="Z337" s="293"/>
      <c r="AA337" s="316"/>
    </row>
    <row r="338" spans="1:27" ht="24.95" hidden="1" customHeight="1" x14ac:dyDescent="0.2">
      <c r="A338" s="78"/>
      <c r="B338" s="30"/>
      <c r="C338" s="28"/>
      <c r="D338" s="150"/>
      <c r="E338" s="150"/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  <c r="X338" s="156">
        <f t="shared" si="47"/>
        <v>0</v>
      </c>
      <c r="Y338" s="229">
        <f t="shared" si="48"/>
        <v>0</v>
      </c>
      <c r="Z338" s="293"/>
      <c r="AA338" s="316"/>
    </row>
    <row r="339" spans="1:27" ht="24.95" hidden="1" customHeight="1" x14ac:dyDescent="0.2">
      <c r="A339" s="78"/>
      <c r="B339" s="30"/>
      <c r="C339" s="28"/>
      <c r="D339" s="150"/>
      <c r="E339" s="150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6">
        <f t="shared" si="47"/>
        <v>0</v>
      </c>
      <c r="Y339" s="229">
        <f t="shared" si="48"/>
        <v>0</v>
      </c>
      <c r="Z339" s="293"/>
      <c r="AA339" s="316"/>
    </row>
    <row r="340" spans="1:27" ht="24.95" hidden="1" customHeight="1" x14ac:dyDescent="0.2">
      <c r="A340" s="78"/>
      <c r="B340" s="30"/>
      <c r="C340" s="28"/>
      <c r="D340" s="150"/>
      <c r="E340" s="150"/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  <c r="X340" s="156">
        <f t="shared" si="47"/>
        <v>0</v>
      </c>
      <c r="Y340" s="229">
        <f t="shared" si="48"/>
        <v>0</v>
      </c>
      <c r="Z340" s="293"/>
      <c r="AA340" s="316"/>
    </row>
    <row r="341" spans="1:27" ht="24.95" hidden="1" customHeight="1" x14ac:dyDescent="0.2">
      <c r="A341" s="78"/>
      <c r="B341" s="30"/>
      <c r="C341" s="28"/>
      <c r="D341" s="150"/>
      <c r="E341" s="150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  <c r="X341" s="156">
        <f>SUM(T341:W341)</f>
        <v>0</v>
      </c>
      <c r="Y341" s="229">
        <f>R341+X341</f>
        <v>0</v>
      </c>
      <c r="Z341" s="293"/>
      <c r="AA341" s="316"/>
    </row>
    <row r="342" spans="1:27" ht="24.95" hidden="1" customHeight="1" x14ac:dyDescent="0.2">
      <c r="A342" s="78"/>
      <c r="B342" s="220"/>
      <c r="C342" s="28"/>
      <c r="D342" s="150"/>
      <c r="E342" s="150"/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  <c r="X342" s="156">
        <f>SUM(T342:W342)</f>
        <v>0</v>
      </c>
      <c r="Y342" s="229">
        <f>R342+X342</f>
        <v>0</v>
      </c>
      <c r="Z342" s="293"/>
      <c r="AA342" s="316"/>
    </row>
    <row r="343" spans="1:27" ht="24.95" hidden="1" customHeight="1" x14ac:dyDescent="0.2">
      <c r="A343" s="78"/>
      <c r="B343" s="220"/>
      <c r="C343" s="28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  <c r="X343" s="156">
        <f t="shared" ref="X343:X350" si="59">SUM(T343:W343)</f>
        <v>0</v>
      </c>
      <c r="Y343" s="229">
        <f t="shared" ref="Y343:Y350" si="60">R343+X343</f>
        <v>0</v>
      </c>
      <c r="Z343" s="293"/>
      <c r="AA343" s="316"/>
    </row>
    <row r="344" spans="1:27" ht="24.95" hidden="1" customHeight="1" x14ac:dyDescent="0.2">
      <c r="A344" s="78"/>
      <c r="B344" s="220"/>
      <c r="C344" s="28"/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  <c r="X344" s="156">
        <f t="shared" si="59"/>
        <v>0</v>
      </c>
      <c r="Y344" s="229">
        <f t="shared" si="60"/>
        <v>0</v>
      </c>
      <c r="Z344" s="293"/>
      <c r="AA344" s="316"/>
    </row>
    <row r="345" spans="1:27" ht="24.95" hidden="1" customHeight="1" x14ac:dyDescent="0.2">
      <c r="A345" s="78"/>
      <c r="B345" s="220"/>
      <c r="C345" s="28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  <c r="X345" s="156">
        <f t="shared" si="59"/>
        <v>0</v>
      </c>
      <c r="Y345" s="229">
        <f t="shared" si="60"/>
        <v>0</v>
      </c>
      <c r="Z345" s="293"/>
      <c r="AA345" s="316"/>
    </row>
    <row r="346" spans="1:27" ht="24.95" hidden="1" customHeight="1" x14ac:dyDescent="0.2">
      <c r="A346" s="78"/>
      <c r="B346" s="220"/>
      <c r="C346" s="28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  <c r="X346" s="156">
        <f t="shared" si="59"/>
        <v>0</v>
      </c>
      <c r="Y346" s="229">
        <f t="shared" si="60"/>
        <v>0</v>
      </c>
      <c r="Z346" s="293"/>
      <c r="AA346" s="316"/>
    </row>
    <row r="347" spans="1:27" ht="24.95" hidden="1" customHeight="1" x14ac:dyDescent="0.2">
      <c r="A347" s="78"/>
      <c r="B347" s="220"/>
      <c r="C347" s="28"/>
      <c r="D347" s="150"/>
      <c r="E347" s="150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6">
        <f t="shared" si="59"/>
        <v>0</v>
      </c>
      <c r="Y347" s="229">
        <f t="shared" si="60"/>
        <v>0</v>
      </c>
      <c r="Z347" s="293"/>
      <c r="AA347" s="316"/>
    </row>
    <row r="348" spans="1:27" ht="24.95" hidden="1" customHeight="1" x14ac:dyDescent="0.2">
      <c r="A348" s="78"/>
      <c r="B348" s="220"/>
      <c r="C348" s="28"/>
      <c r="D348" s="150"/>
      <c r="E348" s="150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  <c r="X348" s="156">
        <f t="shared" si="59"/>
        <v>0</v>
      </c>
      <c r="Y348" s="229">
        <f t="shared" si="60"/>
        <v>0</v>
      </c>
      <c r="Z348" s="293"/>
      <c r="AA348" s="316"/>
    </row>
    <row r="349" spans="1:27" ht="24.95" hidden="1" customHeight="1" x14ac:dyDescent="0.2">
      <c r="A349" s="78"/>
      <c r="B349" s="220"/>
      <c r="C349" s="28"/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  <c r="X349" s="156">
        <f t="shared" si="59"/>
        <v>0</v>
      </c>
      <c r="Y349" s="229">
        <f t="shared" si="60"/>
        <v>0</v>
      </c>
      <c r="Z349" s="293"/>
      <c r="AA349" s="316"/>
    </row>
    <row r="350" spans="1:27" ht="24.95" hidden="1" customHeight="1" x14ac:dyDescent="0.2">
      <c r="A350" s="78"/>
      <c r="B350" s="220"/>
      <c r="C350" s="28"/>
      <c r="D350" s="150"/>
      <c r="E350" s="150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6">
        <f t="shared" si="59"/>
        <v>0</v>
      </c>
      <c r="Y350" s="229">
        <f t="shared" si="60"/>
        <v>0</v>
      </c>
      <c r="Z350" s="293"/>
      <c r="AA350" s="316"/>
    </row>
    <row r="351" spans="1:27" ht="24.95" hidden="1" customHeight="1" x14ac:dyDescent="0.2">
      <c r="A351" s="78"/>
      <c r="B351" s="30"/>
      <c r="C351" s="28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6">
        <f t="shared" ref="X351:X360" si="61">SUM(T351:W351)</f>
        <v>0</v>
      </c>
      <c r="Y351" s="229">
        <f t="shared" ref="Y351:Y360" si="62">R351+X351</f>
        <v>0</v>
      </c>
      <c r="Z351" s="293"/>
      <c r="AA351" s="316"/>
    </row>
    <row r="352" spans="1:27" ht="24.95" hidden="1" customHeight="1" x14ac:dyDescent="0.2">
      <c r="A352" s="78"/>
      <c r="B352" s="30"/>
      <c r="C352" s="28"/>
      <c r="D352" s="150"/>
      <c r="E352" s="150"/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  <c r="X352" s="156">
        <f t="shared" si="61"/>
        <v>0</v>
      </c>
      <c r="Y352" s="229">
        <f t="shared" si="62"/>
        <v>0</v>
      </c>
      <c r="Z352" s="293"/>
      <c r="AA352" s="316"/>
    </row>
    <row r="353" spans="1:27" ht="24.95" hidden="1" customHeight="1" x14ac:dyDescent="0.2">
      <c r="A353" s="78"/>
      <c r="B353" s="30"/>
      <c r="C353" s="28"/>
      <c r="D353" s="150"/>
      <c r="E353" s="150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  <c r="X353" s="156">
        <f t="shared" si="61"/>
        <v>0</v>
      </c>
      <c r="Y353" s="229">
        <f t="shared" si="62"/>
        <v>0</v>
      </c>
      <c r="Z353" s="293"/>
      <c r="AA353" s="316"/>
    </row>
    <row r="354" spans="1:27" ht="24.95" hidden="1" customHeight="1" x14ac:dyDescent="0.2">
      <c r="A354" s="78"/>
      <c r="B354" s="30"/>
      <c r="C354" s="28"/>
      <c r="D354" s="150"/>
      <c r="E354" s="150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56">
        <f t="shared" si="61"/>
        <v>0</v>
      </c>
      <c r="Y354" s="229">
        <f t="shared" si="62"/>
        <v>0</v>
      </c>
      <c r="Z354" s="293"/>
      <c r="AA354" s="316"/>
    </row>
    <row r="355" spans="1:27" ht="24.95" hidden="1" customHeight="1" x14ac:dyDescent="0.2">
      <c r="A355" s="78"/>
      <c r="B355" s="30"/>
      <c r="C355" s="28"/>
      <c r="D355" s="150"/>
      <c r="E355" s="150"/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  <c r="X355" s="156">
        <f t="shared" si="61"/>
        <v>0</v>
      </c>
      <c r="Y355" s="229">
        <f t="shared" si="62"/>
        <v>0</v>
      </c>
      <c r="Z355" s="293"/>
      <c r="AA355" s="316"/>
    </row>
    <row r="356" spans="1:27" ht="24.95" hidden="1" customHeight="1" x14ac:dyDescent="0.2">
      <c r="A356" s="78"/>
      <c r="B356" s="30"/>
      <c r="C356" s="28"/>
      <c r="D356" s="150"/>
      <c r="E356" s="150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  <c r="X356" s="156">
        <f t="shared" si="61"/>
        <v>0</v>
      </c>
      <c r="Y356" s="229">
        <f>R356+X356</f>
        <v>0</v>
      </c>
      <c r="Z356" s="293"/>
      <c r="AA356" s="316"/>
    </row>
    <row r="357" spans="1:27" ht="24.95" hidden="1" customHeight="1" x14ac:dyDescent="0.2">
      <c r="A357" s="78"/>
      <c r="B357" s="30"/>
      <c r="C357" s="28"/>
      <c r="D357" s="150"/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  <c r="X357" s="156">
        <f t="shared" si="61"/>
        <v>0</v>
      </c>
      <c r="Y357" s="229">
        <f t="shared" si="62"/>
        <v>0</v>
      </c>
      <c r="Z357" s="293"/>
      <c r="AA357" s="316"/>
    </row>
    <row r="358" spans="1:27" ht="24.95" hidden="1" customHeight="1" x14ac:dyDescent="0.2">
      <c r="A358" s="78"/>
      <c r="B358" s="30"/>
      <c r="C358" s="28"/>
      <c r="D358" s="150"/>
      <c r="E358" s="150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  <c r="X358" s="156">
        <f t="shared" si="61"/>
        <v>0</v>
      </c>
      <c r="Y358" s="229">
        <f t="shared" si="62"/>
        <v>0</v>
      </c>
      <c r="Z358" s="293"/>
      <c r="AA358" s="316"/>
    </row>
    <row r="359" spans="1:27" ht="24.95" hidden="1" customHeight="1" x14ac:dyDescent="0.2">
      <c r="A359" s="78"/>
      <c r="B359" s="30"/>
      <c r="C359" s="28"/>
      <c r="D359" s="150"/>
      <c r="E359" s="150"/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  <c r="X359" s="156">
        <f t="shared" si="61"/>
        <v>0</v>
      </c>
      <c r="Y359" s="229">
        <f t="shared" si="62"/>
        <v>0</v>
      </c>
      <c r="Z359" s="293"/>
      <c r="AA359" s="316"/>
    </row>
    <row r="360" spans="1:27" ht="24.95" hidden="1" customHeight="1" x14ac:dyDescent="0.2">
      <c r="A360" s="78"/>
      <c r="B360" s="30"/>
      <c r="C360" s="28"/>
      <c r="D360" s="150"/>
      <c r="E360" s="150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  <c r="X360" s="156">
        <f t="shared" si="61"/>
        <v>0</v>
      </c>
      <c r="Y360" s="229">
        <f t="shared" si="62"/>
        <v>0</v>
      </c>
      <c r="Z360" s="293"/>
      <c r="AA360" s="316"/>
    </row>
    <row r="361" spans="1:27" ht="24.95" hidden="1" customHeight="1" x14ac:dyDescent="0.2">
      <c r="A361" s="78"/>
      <c r="B361" s="452"/>
      <c r="C361" s="41"/>
      <c r="D361" s="150"/>
      <c r="E361" s="150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  <c r="X361" s="156"/>
      <c r="Y361" s="229"/>
      <c r="Z361" s="293"/>
      <c r="AA361" s="316"/>
    </row>
    <row r="362" spans="1:27" ht="17.25" customHeight="1" thickBot="1" x14ac:dyDescent="0.25">
      <c r="A362" s="78"/>
      <c r="B362" s="85"/>
      <c r="C362" s="41"/>
      <c r="D362" s="150"/>
      <c r="E362" s="150"/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70"/>
      <c r="T362" s="70"/>
      <c r="U362" s="70"/>
      <c r="V362" s="70"/>
      <c r="W362" s="70"/>
      <c r="X362" s="156"/>
      <c r="Y362" s="229"/>
      <c r="Z362" s="293"/>
      <c r="AA362" s="308"/>
    </row>
    <row r="363" spans="1:27" ht="24.95" customHeight="1" thickTop="1" thickBot="1" x14ac:dyDescent="0.25">
      <c r="A363" s="251"/>
      <c r="B363" s="42" t="s">
        <v>144</v>
      </c>
      <c r="C363" s="44" t="s">
        <v>19</v>
      </c>
      <c r="D363" s="82">
        <f t="shared" ref="D363:Q363" si="63">SUM(D265:D362)</f>
        <v>-1250</v>
      </c>
      <c r="E363" s="82">
        <f t="shared" si="63"/>
        <v>-235</v>
      </c>
      <c r="F363" s="82">
        <f t="shared" si="63"/>
        <v>2299.8999999999996</v>
      </c>
      <c r="G363" s="82">
        <f t="shared" si="63"/>
        <v>0</v>
      </c>
      <c r="H363" s="82">
        <f t="shared" si="63"/>
        <v>0</v>
      </c>
      <c r="I363" s="82">
        <f t="shared" si="63"/>
        <v>0</v>
      </c>
      <c r="J363" s="82">
        <f t="shared" si="63"/>
        <v>1442</v>
      </c>
      <c r="K363" s="82">
        <f t="shared" si="63"/>
        <v>-319006.2</v>
      </c>
      <c r="L363" s="82">
        <f t="shared" si="63"/>
        <v>287221</v>
      </c>
      <c r="M363" s="82">
        <f t="shared" si="63"/>
        <v>23604</v>
      </c>
      <c r="N363" s="82">
        <f t="shared" si="63"/>
        <v>0</v>
      </c>
      <c r="O363" s="82">
        <f t="shared" si="63"/>
        <v>0</v>
      </c>
      <c r="P363" s="82">
        <f t="shared" si="63"/>
        <v>0</v>
      </c>
      <c r="Q363" s="82">
        <f t="shared" si="63"/>
        <v>208846</v>
      </c>
      <c r="R363" s="82">
        <f t="shared" si="50"/>
        <v>202921.7</v>
      </c>
      <c r="S363" s="82"/>
      <c r="T363" s="82">
        <f>SUM(T265:T362)</f>
        <v>0</v>
      </c>
      <c r="U363" s="82">
        <f>SUM(U265:U362)</f>
        <v>0</v>
      </c>
      <c r="V363" s="82">
        <f>SUM(V265:V362)</f>
        <v>0</v>
      </c>
      <c r="W363" s="82">
        <f>SUM(W265:W362)</f>
        <v>0</v>
      </c>
      <c r="X363" s="83">
        <f t="shared" si="47"/>
        <v>0</v>
      </c>
      <c r="Y363" s="83">
        <f t="shared" si="48"/>
        <v>202921.7</v>
      </c>
      <c r="Z363" s="260">
        <f>SUM(Z265:Z362)</f>
        <v>46223.897999999994</v>
      </c>
      <c r="AA363" s="309"/>
    </row>
    <row r="364" spans="1:27" ht="24.95" customHeight="1" thickTop="1" x14ac:dyDescent="0.2">
      <c r="A364" s="199"/>
      <c r="B364" s="214"/>
      <c r="C364" s="215"/>
      <c r="D364" s="252"/>
      <c r="E364" s="252"/>
      <c r="F364" s="252"/>
      <c r="G364" s="252"/>
      <c r="H364" s="252"/>
      <c r="I364" s="252"/>
      <c r="J364" s="252"/>
      <c r="K364" s="252"/>
      <c r="L364" s="252"/>
      <c r="M364" s="252"/>
      <c r="N364" s="252"/>
      <c r="O364" s="252"/>
      <c r="P364" s="252"/>
      <c r="Q364" s="252"/>
      <c r="R364" s="252">
        <f t="shared" ref="R364:R381" si="64">SUM(D364:Q364)</f>
        <v>0</v>
      </c>
      <c r="S364" s="252"/>
      <c r="T364" s="252"/>
      <c r="U364" s="252"/>
      <c r="V364" s="252"/>
      <c r="W364" s="252"/>
      <c r="X364" s="253">
        <f t="shared" ref="X364:X369" si="65">SUM(T364:W364)</f>
        <v>0</v>
      </c>
      <c r="Y364" s="334"/>
      <c r="Z364" s="299"/>
      <c r="AA364" s="309"/>
    </row>
    <row r="365" spans="1:27" ht="16.5" customHeight="1" x14ac:dyDescent="0.2">
      <c r="A365" s="199"/>
      <c r="B365" s="72" t="s">
        <v>307</v>
      </c>
      <c r="C365" s="39" t="s">
        <v>20</v>
      </c>
      <c r="D365" s="161"/>
      <c r="E365" s="161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>
        <f t="shared" si="64"/>
        <v>0</v>
      </c>
      <c r="S365" s="161"/>
      <c r="T365" s="161"/>
      <c r="U365" s="161"/>
      <c r="V365" s="161"/>
      <c r="W365" s="161"/>
      <c r="X365" s="162">
        <f t="shared" si="65"/>
        <v>0</v>
      </c>
      <c r="Y365" s="229">
        <f t="shared" ref="Y365:Y369" si="66">R365+X365</f>
        <v>0</v>
      </c>
      <c r="Z365" s="348">
        <f>-62726-38078</f>
        <v>-100804</v>
      </c>
      <c r="AA365" s="316"/>
    </row>
    <row r="366" spans="1:27" ht="16.5" customHeight="1" x14ac:dyDescent="0.25">
      <c r="A366" s="199"/>
      <c r="B366" s="87" t="s">
        <v>308</v>
      </c>
      <c r="C366" s="39" t="s">
        <v>20</v>
      </c>
      <c r="D366" s="161"/>
      <c r="E366" s="161"/>
      <c r="F366" s="161">
        <f>-10000-6420.597</f>
        <v>-16420.597000000002</v>
      </c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>
        <f t="shared" si="64"/>
        <v>-16420.597000000002</v>
      </c>
      <c r="S366" s="161"/>
      <c r="T366" s="161"/>
      <c r="U366" s="161"/>
      <c r="V366" s="161"/>
      <c r="W366" s="161"/>
      <c r="X366" s="162">
        <f t="shared" si="65"/>
        <v>0</v>
      </c>
      <c r="Y366" s="229">
        <f t="shared" si="66"/>
        <v>-16420.597000000002</v>
      </c>
      <c r="Z366" s="348"/>
      <c r="AA366" s="316"/>
    </row>
    <row r="367" spans="1:27" ht="16.5" customHeight="1" x14ac:dyDescent="0.25">
      <c r="A367" s="26"/>
      <c r="B367" s="87" t="s">
        <v>309</v>
      </c>
      <c r="C367" s="39" t="s">
        <v>20</v>
      </c>
      <c r="D367" s="161"/>
      <c r="E367" s="161"/>
      <c r="F367" s="161">
        <f>-6281-850</f>
        <v>-7131</v>
      </c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>
        <f t="shared" si="64"/>
        <v>-7131</v>
      </c>
      <c r="S367" s="161"/>
      <c r="T367" s="161"/>
      <c r="U367" s="161"/>
      <c r="V367" s="161"/>
      <c r="W367" s="161"/>
      <c r="X367" s="162">
        <f t="shared" si="65"/>
        <v>0</v>
      </c>
      <c r="Y367" s="229">
        <f t="shared" si="66"/>
        <v>-7131</v>
      </c>
      <c r="Z367" s="348"/>
      <c r="AA367" s="316"/>
    </row>
    <row r="368" spans="1:27" ht="16.5" customHeight="1" x14ac:dyDescent="0.25">
      <c r="A368" s="26"/>
      <c r="B368" s="87" t="s">
        <v>537</v>
      </c>
      <c r="C368" s="39" t="s">
        <v>20</v>
      </c>
      <c r="D368" s="161"/>
      <c r="E368" s="161"/>
      <c r="F368" s="161">
        <v>-100</v>
      </c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>
        <f t="shared" si="64"/>
        <v>-100</v>
      </c>
      <c r="S368" s="161"/>
      <c r="T368" s="161"/>
      <c r="U368" s="161"/>
      <c r="V368" s="161"/>
      <c r="W368" s="161"/>
      <c r="X368" s="162">
        <f t="shared" si="65"/>
        <v>0</v>
      </c>
      <c r="Y368" s="229">
        <f t="shared" si="66"/>
        <v>-100</v>
      </c>
      <c r="Z368" s="348"/>
      <c r="AA368" s="316"/>
    </row>
    <row r="369" spans="1:27" ht="16.5" customHeight="1" x14ac:dyDescent="0.25">
      <c r="A369" s="26"/>
      <c r="B369" s="87" t="s">
        <v>538</v>
      </c>
      <c r="C369" s="39" t="s">
        <v>20</v>
      </c>
      <c r="D369" s="161">
        <v>-150</v>
      </c>
      <c r="E369" s="161">
        <v>-80</v>
      </c>
      <c r="F369" s="161">
        <f>-13430-3627</f>
        <v>-17057</v>
      </c>
      <c r="G369" s="161"/>
      <c r="H369" s="161"/>
      <c r="I369" s="161"/>
      <c r="J369" s="161">
        <f>-5928</f>
        <v>-5928</v>
      </c>
      <c r="K369" s="161"/>
      <c r="L369" s="161"/>
      <c r="M369" s="161"/>
      <c r="N369" s="161"/>
      <c r="O369" s="161"/>
      <c r="P369" s="161"/>
      <c r="Q369" s="161"/>
      <c r="R369" s="161">
        <f t="shared" si="64"/>
        <v>-23215</v>
      </c>
      <c r="S369" s="161"/>
      <c r="T369" s="161"/>
      <c r="U369" s="161"/>
      <c r="V369" s="161"/>
      <c r="W369" s="161"/>
      <c r="X369" s="162">
        <f t="shared" si="65"/>
        <v>0</v>
      </c>
      <c r="Y369" s="229">
        <f t="shared" si="66"/>
        <v>-23215</v>
      </c>
      <c r="Z369" s="348"/>
      <c r="AA369" s="316"/>
    </row>
    <row r="370" spans="1:27" ht="16.5" customHeight="1" x14ac:dyDescent="0.25">
      <c r="A370" s="26"/>
      <c r="B370" s="87" t="s">
        <v>314</v>
      </c>
      <c r="C370" s="39" t="s">
        <v>20</v>
      </c>
      <c r="D370" s="161"/>
      <c r="E370" s="161"/>
      <c r="F370" s="161">
        <f>9710+2622</f>
        <v>12332</v>
      </c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1">
        <f t="shared" si="64"/>
        <v>12332</v>
      </c>
      <c r="S370" s="161"/>
      <c r="T370" s="161"/>
      <c r="U370" s="161"/>
      <c r="V370" s="161"/>
      <c r="W370" s="161"/>
      <c r="X370" s="162">
        <f t="shared" ref="X370:X389" si="67">SUM(T370:W370)</f>
        <v>0</v>
      </c>
      <c r="Y370" s="229">
        <f t="shared" ref="Y370:Y389" si="68">R370+X370</f>
        <v>12332</v>
      </c>
      <c r="Z370" s="348"/>
      <c r="AA370" s="316"/>
    </row>
    <row r="371" spans="1:27" ht="16.5" customHeight="1" x14ac:dyDescent="0.25">
      <c r="A371" s="26"/>
      <c r="B371" s="87" t="s">
        <v>317</v>
      </c>
      <c r="C371" s="39" t="s">
        <v>20</v>
      </c>
      <c r="D371" s="161"/>
      <c r="E371" s="161"/>
      <c r="F371" s="161">
        <f>-3000-810-4000-1080</f>
        <v>-8890</v>
      </c>
      <c r="G371" s="161"/>
      <c r="H371" s="161"/>
      <c r="I371" s="161"/>
      <c r="J371" s="161"/>
      <c r="K371" s="161">
        <v>40000</v>
      </c>
      <c r="L371" s="161"/>
      <c r="M371" s="161"/>
      <c r="N371" s="161"/>
      <c r="O371" s="161"/>
      <c r="P371" s="161"/>
      <c r="Q371" s="161"/>
      <c r="R371" s="161">
        <f t="shared" si="64"/>
        <v>31110</v>
      </c>
      <c r="S371" s="161"/>
      <c r="T371" s="161"/>
      <c r="U371" s="161"/>
      <c r="V371" s="161"/>
      <c r="W371" s="161"/>
      <c r="X371" s="162">
        <f t="shared" si="67"/>
        <v>0</v>
      </c>
      <c r="Y371" s="229">
        <f t="shared" si="68"/>
        <v>31110</v>
      </c>
      <c r="Z371" s="348"/>
      <c r="AA371" s="316"/>
    </row>
    <row r="372" spans="1:27" ht="16.5" customHeight="1" x14ac:dyDescent="0.25">
      <c r="A372" s="26"/>
      <c r="B372" s="87" t="s">
        <v>318</v>
      </c>
      <c r="C372" s="39" t="s">
        <v>20</v>
      </c>
      <c r="D372" s="161">
        <v>-866</v>
      </c>
      <c r="E372" s="161"/>
      <c r="F372" s="161">
        <f>-7898-95-460-125</f>
        <v>-8578</v>
      </c>
      <c r="G372" s="161">
        <v>-3520</v>
      </c>
      <c r="H372" s="161"/>
      <c r="I372" s="161">
        <f>-1417-3275</f>
        <v>-4692</v>
      </c>
      <c r="J372" s="161">
        <f>-691-9435</f>
        <v>-10126</v>
      </c>
      <c r="K372" s="161"/>
      <c r="L372" s="161"/>
      <c r="M372" s="161"/>
      <c r="N372" s="161"/>
      <c r="O372" s="161"/>
      <c r="P372" s="161"/>
      <c r="Q372" s="161"/>
      <c r="R372" s="161">
        <f t="shared" si="64"/>
        <v>-27782</v>
      </c>
      <c r="S372" s="161"/>
      <c r="T372" s="161"/>
      <c r="U372" s="161"/>
      <c r="V372" s="161"/>
      <c r="W372" s="161"/>
      <c r="X372" s="162">
        <f t="shared" si="67"/>
        <v>0</v>
      </c>
      <c r="Y372" s="229">
        <f t="shared" si="68"/>
        <v>-27782</v>
      </c>
      <c r="Z372" s="348"/>
      <c r="AA372" s="316"/>
    </row>
    <row r="373" spans="1:27" ht="16.5" customHeight="1" x14ac:dyDescent="0.25">
      <c r="A373" s="26"/>
      <c r="B373" s="87" t="s">
        <v>320</v>
      </c>
      <c r="C373" s="39" t="s">
        <v>20</v>
      </c>
      <c r="D373" s="161"/>
      <c r="E373" s="161"/>
      <c r="F373" s="161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>
        <f t="shared" si="64"/>
        <v>0</v>
      </c>
      <c r="S373" s="161"/>
      <c r="T373" s="161"/>
      <c r="U373" s="161"/>
      <c r="V373" s="161"/>
      <c r="W373" s="161"/>
      <c r="X373" s="162">
        <f t="shared" ref="X373" si="69">SUM(T373:W373)</f>
        <v>0</v>
      </c>
      <c r="Y373" s="229">
        <f t="shared" ref="Y373" si="70">R373+X373</f>
        <v>0</v>
      </c>
      <c r="Z373" s="348">
        <v>-11173.403</v>
      </c>
      <c r="AA373" s="316"/>
    </row>
    <row r="374" spans="1:27" ht="16.5" customHeight="1" x14ac:dyDescent="0.25">
      <c r="A374" s="26"/>
      <c r="B374" s="87" t="s">
        <v>319</v>
      </c>
      <c r="C374" s="39" t="s">
        <v>20</v>
      </c>
      <c r="D374" s="161"/>
      <c r="E374" s="161"/>
      <c r="F374" s="161">
        <f>-2749-135-2177-351</f>
        <v>-5412</v>
      </c>
      <c r="G374" s="161">
        <f>-29100-16400</f>
        <v>-45500</v>
      </c>
      <c r="H374" s="161"/>
      <c r="I374" s="161"/>
      <c r="J374" s="161">
        <v>-7500</v>
      </c>
      <c r="K374" s="161"/>
      <c r="L374" s="161"/>
      <c r="M374" s="161"/>
      <c r="N374" s="161"/>
      <c r="O374" s="161"/>
      <c r="P374" s="161"/>
      <c r="Q374" s="161">
        <v>-4000</v>
      </c>
      <c r="R374" s="161">
        <f t="shared" si="64"/>
        <v>-62412</v>
      </c>
      <c r="S374" s="161"/>
      <c r="T374" s="161"/>
      <c r="U374" s="161"/>
      <c r="V374" s="161"/>
      <c r="W374" s="161"/>
      <c r="X374" s="162">
        <f t="shared" si="67"/>
        <v>0</v>
      </c>
      <c r="Y374" s="229">
        <f t="shared" si="68"/>
        <v>-62412</v>
      </c>
      <c r="Z374" s="348"/>
      <c r="AA374" s="316"/>
    </row>
    <row r="375" spans="1:27" ht="16.5" customHeight="1" x14ac:dyDescent="0.25">
      <c r="A375" s="26"/>
      <c r="B375" s="87" t="s">
        <v>552</v>
      </c>
      <c r="C375" s="39" t="s">
        <v>20</v>
      </c>
      <c r="D375" s="161"/>
      <c r="E375" s="161"/>
      <c r="F375" s="161">
        <v>-21</v>
      </c>
      <c r="G375" s="161"/>
      <c r="H375" s="161"/>
      <c r="I375" s="161"/>
      <c r="J375" s="161"/>
      <c r="K375" s="161"/>
      <c r="L375" s="161">
        <v>21</v>
      </c>
      <c r="M375" s="161"/>
      <c r="N375" s="161"/>
      <c r="O375" s="161"/>
      <c r="P375" s="161"/>
      <c r="Q375" s="161"/>
      <c r="R375" s="161">
        <f t="shared" si="64"/>
        <v>0</v>
      </c>
      <c r="S375" s="161"/>
      <c r="T375" s="161"/>
      <c r="U375" s="161"/>
      <c r="V375" s="161"/>
      <c r="W375" s="161"/>
      <c r="X375" s="162">
        <f t="shared" ref="X375" si="71">SUM(T375:W375)</f>
        <v>0</v>
      </c>
      <c r="Y375" s="229">
        <f t="shared" ref="Y375" si="72">R375+X375</f>
        <v>0</v>
      </c>
      <c r="Z375" s="348"/>
      <c r="AA375" s="316"/>
    </row>
    <row r="376" spans="1:27" ht="16.5" customHeight="1" x14ac:dyDescent="0.25">
      <c r="A376" s="26"/>
      <c r="B376" s="625" t="s">
        <v>539</v>
      </c>
      <c r="C376" s="39" t="s">
        <v>20</v>
      </c>
      <c r="D376" s="161"/>
      <c r="E376" s="161"/>
      <c r="F376" s="161">
        <f>-42513-11039-2296-441</f>
        <v>-56289</v>
      </c>
      <c r="G376" s="161"/>
      <c r="H376" s="161"/>
      <c r="I376" s="161"/>
      <c r="J376" s="161">
        <v>-1300</v>
      </c>
      <c r="K376" s="161"/>
      <c r="L376" s="161">
        <f>-1471-396</f>
        <v>-1867</v>
      </c>
      <c r="M376" s="161"/>
      <c r="N376" s="161"/>
      <c r="O376" s="161"/>
      <c r="P376" s="161"/>
      <c r="Q376" s="161"/>
      <c r="R376" s="161">
        <f t="shared" si="64"/>
        <v>-59456</v>
      </c>
      <c r="S376" s="161"/>
      <c r="T376" s="161"/>
      <c r="U376" s="161"/>
      <c r="V376" s="161"/>
      <c r="W376" s="161"/>
      <c r="X376" s="162">
        <f t="shared" si="67"/>
        <v>0</v>
      </c>
      <c r="Y376" s="229">
        <f t="shared" si="68"/>
        <v>-59456</v>
      </c>
      <c r="Z376" s="348"/>
      <c r="AA376" s="316"/>
    </row>
    <row r="377" spans="1:27" ht="16.5" customHeight="1" x14ac:dyDescent="0.2">
      <c r="A377" s="26"/>
      <c r="B377" s="626" t="s">
        <v>540</v>
      </c>
      <c r="C377" s="39" t="s">
        <v>20</v>
      </c>
      <c r="D377" s="161"/>
      <c r="E377" s="161"/>
      <c r="F377" s="161">
        <f>-400-894-189-13378-2384</f>
        <v>-17245</v>
      </c>
      <c r="G377" s="161"/>
      <c r="H377" s="161"/>
      <c r="I377" s="161"/>
      <c r="J377" s="161"/>
      <c r="K377" s="161"/>
      <c r="L377" s="161">
        <f>-1400-378-104-28-5400-1458-5000-1350</f>
        <v>-15118</v>
      </c>
      <c r="M377" s="161"/>
      <c r="N377" s="161"/>
      <c r="O377" s="161"/>
      <c r="P377" s="161"/>
      <c r="Q377" s="161"/>
      <c r="R377" s="161">
        <f t="shared" si="64"/>
        <v>-32363</v>
      </c>
      <c r="S377" s="161"/>
      <c r="T377" s="161"/>
      <c r="U377" s="161"/>
      <c r="V377" s="161"/>
      <c r="W377" s="161"/>
      <c r="X377" s="162">
        <f t="shared" si="67"/>
        <v>0</v>
      </c>
      <c r="Y377" s="229">
        <f t="shared" si="68"/>
        <v>-32363</v>
      </c>
      <c r="Z377" s="348"/>
      <c r="AA377" s="316"/>
    </row>
    <row r="378" spans="1:27" ht="16.5" customHeight="1" x14ac:dyDescent="0.2">
      <c r="A378" s="26"/>
      <c r="B378" s="626" t="s">
        <v>541</v>
      </c>
      <c r="C378" s="39" t="s">
        <v>20</v>
      </c>
      <c r="D378" s="161"/>
      <c r="E378" s="161"/>
      <c r="F378" s="161">
        <f>-200-260-154-42-712-92</f>
        <v>-1460</v>
      </c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1">
        <f t="shared" si="64"/>
        <v>-1460</v>
      </c>
      <c r="S378" s="161"/>
      <c r="T378" s="161"/>
      <c r="U378" s="161"/>
      <c r="V378" s="161"/>
      <c r="W378" s="161"/>
      <c r="X378" s="162">
        <f t="shared" si="67"/>
        <v>0</v>
      </c>
      <c r="Y378" s="229">
        <f t="shared" si="68"/>
        <v>-1460</v>
      </c>
      <c r="Z378" s="348"/>
      <c r="AA378" s="316"/>
    </row>
    <row r="379" spans="1:27" ht="16.5" customHeight="1" x14ac:dyDescent="0.2">
      <c r="A379" s="26"/>
      <c r="B379" s="626" t="s">
        <v>542</v>
      </c>
      <c r="C379" s="39" t="s">
        <v>20</v>
      </c>
      <c r="D379" s="161"/>
      <c r="E379" s="161"/>
      <c r="F379" s="161">
        <f>-300-1263-342-52938-280</f>
        <v>-55123</v>
      </c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>
        <f t="shared" si="64"/>
        <v>-55123</v>
      </c>
      <c r="S379" s="161"/>
      <c r="T379" s="161"/>
      <c r="U379" s="161"/>
      <c r="V379" s="161"/>
      <c r="W379" s="161"/>
      <c r="X379" s="162">
        <f t="shared" ref="X379:X381" si="73">SUM(T379:W379)</f>
        <v>0</v>
      </c>
      <c r="Y379" s="229">
        <f t="shared" ref="Y379:Y381" si="74">R379+X379</f>
        <v>-55123</v>
      </c>
      <c r="Z379" s="348"/>
      <c r="AA379" s="316"/>
    </row>
    <row r="380" spans="1:27" ht="16.5" customHeight="1" x14ac:dyDescent="0.2">
      <c r="A380" s="26"/>
      <c r="B380" s="626" t="s">
        <v>543</v>
      </c>
      <c r="C380" s="39" t="s">
        <v>20</v>
      </c>
      <c r="D380" s="161"/>
      <c r="E380" s="161"/>
      <c r="F380" s="161">
        <f>-11970-8250</f>
        <v>-20220</v>
      </c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1">
        <f t="shared" si="64"/>
        <v>-20220</v>
      </c>
      <c r="S380" s="161"/>
      <c r="T380" s="161"/>
      <c r="U380" s="161"/>
      <c r="V380" s="161"/>
      <c r="W380" s="161"/>
      <c r="X380" s="162">
        <f t="shared" si="73"/>
        <v>0</v>
      </c>
      <c r="Y380" s="229">
        <f t="shared" si="74"/>
        <v>-20220</v>
      </c>
      <c r="Z380" s="348"/>
      <c r="AA380" s="316"/>
    </row>
    <row r="381" spans="1:27" ht="16.5" customHeight="1" x14ac:dyDescent="0.2">
      <c r="A381" s="26"/>
      <c r="B381" s="626" t="s">
        <v>547</v>
      </c>
      <c r="C381" s="39" t="s">
        <v>20</v>
      </c>
      <c r="D381" s="161"/>
      <c r="E381" s="161"/>
      <c r="F381" s="161">
        <v>-1270</v>
      </c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>
        <f t="shared" si="64"/>
        <v>-1270</v>
      </c>
      <c r="S381" s="161"/>
      <c r="T381" s="161"/>
      <c r="U381" s="161"/>
      <c r="V381" s="161"/>
      <c r="W381" s="161"/>
      <c r="X381" s="162">
        <f t="shared" si="73"/>
        <v>0</v>
      </c>
      <c r="Y381" s="229">
        <f t="shared" si="74"/>
        <v>-1270</v>
      </c>
      <c r="Z381" s="348"/>
      <c r="AA381" s="316"/>
    </row>
    <row r="382" spans="1:27" ht="16.5" customHeight="1" x14ac:dyDescent="0.2">
      <c r="A382" s="26"/>
      <c r="B382" s="626" t="s">
        <v>548</v>
      </c>
      <c r="C382" s="39" t="s">
        <v>20</v>
      </c>
      <c r="D382" s="161"/>
      <c r="E382" s="161"/>
      <c r="F382" s="161"/>
      <c r="G382" s="161"/>
      <c r="H382" s="161"/>
      <c r="I382" s="161"/>
      <c r="J382" s="161"/>
      <c r="K382" s="161"/>
      <c r="L382" s="161">
        <f>50000+13500</f>
        <v>63500</v>
      </c>
      <c r="M382" s="161"/>
      <c r="N382" s="161"/>
      <c r="O382" s="161"/>
      <c r="P382" s="161"/>
      <c r="Q382" s="161"/>
      <c r="R382" s="161">
        <f t="shared" ref="R382:R389" si="75">SUM(D382:Q382)</f>
        <v>63500</v>
      </c>
      <c r="S382" s="161"/>
      <c r="T382" s="161"/>
      <c r="U382" s="161"/>
      <c r="V382" s="161"/>
      <c r="W382" s="161"/>
      <c r="X382" s="162">
        <f t="shared" si="67"/>
        <v>0</v>
      </c>
      <c r="Y382" s="229">
        <f t="shared" si="68"/>
        <v>63500</v>
      </c>
      <c r="Z382" s="348"/>
      <c r="AA382" s="316"/>
    </row>
    <row r="383" spans="1:27" ht="16.5" customHeight="1" x14ac:dyDescent="0.2">
      <c r="A383" s="26"/>
      <c r="B383" s="626" t="s">
        <v>549</v>
      </c>
      <c r="C383" s="39" t="s">
        <v>20</v>
      </c>
      <c r="D383" s="161"/>
      <c r="E383" s="161"/>
      <c r="F383" s="161"/>
      <c r="G383" s="161"/>
      <c r="H383" s="161"/>
      <c r="I383" s="161"/>
      <c r="J383" s="161"/>
      <c r="K383" s="161"/>
      <c r="L383" s="161">
        <f>-6299-1701</f>
        <v>-8000</v>
      </c>
      <c r="M383" s="161"/>
      <c r="N383" s="161"/>
      <c r="O383" s="161"/>
      <c r="P383" s="161"/>
      <c r="Q383" s="161"/>
      <c r="R383" s="161">
        <f t="shared" si="75"/>
        <v>-8000</v>
      </c>
      <c r="S383" s="161"/>
      <c r="T383" s="161"/>
      <c r="U383" s="161"/>
      <c r="V383" s="161"/>
      <c r="W383" s="161"/>
      <c r="X383" s="162">
        <f t="shared" ref="X383" si="76">SUM(T383:W383)</f>
        <v>0</v>
      </c>
      <c r="Y383" s="229">
        <f t="shared" ref="Y383" si="77">R383+X383</f>
        <v>-8000</v>
      </c>
      <c r="Z383" s="348"/>
      <c r="AA383" s="316"/>
    </row>
    <row r="384" spans="1:27" ht="16.5" customHeight="1" x14ac:dyDescent="0.2">
      <c r="A384" s="26"/>
      <c r="B384" s="626" t="s">
        <v>550</v>
      </c>
      <c r="C384" s="39" t="s">
        <v>20</v>
      </c>
      <c r="D384" s="161"/>
      <c r="E384" s="161"/>
      <c r="F384" s="161">
        <f>6299+1701</f>
        <v>8000</v>
      </c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1">
        <f t="shared" si="75"/>
        <v>8000</v>
      </c>
      <c r="S384" s="161"/>
      <c r="T384" s="161"/>
      <c r="U384" s="161"/>
      <c r="V384" s="161"/>
      <c r="W384" s="161"/>
      <c r="X384" s="162">
        <f t="shared" si="67"/>
        <v>0</v>
      </c>
      <c r="Y384" s="229">
        <f t="shared" si="68"/>
        <v>8000</v>
      </c>
      <c r="Z384" s="348"/>
      <c r="AA384" s="316"/>
    </row>
    <row r="385" spans="1:28" ht="16.5" hidden="1" customHeight="1" x14ac:dyDescent="0.2">
      <c r="A385" s="26"/>
      <c r="B385" s="627" t="s">
        <v>21</v>
      </c>
      <c r="C385" s="350" t="s">
        <v>86</v>
      </c>
      <c r="D385" s="161"/>
      <c r="E385" s="161"/>
      <c r="F385" s="351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1">
        <f t="shared" si="75"/>
        <v>0</v>
      </c>
      <c r="S385" s="161"/>
      <c r="T385" s="161"/>
      <c r="U385" s="161"/>
      <c r="V385" s="161"/>
      <c r="W385" s="161"/>
      <c r="X385" s="162">
        <f t="shared" si="67"/>
        <v>0</v>
      </c>
      <c r="Y385" s="352">
        <f t="shared" si="68"/>
        <v>0</v>
      </c>
      <c r="Z385" s="348"/>
      <c r="AA385" s="316"/>
    </row>
    <row r="386" spans="1:28" ht="17.25" customHeight="1" thickBot="1" x14ac:dyDescent="0.25">
      <c r="A386" s="78"/>
      <c r="B386" s="80"/>
      <c r="C386" s="41"/>
      <c r="D386" s="150"/>
      <c r="E386" s="150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56"/>
      <c r="Y386" s="229"/>
      <c r="Z386" s="293"/>
      <c r="AA386" s="316"/>
    </row>
    <row r="387" spans="1:28" ht="18.75" customHeight="1" thickTop="1" thickBot="1" x14ac:dyDescent="0.25">
      <c r="A387" s="47"/>
      <c r="B387" s="86"/>
      <c r="C387" s="44" t="s">
        <v>23</v>
      </c>
      <c r="D387" s="157">
        <f t="shared" ref="D387:R387" si="78">SUM(D364:D386)</f>
        <v>-1016</v>
      </c>
      <c r="E387" s="157">
        <f t="shared" si="78"/>
        <v>-80</v>
      </c>
      <c r="F387" s="157">
        <f t="shared" si="78"/>
        <v>-194884.59700000001</v>
      </c>
      <c r="G387" s="157">
        <f t="shared" si="78"/>
        <v>-49020</v>
      </c>
      <c r="H387" s="157">
        <f t="shared" si="78"/>
        <v>0</v>
      </c>
      <c r="I387" s="157">
        <f t="shared" si="78"/>
        <v>-4692</v>
      </c>
      <c r="J387" s="157">
        <f t="shared" si="78"/>
        <v>-24854</v>
      </c>
      <c r="K387" s="157">
        <f t="shared" si="78"/>
        <v>40000</v>
      </c>
      <c r="L387" s="157">
        <f t="shared" si="78"/>
        <v>38536</v>
      </c>
      <c r="M387" s="157">
        <f t="shared" si="78"/>
        <v>0</v>
      </c>
      <c r="N387" s="157">
        <f t="shared" si="78"/>
        <v>0</v>
      </c>
      <c r="O387" s="157">
        <f t="shared" si="78"/>
        <v>0</v>
      </c>
      <c r="P387" s="157">
        <f t="shared" si="78"/>
        <v>0</v>
      </c>
      <c r="Q387" s="157">
        <f t="shared" si="78"/>
        <v>-4000</v>
      </c>
      <c r="R387" s="157">
        <f t="shared" si="78"/>
        <v>-200010.59700000001</v>
      </c>
      <c r="S387" s="157"/>
      <c r="T387" s="157">
        <f t="shared" ref="T387:Z387" si="79">SUM(T364:T386)</f>
        <v>0</v>
      </c>
      <c r="U387" s="157">
        <f t="shared" si="79"/>
        <v>0</v>
      </c>
      <c r="V387" s="157">
        <f t="shared" si="79"/>
        <v>0</v>
      </c>
      <c r="W387" s="157">
        <f t="shared" si="79"/>
        <v>0</v>
      </c>
      <c r="X387" s="160">
        <f t="shared" si="79"/>
        <v>0</v>
      </c>
      <c r="Y387" s="160">
        <f t="shared" si="79"/>
        <v>-200010.59700000001</v>
      </c>
      <c r="Z387" s="262">
        <f t="shared" si="79"/>
        <v>-111977.40300000001</v>
      </c>
      <c r="AA387" s="317"/>
    </row>
    <row r="388" spans="1:28" ht="9.9499999999999993" customHeight="1" thickTop="1" thickBot="1" x14ac:dyDescent="0.25">
      <c r="A388" s="179"/>
      <c r="B388" s="180"/>
      <c r="C388" s="181"/>
      <c r="D388" s="182"/>
      <c r="E388" s="182"/>
      <c r="F388" s="182"/>
      <c r="G388" s="182"/>
      <c r="H388" s="182"/>
      <c r="I388" s="182"/>
      <c r="J388" s="182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263"/>
      <c r="AA388" s="317"/>
    </row>
    <row r="389" spans="1:28" ht="17.25" hidden="1" customHeight="1" x14ac:dyDescent="0.2">
      <c r="A389" s="184"/>
      <c r="B389" s="185"/>
      <c r="C389" s="193" t="s">
        <v>50</v>
      </c>
      <c r="D389" s="186"/>
      <c r="E389" s="186"/>
      <c r="F389" s="186"/>
      <c r="G389" s="186"/>
      <c r="H389" s="186"/>
      <c r="I389" s="186"/>
      <c r="J389" s="186"/>
      <c r="K389" s="186"/>
      <c r="L389" s="186"/>
      <c r="M389" s="186"/>
      <c r="N389" s="186"/>
      <c r="O389" s="186"/>
      <c r="P389" s="186"/>
      <c r="Q389" s="186"/>
      <c r="R389" s="186">
        <f t="shared" si="75"/>
        <v>0</v>
      </c>
      <c r="S389" s="186"/>
      <c r="T389" s="186"/>
      <c r="U389" s="186"/>
      <c r="V389" s="186"/>
      <c r="W389" s="186"/>
      <c r="X389" s="186">
        <f t="shared" si="67"/>
        <v>0</v>
      </c>
      <c r="Y389" s="186">
        <f t="shared" si="68"/>
        <v>0</v>
      </c>
      <c r="Z389" s="264"/>
      <c r="AA389" s="317"/>
    </row>
    <row r="390" spans="1:28" ht="9.9499999999999993" hidden="1" customHeight="1" thickBot="1" x14ac:dyDescent="0.25">
      <c r="A390" s="188"/>
      <c r="B390" s="189"/>
      <c r="C390" s="190"/>
      <c r="D390" s="191"/>
      <c r="E390" s="191"/>
      <c r="F390" s="191"/>
      <c r="G390" s="191"/>
      <c r="H390" s="191"/>
      <c r="I390" s="191"/>
      <c r="J390" s="191"/>
      <c r="K390" s="191"/>
      <c r="L390" s="191"/>
      <c r="M390" s="191"/>
      <c r="N390" s="191"/>
      <c r="O390" s="191"/>
      <c r="P390" s="191"/>
      <c r="Q390" s="191"/>
      <c r="R390" s="191"/>
      <c r="S390" s="191"/>
      <c r="T390" s="191"/>
      <c r="U390" s="191"/>
      <c r="V390" s="191"/>
      <c r="W390" s="191"/>
      <c r="X390" s="191"/>
      <c r="Y390" s="191"/>
      <c r="Z390" s="265"/>
      <c r="AA390" s="317"/>
    </row>
    <row r="391" spans="1:28" ht="24.75" customHeight="1" thickTop="1" thickBot="1" x14ac:dyDescent="0.25">
      <c r="A391" s="88"/>
      <c r="B391" s="119" t="s">
        <v>147</v>
      </c>
      <c r="C391" s="44" t="s">
        <v>118</v>
      </c>
      <c r="D391" s="498">
        <f t="shared" ref="D391:R391" si="80">D264+D363+D387+D389</f>
        <v>130369.45000000001</v>
      </c>
      <c r="E391" s="498">
        <f t="shared" si="80"/>
        <v>30151.768</v>
      </c>
      <c r="F391" s="498">
        <f t="shared" si="80"/>
        <v>4454957.1310000001</v>
      </c>
      <c r="G391" s="498">
        <f t="shared" si="80"/>
        <v>155925</v>
      </c>
      <c r="H391" s="498">
        <f t="shared" si="80"/>
        <v>300942.027</v>
      </c>
      <c r="I391" s="498">
        <f t="shared" si="80"/>
        <v>150000</v>
      </c>
      <c r="J391" s="498">
        <f t="shared" si="80"/>
        <v>670434</v>
      </c>
      <c r="K391" s="498">
        <f t="shared" si="80"/>
        <v>1053281.0090000001</v>
      </c>
      <c r="L391" s="498">
        <f t="shared" si="80"/>
        <v>5645685</v>
      </c>
      <c r="M391" s="498">
        <f t="shared" si="80"/>
        <v>51486</v>
      </c>
      <c r="N391" s="498">
        <f t="shared" si="80"/>
        <v>15635</v>
      </c>
      <c r="O391" s="498">
        <f t="shared" si="80"/>
        <v>5000</v>
      </c>
      <c r="P391" s="498">
        <f t="shared" si="80"/>
        <v>0</v>
      </c>
      <c r="Q391" s="498">
        <f t="shared" si="80"/>
        <v>403850</v>
      </c>
      <c r="R391" s="498">
        <f t="shared" si="80"/>
        <v>13067716.385</v>
      </c>
      <c r="S391" s="172"/>
      <c r="T391" s="498">
        <f t="shared" ref="T391:Z391" si="81">T264+T363+T387+T389</f>
        <v>0</v>
      </c>
      <c r="U391" s="498">
        <f t="shared" si="81"/>
        <v>4832040.4440000001</v>
      </c>
      <c r="V391" s="498">
        <f t="shared" si="81"/>
        <v>39440.69</v>
      </c>
      <c r="W391" s="498">
        <f t="shared" si="81"/>
        <v>0</v>
      </c>
      <c r="X391" s="498">
        <f t="shared" si="81"/>
        <v>4871481.1340000005</v>
      </c>
      <c r="Y391" s="489">
        <f t="shared" si="81"/>
        <v>17939197.519000001</v>
      </c>
      <c r="Z391" s="491">
        <f t="shared" si="81"/>
        <v>7989446.9969999995</v>
      </c>
      <c r="AA391" s="319"/>
      <c r="AB391" s="125">
        <f>Y391+Z391</f>
        <v>25928644.516000003</v>
      </c>
    </row>
    <row r="392" spans="1:28" ht="17.25" thickTop="1" x14ac:dyDescent="0.25"/>
  </sheetData>
  <mergeCells count="8">
    <mergeCell ref="AJ14:AK14"/>
    <mergeCell ref="A2:Z2"/>
    <mergeCell ref="A4:Z4"/>
    <mergeCell ref="D7:Z7"/>
    <mergeCell ref="AJ9:AK9"/>
    <mergeCell ref="D8:K8"/>
    <mergeCell ref="L8:Q8"/>
    <mergeCell ref="T8:W8"/>
  </mergeCells>
  <phoneticPr fontId="3" type="noConversion"/>
  <printOptions horizontalCentered="1"/>
  <pageMargins left="0" right="0" top="0.33" bottom="0.34" header="0.19685039370078741" footer="0.15748031496062992"/>
  <pageSetup paperSize="9" scale="40" firstPageNumber="0" orientation="landscape" horizontalDpi="300" verticalDpi="300" r:id="rId1"/>
  <headerFooter alignWithMargins="0">
    <oddFooter>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9"/>
  <sheetViews>
    <sheetView zoomScale="75" zoomScaleNormal="75" workbookViewId="0">
      <selection activeCell="X1" sqref="X1"/>
    </sheetView>
  </sheetViews>
  <sheetFormatPr defaultRowHeight="16.5" x14ac:dyDescent="0.25"/>
  <cols>
    <col min="1" max="1" width="6.28515625" style="1" customWidth="1"/>
    <col min="2" max="2" width="12.7109375" style="1" hidden="1" customWidth="1"/>
    <col min="3" max="3" width="57.7109375" style="2" customWidth="1"/>
    <col min="4" max="14" width="12.7109375" style="2" customWidth="1"/>
    <col min="15" max="15" width="15.7109375" style="2" customWidth="1"/>
    <col min="16" max="16" width="1.85546875" style="2" customWidth="1"/>
    <col min="17" max="17" width="11.28515625" style="2" customWidth="1"/>
    <col min="18" max="18" width="11.85546875" style="2" customWidth="1"/>
    <col min="19" max="19" width="11.28515625" style="2" customWidth="1"/>
    <col min="20" max="20" width="10" style="2" customWidth="1"/>
    <col min="21" max="21" width="15.7109375" style="2" customWidth="1"/>
    <col min="22" max="22" width="1.85546875" style="2" customWidth="1"/>
    <col min="23" max="23" width="15.7109375" style="2" customWidth="1"/>
    <col min="24" max="24" width="17.140625" style="2" customWidth="1"/>
    <col min="25" max="25" width="11" style="2" customWidth="1"/>
    <col min="26" max="26" width="10.7109375" style="2" customWidth="1"/>
    <col min="27" max="32" width="9.140625" style="2"/>
    <col min="33" max="34" width="10.7109375" style="2" customWidth="1"/>
    <col min="35" max="35" width="10.28515625" style="2" customWidth="1"/>
    <col min="36" max="36" width="10" style="2" customWidth="1"/>
    <col min="37" max="37" width="10.28515625" style="2" customWidth="1"/>
    <col min="38" max="38" width="10.7109375" style="2" customWidth="1"/>
    <col min="39" max="39" width="10.5703125" style="2" customWidth="1"/>
    <col min="40" max="43" width="9.140625" style="2"/>
    <col min="44" max="44" width="11" style="2" customWidth="1"/>
    <col min="45" max="16384" width="9.140625" style="2"/>
  </cols>
  <sheetData>
    <row r="1" spans="1:38" ht="20.25" customHeight="1" x14ac:dyDescent="0.25">
      <c r="V1" s="3"/>
      <c r="W1" s="178"/>
      <c r="X1" s="178" t="s">
        <v>68</v>
      </c>
    </row>
    <row r="2" spans="1:38" ht="30" customHeight="1" x14ac:dyDescent="0.3">
      <c r="A2" s="643" t="s">
        <v>0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</row>
    <row r="3" spans="1:38" ht="30" customHeight="1" x14ac:dyDescent="0.3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</row>
    <row r="4" spans="1:38" ht="50.1" customHeight="1" x14ac:dyDescent="0.3">
      <c r="A4" s="656" t="s">
        <v>453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6"/>
      <c r="R4" s="656"/>
      <c r="S4" s="656"/>
      <c r="T4" s="656"/>
      <c r="U4" s="656"/>
      <c r="V4" s="656"/>
      <c r="W4" s="656"/>
      <c r="X4" s="656"/>
    </row>
    <row r="5" spans="1:38" ht="24.95" customHeight="1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38" ht="17.25" thickBo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  <c r="X6" s="6" t="s">
        <v>1</v>
      </c>
    </row>
    <row r="7" spans="1:38" ht="18" customHeight="1" thickTop="1" x14ac:dyDescent="0.25">
      <c r="A7" s="7"/>
      <c r="B7" s="8"/>
      <c r="C7" s="9"/>
      <c r="D7" s="635" t="s">
        <v>87</v>
      </c>
      <c r="E7" s="636"/>
      <c r="F7" s="637"/>
      <c r="G7" s="360"/>
      <c r="H7" s="361"/>
      <c r="I7" s="362" t="s">
        <v>4</v>
      </c>
      <c r="J7" s="638" t="s">
        <v>95</v>
      </c>
      <c r="K7" s="639"/>
      <c r="L7" s="360"/>
      <c r="M7" s="363" t="s">
        <v>96</v>
      </c>
      <c r="N7" s="364"/>
      <c r="O7" s="365" t="s">
        <v>103</v>
      </c>
      <c r="P7" s="14"/>
      <c r="Q7" s="640" t="s">
        <v>105</v>
      </c>
      <c r="R7" s="641"/>
      <c r="S7" s="641"/>
      <c r="T7" s="642"/>
      <c r="U7" s="366" t="s">
        <v>114</v>
      </c>
      <c r="V7" s="354"/>
      <c r="W7" s="10" t="s">
        <v>2</v>
      </c>
      <c r="X7" s="234"/>
    </row>
    <row r="8" spans="1:38" x14ac:dyDescent="0.25">
      <c r="A8" s="11"/>
      <c r="B8" s="12"/>
      <c r="C8" s="13" t="s">
        <v>3</v>
      </c>
      <c r="D8" s="16" t="s">
        <v>88</v>
      </c>
      <c r="E8" s="13" t="s">
        <v>89</v>
      </c>
      <c r="F8" s="4" t="s">
        <v>90</v>
      </c>
      <c r="G8" s="17" t="s">
        <v>97</v>
      </c>
      <c r="H8" s="17" t="s">
        <v>5</v>
      </c>
      <c r="I8" s="17" t="s">
        <v>15</v>
      </c>
      <c r="J8" s="13" t="s">
        <v>6</v>
      </c>
      <c r="K8" s="13" t="s">
        <v>98</v>
      </c>
      <c r="L8" s="356" t="s">
        <v>72</v>
      </c>
      <c r="M8" s="13" t="s">
        <v>99</v>
      </c>
      <c r="N8" s="17" t="s">
        <v>4</v>
      </c>
      <c r="O8" s="357" t="s">
        <v>104</v>
      </c>
      <c r="P8" s="17"/>
      <c r="Q8" s="17" t="s">
        <v>106</v>
      </c>
      <c r="R8" s="17" t="s">
        <v>107</v>
      </c>
      <c r="S8" s="17" t="s">
        <v>192</v>
      </c>
      <c r="T8" s="17" t="s">
        <v>4</v>
      </c>
      <c r="U8" s="358" t="s">
        <v>115</v>
      </c>
      <c r="V8" s="353"/>
      <c r="W8" s="15" t="s">
        <v>7</v>
      </c>
      <c r="X8" s="278" t="s">
        <v>78</v>
      </c>
    </row>
    <row r="9" spans="1:38" x14ac:dyDescent="0.25">
      <c r="A9" s="18" t="s">
        <v>8</v>
      </c>
      <c r="B9" s="13"/>
      <c r="C9" s="13" t="s">
        <v>9</v>
      </c>
      <c r="D9" s="17" t="s">
        <v>15</v>
      </c>
      <c r="E9" s="13" t="s">
        <v>91</v>
      </c>
      <c r="F9" s="4" t="s">
        <v>56</v>
      </c>
      <c r="G9" s="17" t="s">
        <v>10</v>
      </c>
      <c r="H9" s="13" t="s">
        <v>10</v>
      </c>
      <c r="I9" s="13" t="s">
        <v>11</v>
      </c>
      <c r="J9" s="13" t="s">
        <v>11</v>
      </c>
      <c r="K9" s="13" t="s">
        <v>56</v>
      </c>
      <c r="L9" s="270" t="s">
        <v>73</v>
      </c>
      <c r="M9" s="17" t="s">
        <v>100</v>
      </c>
      <c r="N9" s="17" t="s">
        <v>74</v>
      </c>
      <c r="O9" s="357" t="s">
        <v>10</v>
      </c>
      <c r="P9" s="17"/>
      <c r="Q9" s="17" t="s">
        <v>108</v>
      </c>
      <c r="R9" s="17" t="s">
        <v>109</v>
      </c>
      <c r="S9" s="17" t="s">
        <v>193</v>
      </c>
      <c r="T9" s="17" t="s">
        <v>152</v>
      </c>
      <c r="U9" s="358" t="s">
        <v>10</v>
      </c>
      <c r="V9" s="355"/>
      <c r="W9" s="15" t="s">
        <v>12</v>
      </c>
      <c r="X9" s="278" t="s">
        <v>79</v>
      </c>
    </row>
    <row r="10" spans="1:38" x14ac:dyDescent="0.25">
      <c r="A10" s="11"/>
      <c r="B10" s="12"/>
      <c r="C10" s="13" t="s">
        <v>13</v>
      </c>
      <c r="D10" s="17" t="s">
        <v>92</v>
      </c>
      <c r="E10" s="13" t="s">
        <v>93</v>
      </c>
      <c r="F10" s="4" t="s">
        <v>94</v>
      </c>
      <c r="G10" s="17"/>
      <c r="H10" s="13"/>
      <c r="I10" s="13" t="s">
        <v>71</v>
      </c>
      <c r="J10" s="13" t="s">
        <v>101</v>
      </c>
      <c r="K10" s="13" t="s">
        <v>94</v>
      </c>
      <c r="L10" s="13" t="s">
        <v>10</v>
      </c>
      <c r="M10" s="17" t="s">
        <v>33</v>
      </c>
      <c r="N10" s="17" t="s">
        <v>102</v>
      </c>
      <c r="O10" s="357" t="s">
        <v>12</v>
      </c>
      <c r="P10" s="17"/>
      <c r="Q10" s="17" t="s">
        <v>110</v>
      </c>
      <c r="R10" s="17" t="s">
        <v>111</v>
      </c>
      <c r="S10" s="17" t="s">
        <v>194</v>
      </c>
      <c r="T10" s="17" t="s">
        <v>153</v>
      </c>
      <c r="U10" s="358" t="s">
        <v>12</v>
      </c>
      <c r="V10" s="355"/>
      <c r="W10" s="19" t="s">
        <v>117</v>
      </c>
      <c r="X10" s="279" t="s">
        <v>80</v>
      </c>
    </row>
    <row r="11" spans="1:38" x14ac:dyDescent="0.25">
      <c r="A11" s="11"/>
      <c r="B11" s="12"/>
      <c r="C11" s="13"/>
      <c r="D11" s="17"/>
      <c r="E11" s="13" t="s">
        <v>16</v>
      </c>
      <c r="F11" s="4" t="s">
        <v>70</v>
      </c>
      <c r="G11" s="17"/>
      <c r="H11" s="13"/>
      <c r="I11" s="13" t="s">
        <v>17</v>
      </c>
      <c r="J11" s="13" t="s">
        <v>42</v>
      </c>
      <c r="K11" s="13" t="s">
        <v>70</v>
      </c>
      <c r="L11" s="13"/>
      <c r="M11" s="20" t="s">
        <v>14</v>
      </c>
      <c r="N11" s="20" t="s">
        <v>17</v>
      </c>
      <c r="O11" s="4" t="s">
        <v>113</v>
      </c>
      <c r="P11" s="20"/>
      <c r="Q11" s="17" t="s">
        <v>16</v>
      </c>
      <c r="R11" s="20" t="s">
        <v>112</v>
      </c>
      <c r="S11" s="20" t="s">
        <v>195</v>
      </c>
      <c r="T11" s="20" t="s">
        <v>10</v>
      </c>
      <c r="U11" s="20" t="s">
        <v>116</v>
      </c>
      <c r="V11" s="21"/>
      <c r="W11" s="15"/>
      <c r="X11" s="279" t="s">
        <v>56</v>
      </c>
    </row>
    <row r="12" spans="1:38" hidden="1" x14ac:dyDescent="0.25">
      <c r="A12" s="105"/>
      <c r="B12" s="106"/>
      <c r="C12" s="107"/>
      <c r="D12" s="16" t="s">
        <v>173</v>
      </c>
      <c r="E12" s="107" t="s">
        <v>174</v>
      </c>
      <c r="F12" s="108" t="s">
        <v>175</v>
      </c>
      <c r="G12" s="16" t="s">
        <v>176</v>
      </c>
      <c r="H12" s="107" t="s">
        <v>177</v>
      </c>
      <c r="I12" s="107" t="s">
        <v>178</v>
      </c>
      <c r="J12" s="107" t="s">
        <v>179</v>
      </c>
      <c r="K12" s="116" t="s">
        <v>180</v>
      </c>
      <c r="L12" s="107" t="s">
        <v>181</v>
      </c>
      <c r="M12" s="109" t="s">
        <v>182</v>
      </c>
      <c r="N12" s="110" t="s">
        <v>183</v>
      </c>
      <c r="O12" s="108"/>
      <c r="P12" s="20"/>
      <c r="Q12" s="16" t="s">
        <v>184</v>
      </c>
      <c r="R12" s="110" t="s">
        <v>185</v>
      </c>
      <c r="S12" s="110" t="s">
        <v>186</v>
      </c>
      <c r="T12" s="107" t="s">
        <v>187</v>
      </c>
      <c r="U12" s="16"/>
      <c r="V12" s="111"/>
      <c r="W12" s="368"/>
      <c r="X12" s="235"/>
    </row>
    <row r="13" spans="1:38" ht="20.25" customHeight="1" x14ac:dyDescent="0.2">
      <c r="A13" s="184">
        <v>1</v>
      </c>
      <c r="B13" s="207"/>
      <c r="C13" s="207">
        <v>2</v>
      </c>
      <c r="D13" s="207">
        <v>3</v>
      </c>
      <c r="E13" s="207">
        <v>4</v>
      </c>
      <c r="F13" s="207">
        <v>5</v>
      </c>
      <c r="G13" s="207">
        <v>6</v>
      </c>
      <c r="H13" s="207">
        <v>7</v>
      </c>
      <c r="I13" s="207">
        <v>8</v>
      </c>
      <c r="J13" s="207">
        <v>9</v>
      </c>
      <c r="K13" s="207">
        <v>10</v>
      </c>
      <c r="L13" s="207">
        <v>11</v>
      </c>
      <c r="M13" s="207">
        <v>12</v>
      </c>
      <c r="N13" s="207">
        <v>13</v>
      </c>
      <c r="O13" s="207">
        <v>14</v>
      </c>
      <c r="P13" s="207"/>
      <c r="Q13" s="207">
        <v>15</v>
      </c>
      <c r="R13" s="207">
        <v>16</v>
      </c>
      <c r="S13" s="207">
        <v>17</v>
      </c>
      <c r="T13" s="207">
        <v>18</v>
      </c>
      <c r="U13" s="207">
        <v>19</v>
      </c>
      <c r="V13" s="208"/>
      <c r="W13" s="209">
        <v>20</v>
      </c>
      <c r="X13" s="236">
        <v>21</v>
      </c>
    </row>
    <row r="14" spans="1:38" ht="22.5" hidden="1" customHeight="1" x14ac:dyDescent="0.25">
      <c r="A14" s="22"/>
      <c r="B14" s="23"/>
      <c r="C14" s="24" t="s">
        <v>49</v>
      </c>
      <c r="D14" s="25">
        <v>0</v>
      </c>
      <c r="E14" s="25">
        <v>0</v>
      </c>
      <c r="F14" s="25">
        <v>0</v>
      </c>
      <c r="G14" s="25">
        <v>4500</v>
      </c>
      <c r="H14" s="25">
        <v>9959</v>
      </c>
      <c r="I14" s="149">
        <v>0</v>
      </c>
      <c r="J14" s="25">
        <v>0</v>
      </c>
      <c r="K14" s="25">
        <v>0</v>
      </c>
      <c r="L14" s="25">
        <v>50</v>
      </c>
      <c r="M14" s="25">
        <v>1200</v>
      </c>
      <c r="N14" s="25">
        <v>0</v>
      </c>
      <c r="O14" s="367">
        <f>SUM(D14:N14)</f>
        <v>15709</v>
      </c>
      <c r="P14" s="25"/>
      <c r="Q14" s="25">
        <v>0</v>
      </c>
      <c r="R14" s="25">
        <v>0</v>
      </c>
      <c r="S14" s="25">
        <v>0</v>
      </c>
      <c r="T14" s="25">
        <v>0</v>
      </c>
      <c r="U14" s="367">
        <f>SUM(Q14:T14)</f>
        <v>0</v>
      </c>
      <c r="V14" s="148"/>
      <c r="W14" s="134">
        <f>O14+U14</f>
        <v>15709</v>
      </c>
      <c r="X14" s="237">
        <v>3439520</v>
      </c>
    </row>
    <row r="15" spans="1:38" ht="20.100000000000001" hidden="1" customHeight="1" x14ac:dyDescent="0.25">
      <c r="A15" s="151"/>
      <c r="B15" s="131"/>
      <c r="C15" s="28" t="s">
        <v>77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136"/>
      <c r="W15" s="227">
        <f>O15+U15</f>
        <v>0</v>
      </c>
      <c r="X15" s="238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8"/>
    </row>
    <row r="16" spans="1:38" ht="20.100000000000001" hidden="1" customHeight="1" x14ac:dyDescent="0.25">
      <c r="A16" s="151"/>
      <c r="B16" s="27" t="s">
        <v>75</v>
      </c>
      <c r="C16" s="24" t="s">
        <v>18</v>
      </c>
      <c r="D16" s="146">
        <f t="shared" ref="D16:W16" si="0">SUM(D14:D15)</f>
        <v>0</v>
      </c>
      <c r="E16" s="146">
        <f t="shared" si="0"/>
        <v>0</v>
      </c>
      <c r="F16" s="146">
        <f t="shared" si="0"/>
        <v>0</v>
      </c>
      <c r="G16" s="146">
        <f t="shared" si="0"/>
        <v>4500</v>
      </c>
      <c r="H16" s="146">
        <f t="shared" si="0"/>
        <v>9959</v>
      </c>
      <c r="I16" s="146">
        <f t="shared" si="0"/>
        <v>0</v>
      </c>
      <c r="J16" s="146">
        <f t="shared" si="0"/>
        <v>0</v>
      </c>
      <c r="K16" s="146">
        <f t="shared" si="0"/>
        <v>0</v>
      </c>
      <c r="L16" s="146">
        <f t="shared" si="0"/>
        <v>50</v>
      </c>
      <c r="M16" s="146">
        <f t="shared" si="0"/>
        <v>1200</v>
      </c>
      <c r="N16" s="146">
        <f t="shared" si="0"/>
        <v>0</v>
      </c>
      <c r="O16" s="393">
        <f t="shared" si="0"/>
        <v>15709</v>
      </c>
      <c r="P16" s="146"/>
      <c r="Q16" s="146">
        <f>SUM(Q14:Q15)</f>
        <v>0</v>
      </c>
      <c r="R16" s="146">
        <f>SUM(R14:R15)</f>
        <v>0</v>
      </c>
      <c r="S16" s="146">
        <f>SUM(S14:S15)</f>
        <v>0</v>
      </c>
      <c r="T16" s="146">
        <f t="shared" si="0"/>
        <v>0</v>
      </c>
      <c r="U16" s="146">
        <f t="shared" si="0"/>
        <v>0</v>
      </c>
      <c r="V16" s="146"/>
      <c r="W16" s="228">
        <f t="shared" si="0"/>
        <v>15709</v>
      </c>
      <c r="X16" s="239">
        <f>SUM(X14:X15)</f>
        <v>3439520</v>
      </c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8"/>
    </row>
    <row r="17" spans="1:38" ht="30" hidden="1" customHeight="1" x14ac:dyDescent="0.25">
      <c r="A17" s="78"/>
      <c r="B17" s="131"/>
      <c r="C17" s="28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>
        <f t="shared" ref="O17:O28" si="1">SUM(D17:N17)</f>
        <v>0</v>
      </c>
      <c r="P17" s="70"/>
      <c r="Q17" s="70"/>
      <c r="R17" s="70"/>
      <c r="S17" s="70"/>
      <c r="T17" s="70"/>
      <c r="U17" s="70"/>
      <c r="V17" s="153"/>
      <c r="W17" s="229"/>
      <c r="X17" s="293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8"/>
    </row>
    <row r="18" spans="1:38" ht="30" hidden="1" customHeight="1" x14ac:dyDescent="0.25">
      <c r="A18" s="78">
        <v>1</v>
      </c>
      <c r="B18" s="515" t="s">
        <v>198</v>
      </c>
      <c r="C18" s="28" t="s">
        <v>204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>
        <f t="shared" si="1"/>
        <v>0</v>
      </c>
      <c r="P18" s="70"/>
      <c r="Q18" s="70"/>
      <c r="R18" s="70"/>
      <c r="S18" s="70"/>
      <c r="T18" s="70"/>
      <c r="U18" s="70">
        <f t="shared" ref="U18:U28" si="2">SUM(Q18:T18)</f>
        <v>0</v>
      </c>
      <c r="V18" s="153"/>
      <c r="W18" s="229">
        <f t="shared" ref="W18:W28" si="3">O18+U18</f>
        <v>0</v>
      </c>
      <c r="X18" s="293">
        <f>-1895</f>
        <v>-1895</v>
      </c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8"/>
    </row>
    <row r="19" spans="1:38" ht="30" hidden="1" customHeight="1" x14ac:dyDescent="0.25">
      <c r="A19" s="78">
        <v>2</v>
      </c>
      <c r="B19" s="218" t="s">
        <v>199</v>
      </c>
      <c r="C19" s="28" t="s">
        <v>206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>
        <f t="shared" si="1"/>
        <v>0</v>
      </c>
      <c r="P19" s="70"/>
      <c r="Q19" s="70"/>
      <c r="R19" s="70"/>
      <c r="S19" s="70"/>
      <c r="T19" s="70"/>
      <c r="U19" s="70">
        <f t="shared" si="2"/>
        <v>0</v>
      </c>
      <c r="V19" s="153"/>
      <c r="W19" s="229">
        <f t="shared" si="3"/>
        <v>0</v>
      </c>
      <c r="X19" s="293">
        <f>20250</f>
        <v>20250</v>
      </c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8"/>
    </row>
    <row r="20" spans="1:38" ht="30" hidden="1" customHeight="1" x14ac:dyDescent="0.25">
      <c r="A20" s="78">
        <v>3</v>
      </c>
      <c r="B20" s="218" t="str">
        <f>'4.sz.melléklet'!$B$21</f>
        <v>EIM-H-9
EIM-16</v>
      </c>
      <c r="C20" s="33" t="s">
        <v>229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>
        <f t="shared" si="1"/>
        <v>0</v>
      </c>
      <c r="P20" s="70"/>
      <c r="Q20" s="70"/>
      <c r="R20" s="70"/>
      <c r="S20" s="70"/>
      <c r="T20" s="70"/>
      <c r="U20" s="70">
        <f t="shared" si="2"/>
        <v>0</v>
      </c>
      <c r="V20" s="153"/>
      <c r="W20" s="229">
        <f t="shared" si="3"/>
        <v>0</v>
      </c>
      <c r="X20" s="293">
        <f>1801</f>
        <v>1801</v>
      </c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8"/>
    </row>
    <row r="21" spans="1:38" ht="30" hidden="1" customHeight="1" x14ac:dyDescent="0.25">
      <c r="A21" s="78">
        <v>4</v>
      </c>
      <c r="B21" s="218" t="s">
        <v>231</v>
      </c>
      <c r="C21" s="33" t="s">
        <v>232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>
        <f t="shared" si="1"/>
        <v>0</v>
      </c>
      <c r="P21" s="70"/>
      <c r="Q21" s="70"/>
      <c r="R21" s="70"/>
      <c r="S21" s="70"/>
      <c r="T21" s="70"/>
      <c r="U21" s="70">
        <f t="shared" si="2"/>
        <v>0</v>
      </c>
      <c r="V21" s="153"/>
      <c r="W21" s="229">
        <f t="shared" si="3"/>
        <v>0</v>
      </c>
      <c r="X21" s="293">
        <f>-107</f>
        <v>-107</v>
      </c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8"/>
    </row>
    <row r="22" spans="1:38" ht="30" hidden="1" customHeight="1" x14ac:dyDescent="0.25">
      <c r="A22" s="78">
        <v>5</v>
      </c>
      <c r="B22" s="218" t="s">
        <v>237</v>
      </c>
      <c r="C22" s="33" t="s">
        <v>236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>
        <f t="shared" si="1"/>
        <v>0</v>
      </c>
      <c r="P22" s="70"/>
      <c r="Q22" s="70"/>
      <c r="R22" s="70"/>
      <c r="S22" s="70"/>
      <c r="T22" s="70"/>
      <c r="U22" s="70">
        <f t="shared" si="2"/>
        <v>0</v>
      </c>
      <c r="V22" s="153"/>
      <c r="W22" s="229">
        <f t="shared" si="3"/>
        <v>0</v>
      </c>
      <c r="X22" s="293">
        <f>235.948</f>
        <v>235.94800000000001</v>
      </c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8"/>
    </row>
    <row r="23" spans="1:38" ht="30" hidden="1" customHeight="1" x14ac:dyDescent="0.25">
      <c r="A23" s="78">
        <v>6</v>
      </c>
      <c r="B23" s="218" t="s">
        <v>238</v>
      </c>
      <c r="C23" s="33" t="s">
        <v>239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>
        <f t="shared" si="1"/>
        <v>0</v>
      </c>
      <c r="P23" s="70"/>
      <c r="Q23" s="70"/>
      <c r="R23" s="70"/>
      <c r="S23" s="70"/>
      <c r="T23" s="70"/>
      <c r="U23" s="70">
        <f t="shared" si="2"/>
        <v>0</v>
      </c>
      <c r="V23" s="153"/>
      <c r="W23" s="229">
        <f t="shared" si="3"/>
        <v>0</v>
      </c>
      <c r="X23" s="293">
        <f>578.62</f>
        <v>578.62</v>
      </c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8"/>
    </row>
    <row r="24" spans="1:38" ht="30" hidden="1" customHeight="1" x14ac:dyDescent="0.25">
      <c r="A24" s="217">
        <v>7</v>
      </c>
      <c r="B24" s="218" t="s">
        <v>257</v>
      </c>
      <c r="C24" s="394" t="s">
        <v>256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>
        <f t="shared" si="1"/>
        <v>0</v>
      </c>
      <c r="P24" s="70"/>
      <c r="Q24" s="70"/>
      <c r="R24" s="70"/>
      <c r="S24" s="70"/>
      <c r="T24" s="70"/>
      <c r="U24" s="70">
        <f t="shared" si="2"/>
        <v>0</v>
      </c>
      <c r="V24" s="153"/>
      <c r="W24" s="229">
        <f t="shared" si="3"/>
        <v>0</v>
      </c>
      <c r="X24" s="293">
        <f>10160</f>
        <v>10160</v>
      </c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8"/>
    </row>
    <row r="25" spans="1:38" ht="30" hidden="1" customHeight="1" x14ac:dyDescent="0.25">
      <c r="A25" s="78">
        <v>8</v>
      </c>
      <c r="B25" s="218" t="s">
        <v>280</v>
      </c>
      <c r="C25" s="33" t="s">
        <v>278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>
        <f t="shared" si="1"/>
        <v>0</v>
      </c>
      <c r="P25" s="70"/>
      <c r="Q25" s="70"/>
      <c r="R25" s="70"/>
      <c r="S25" s="70"/>
      <c r="T25" s="70"/>
      <c r="U25" s="70">
        <f t="shared" si="2"/>
        <v>0</v>
      </c>
      <c r="V25" s="153"/>
      <c r="W25" s="229">
        <f t="shared" si="3"/>
        <v>0</v>
      </c>
      <c r="X25" s="293">
        <f>11256</f>
        <v>11256</v>
      </c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8"/>
    </row>
    <row r="26" spans="1:38" ht="30" hidden="1" customHeight="1" x14ac:dyDescent="0.25">
      <c r="A26" s="217"/>
      <c r="B26" s="218"/>
      <c r="C26" s="33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>
        <f t="shared" si="1"/>
        <v>0</v>
      </c>
      <c r="P26" s="70"/>
      <c r="Q26" s="70"/>
      <c r="R26" s="70"/>
      <c r="S26" s="70"/>
      <c r="T26" s="70"/>
      <c r="U26" s="70">
        <f t="shared" si="2"/>
        <v>0</v>
      </c>
      <c r="V26" s="153"/>
      <c r="W26" s="229">
        <f t="shared" si="3"/>
        <v>0</v>
      </c>
      <c r="X26" s="293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8"/>
    </row>
    <row r="27" spans="1:38" ht="30" hidden="1" customHeight="1" x14ac:dyDescent="0.25">
      <c r="A27" s="217"/>
      <c r="B27" s="218"/>
      <c r="C27" s="33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>
        <f t="shared" si="1"/>
        <v>0</v>
      </c>
      <c r="P27" s="70"/>
      <c r="Q27" s="70"/>
      <c r="R27" s="70"/>
      <c r="S27" s="70"/>
      <c r="T27" s="70"/>
      <c r="U27" s="70">
        <f t="shared" si="2"/>
        <v>0</v>
      </c>
      <c r="V27" s="153"/>
      <c r="W27" s="229">
        <f t="shared" si="3"/>
        <v>0</v>
      </c>
      <c r="X27" s="293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8"/>
    </row>
    <row r="28" spans="1:38" ht="30" hidden="1" customHeight="1" x14ac:dyDescent="0.25">
      <c r="A28" s="78"/>
      <c r="B28" s="132"/>
      <c r="C28" s="28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>
        <f t="shared" si="1"/>
        <v>0</v>
      </c>
      <c r="P28" s="70"/>
      <c r="Q28" s="70"/>
      <c r="R28" s="70"/>
      <c r="S28" s="70"/>
      <c r="T28" s="70"/>
      <c r="U28" s="70">
        <f t="shared" si="2"/>
        <v>0</v>
      </c>
      <c r="V28" s="153"/>
      <c r="W28" s="229">
        <f t="shared" si="3"/>
        <v>0</v>
      </c>
      <c r="X28" s="293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8"/>
    </row>
    <row r="29" spans="1:38" ht="9.9499999999999993" hidden="1" customHeight="1" x14ac:dyDescent="0.25">
      <c r="A29" s="78"/>
      <c r="B29" s="132"/>
      <c r="C29" s="28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153"/>
      <c r="W29" s="229"/>
      <c r="X29" s="293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8"/>
    </row>
    <row r="30" spans="1:38" ht="30" hidden="1" customHeight="1" x14ac:dyDescent="0.25">
      <c r="A30" s="202" t="s">
        <v>62</v>
      </c>
      <c r="B30" s="198"/>
      <c r="C30" s="203" t="s">
        <v>60</v>
      </c>
      <c r="D30" s="70">
        <f t="shared" ref="D30:O30" si="4">SUM(D17:D29)</f>
        <v>0</v>
      </c>
      <c r="E30" s="70">
        <f t="shared" si="4"/>
        <v>0</v>
      </c>
      <c r="F30" s="70">
        <f t="shared" si="4"/>
        <v>0</v>
      </c>
      <c r="G30" s="70">
        <f t="shared" si="4"/>
        <v>0</v>
      </c>
      <c r="H30" s="70">
        <f t="shared" si="4"/>
        <v>0</v>
      </c>
      <c r="I30" s="70">
        <f t="shared" si="4"/>
        <v>0</v>
      </c>
      <c r="J30" s="70">
        <f t="shared" si="4"/>
        <v>0</v>
      </c>
      <c r="K30" s="70">
        <f t="shared" si="4"/>
        <v>0</v>
      </c>
      <c r="L30" s="70">
        <f t="shared" si="4"/>
        <v>0</v>
      </c>
      <c r="M30" s="70">
        <f t="shared" si="4"/>
        <v>0</v>
      </c>
      <c r="N30" s="70">
        <f t="shared" si="4"/>
        <v>0</v>
      </c>
      <c r="O30" s="70">
        <f t="shared" si="4"/>
        <v>0</v>
      </c>
      <c r="P30" s="70"/>
      <c r="Q30" s="70"/>
      <c r="R30" s="70"/>
      <c r="S30" s="70">
        <f>SUM(S17:S29)</f>
        <v>0</v>
      </c>
      <c r="T30" s="70">
        <f>SUM(T17:T29)</f>
        <v>0</v>
      </c>
      <c r="U30" s="70">
        <f>SUM(U17:U29)</f>
        <v>0</v>
      </c>
      <c r="V30" s="200"/>
      <c r="W30" s="230">
        <f>O30+U30</f>
        <v>0</v>
      </c>
      <c r="X30" s="293">
        <f>SUM(X17:X29)</f>
        <v>42279.567999999999</v>
      </c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8"/>
    </row>
    <row r="31" spans="1:38" ht="9.9499999999999993" hidden="1" customHeight="1" x14ac:dyDescent="0.25">
      <c r="A31" s="78"/>
      <c r="B31" s="132"/>
      <c r="C31" s="28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153"/>
      <c r="W31" s="229"/>
      <c r="X31" s="293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8"/>
    </row>
    <row r="32" spans="1:38" ht="30" hidden="1" customHeight="1" x14ac:dyDescent="0.25">
      <c r="A32" s="78">
        <v>9</v>
      </c>
      <c r="B32" s="218" t="s">
        <v>207</v>
      </c>
      <c r="C32" s="599" t="s">
        <v>208</v>
      </c>
      <c r="D32" s="397"/>
      <c r="E32" s="397"/>
      <c r="F32" s="156">
        <f>17736.381</f>
        <v>17736.381000000001</v>
      </c>
      <c r="G32" s="397"/>
      <c r="H32" s="568"/>
      <c r="I32" s="397"/>
      <c r="J32" s="397"/>
      <c r="K32" s="397"/>
      <c r="L32" s="397"/>
      <c r="M32" s="397"/>
      <c r="N32" s="397"/>
      <c r="O32" s="156">
        <f>SUM(D32:N32)</f>
        <v>17736.381000000001</v>
      </c>
      <c r="P32" s="397"/>
      <c r="Q32" s="397"/>
      <c r="R32" s="397"/>
      <c r="S32" s="397"/>
      <c r="T32" s="397"/>
      <c r="U32" s="397">
        <f>SUM(Q32:T32)</f>
        <v>0</v>
      </c>
      <c r="V32" s="153"/>
      <c r="W32" s="229">
        <f>O32+U32</f>
        <v>17736.381000000001</v>
      </c>
      <c r="X32" s="293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8"/>
    </row>
    <row r="33" spans="1:38" ht="30" hidden="1" customHeight="1" x14ac:dyDescent="0.25">
      <c r="A33" s="78">
        <v>10</v>
      </c>
      <c r="B33" s="218" t="s">
        <v>290</v>
      </c>
      <c r="C33" s="118" t="s">
        <v>291</v>
      </c>
      <c r="D33" s="397"/>
      <c r="E33" s="397"/>
      <c r="F33" s="156"/>
      <c r="G33" s="397"/>
      <c r="H33" s="568">
        <f>267+72</f>
        <v>339</v>
      </c>
      <c r="I33" s="397"/>
      <c r="J33" s="397"/>
      <c r="K33" s="397"/>
      <c r="L33" s="397"/>
      <c r="M33" s="397"/>
      <c r="N33" s="397"/>
      <c r="O33" s="156">
        <f>SUM(D33:N33)</f>
        <v>339</v>
      </c>
      <c r="P33" s="397"/>
      <c r="Q33" s="397"/>
      <c r="R33" s="397"/>
      <c r="S33" s="397"/>
      <c r="T33" s="397"/>
      <c r="U33" s="397">
        <f>SUM(Q33:T33)</f>
        <v>0</v>
      </c>
      <c r="V33" s="153"/>
      <c r="W33" s="229">
        <f>O33+U33</f>
        <v>339</v>
      </c>
      <c r="X33" s="293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8"/>
    </row>
    <row r="34" spans="1:38" ht="30" hidden="1" customHeight="1" x14ac:dyDescent="0.25">
      <c r="A34" s="78">
        <v>11</v>
      </c>
      <c r="B34" s="218" t="s">
        <v>288</v>
      </c>
      <c r="C34" s="118" t="s">
        <v>289</v>
      </c>
      <c r="D34" s="397"/>
      <c r="E34" s="397"/>
      <c r="F34" s="156">
        <f>1709.232</f>
        <v>1709.232</v>
      </c>
      <c r="G34" s="397"/>
      <c r="H34" s="568"/>
      <c r="I34" s="397"/>
      <c r="J34" s="397"/>
      <c r="K34" s="397"/>
      <c r="L34" s="397"/>
      <c r="M34" s="397"/>
      <c r="N34" s="397"/>
      <c r="O34" s="156">
        <f>SUM(D34:N34)</f>
        <v>1709.232</v>
      </c>
      <c r="P34" s="397"/>
      <c r="Q34" s="397"/>
      <c r="R34" s="397"/>
      <c r="S34" s="397"/>
      <c r="T34" s="397"/>
      <c r="U34" s="397">
        <f>SUM(Q34:T34)</f>
        <v>0</v>
      </c>
      <c r="V34" s="153"/>
      <c r="W34" s="229">
        <f>O34+U34</f>
        <v>1709.232</v>
      </c>
      <c r="X34" s="293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8"/>
    </row>
    <row r="35" spans="1:38" ht="30" hidden="1" customHeight="1" x14ac:dyDescent="0.25">
      <c r="A35" s="78" t="s">
        <v>83</v>
      </c>
      <c r="B35" s="515" t="s">
        <v>283</v>
      </c>
      <c r="C35" s="41" t="s">
        <v>278</v>
      </c>
      <c r="D35" s="397"/>
      <c r="E35" s="397"/>
      <c r="F35" s="568"/>
      <c r="G35" s="397"/>
      <c r="H35" s="397"/>
      <c r="I35" s="397"/>
      <c r="J35" s="397"/>
      <c r="K35" s="397"/>
      <c r="L35" s="397"/>
      <c r="M35" s="397"/>
      <c r="N35" s="397"/>
      <c r="O35" s="397">
        <f>SUM(D35:N35)</f>
        <v>0</v>
      </c>
      <c r="P35" s="397"/>
      <c r="Q35" s="397"/>
      <c r="R35" s="156"/>
      <c r="S35" s="397"/>
      <c r="T35" s="397"/>
      <c r="U35" s="156">
        <f>SUM(Q35:T35)</f>
        <v>0</v>
      </c>
      <c r="V35" s="153"/>
      <c r="W35" s="229">
        <f>O35+U35</f>
        <v>0</v>
      </c>
      <c r="X35" s="293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8"/>
    </row>
    <row r="36" spans="1:38" ht="30" hidden="1" customHeight="1" x14ac:dyDescent="0.25">
      <c r="A36" s="78">
        <v>12</v>
      </c>
      <c r="B36" s="515" t="s">
        <v>284</v>
      </c>
      <c r="C36" s="28" t="s">
        <v>285</v>
      </c>
      <c r="D36" s="397"/>
      <c r="E36" s="397"/>
      <c r="F36" s="397"/>
      <c r="G36" s="397"/>
      <c r="H36" s="397">
        <f>383</f>
        <v>383</v>
      </c>
      <c r="I36" s="397"/>
      <c r="J36" s="397"/>
      <c r="K36" s="397"/>
      <c r="L36" s="397"/>
      <c r="M36" s="397"/>
      <c r="N36" s="397"/>
      <c r="O36" s="397">
        <f>SUM(D36:N36)</f>
        <v>383</v>
      </c>
      <c r="P36" s="397"/>
      <c r="Q36" s="397"/>
      <c r="R36" s="397"/>
      <c r="S36" s="397"/>
      <c r="T36" s="397"/>
      <c r="U36" s="397">
        <f>SUM(Q36:T36)</f>
        <v>0</v>
      </c>
      <c r="V36" s="153"/>
      <c r="W36" s="229">
        <f>O36+U36</f>
        <v>383</v>
      </c>
      <c r="X36" s="293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8"/>
    </row>
    <row r="37" spans="1:38" ht="30" hidden="1" customHeight="1" x14ac:dyDescent="0.25">
      <c r="A37" s="78" t="s">
        <v>83</v>
      </c>
      <c r="B37" s="218"/>
      <c r="C37" s="28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>
        <f t="shared" ref="O37:O42" si="5">SUM(D37:N37)</f>
        <v>0</v>
      </c>
      <c r="P37" s="397"/>
      <c r="Q37" s="397"/>
      <c r="R37" s="397"/>
      <c r="S37" s="397"/>
      <c r="T37" s="397"/>
      <c r="U37" s="397">
        <f t="shared" ref="U37:U42" si="6">SUM(Q37:T37)</f>
        <v>0</v>
      </c>
      <c r="V37" s="153"/>
      <c r="W37" s="229">
        <f t="shared" ref="W37:W42" si="7">O37+U37</f>
        <v>0</v>
      </c>
      <c r="X37" s="293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8"/>
    </row>
    <row r="38" spans="1:38" ht="30" hidden="1" customHeight="1" x14ac:dyDescent="0.25">
      <c r="A38" s="78" t="s">
        <v>83</v>
      </c>
      <c r="B38" s="218"/>
      <c r="C38" s="28"/>
      <c r="D38" s="397"/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>
        <f t="shared" si="5"/>
        <v>0</v>
      </c>
      <c r="P38" s="397"/>
      <c r="Q38" s="397"/>
      <c r="R38" s="397"/>
      <c r="S38" s="397"/>
      <c r="T38" s="397"/>
      <c r="U38" s="397">
        <f t="shared" si="6"/>
        <v>0</v>
      </c>
      <c r="V38" s="153"/>
      <c r="W38" s="229">
        <f t="shared" si="7"/>
        <v>0</v>
      </c>
      <c r="X38" s="293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8"/>
    </row>
    <row r="39" spans="1:38" ht="30" hidden="1" customHeight="1" x14ac:dyDescent="0.25">
      <c r="A39" s="78"/>
      <c r="B39" s="132"/>
      <c r="C39" s="28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>
        <f t="shared" si="5"/>
        <v>0</v>
      </c>
      <c r="P39" s="397"/>
      <c r="Q39" s="397"/>
      <c r="R39" s="397"/>
      <c r="S39" s="397"/>
      <c r="T39" s="397"/>
      <c r="U39" s="397">
        <f t="shared" si="6"/>
        <v>0</v>
      </c>
      <c r="V39" s="153"/>
      <c r="W39" s="229">
        <f t="shared" si="7"/>
        <v>0</v>
      </c>
      <c r="X39" s="293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8"/>
    </row>
    <row r="40" spans="1:38" ht="30" hidden="1" customHeight="1" x14ac:dyDescent="0.25">
      <c r="A40" s="78"/>
      <c r="B40" s="132"/>
      <c r="C40" s="28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7">
        <f t="shared" si="5"/>
        <v>0</v>
      </c>
      <c r="P40" s="397"/>
      <c r="Q40" s="397"/>
      <c r="R40" s="397"/>
      <c r="S40" s="397"/>
      <c r="T40" s="397"/>
      <c r="U40" s="397">
        <f t="shared" si="6"/>
        <v>0</v>
      </c>
      <c r="V40" s="153"/>
      <c r="W40" s="229">
        <f t="shared" si="7"/>
        <v>0</v>
      </c>
      <c r="X40" s="293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8"/>
    </row>
    <row r="41" spans="1:38" ht="30" hidden="1" customHeight="1" x14ac:dyDescent="0.25">
      <c r="A41" s="78"/>
      <c r="B41" s="132"/>
      <c r="C41" s="28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>
        <f t="shared" si="5"/>
        <v>0</v>
      </c>
      <c r="P41" s="397"/>
      <c r="Q41" s="397"/>
      <c r="R41" s="397"/>
      <c r="S41" s="397"/>
      <c r="T41" s="397"/>
      <c r="U41" s="397">
        <f t="shared" si="6"/>
        <v>0</v>
      </c>
      <c r="V41" s="153"/>
      <c r="W41" s="229">
        <f t="shared" si="7"/>
        <v>0</v>
      </c>
      <c r="X41" s="293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8"/>
    </row>
    <row r="42" spans="1:38" ht="30" hidden="1" customHeight="1" x14ac:dyDescent="0.25">
      <c r="A42" s="78"/>
      <c r="B42" s="132"/>
      <c r="C42" s="28"/>
      <c r="D42" s="397"/>
      <c r="E42" s="397"/>
      <c r="F42" s="397"/>
      <c r="G42" s="397"/>
      <c r="H42" s="397"/>
      <c r="I42" s="397"/>
      <c r="J42" s="397"/>
      <c r="K42" s="397"/>
      <c r="L42" s="397"/>
      <c r="M42" s="397"/>
      <c r="N42" s="397"/>
      <c r="O42" s="397">
        <f t="shared" si="5"/>
        <v>0</v>
      </c>
      <c r="P42" s="397"/>
      <c r="Q42" s="397"/>
      <c r="R42" s="397"/>
      <c r="S42" s="397"/>
      <c r="T42" s="397"/>
      <c r="U42" s="397">
        <f t="shared" si="6"/>
        <v>0</v>
      </c>
      <c r="V42" s="153"/>
      <c r="W42" s="229">
        <f t="shared" si="7"/>
        <v>0</v>
      </c>
      <c r="X42" s="293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8"/>
    </row>
    <row r="43" spans="1:38" ht="9.9499999999999993" hidden="1" customHeight="1" x14ac:dyDescent="0.25">
      <c r="A43" s="78"/>
      <c r="B43" s="132"/>
      <c r="C43" s="28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153"/>
      <c r="W43" s="229"/>
      <c r="X43" s="293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8"/>
    </row>
    <row r="44" spans="1:38" ht="30" hidden="1" customHeight="1" x14ac:dyDescent="0.25">
      <c r="A44" s="202" t="s">
        <v>63</v>
      </c>
      <c r="B44" s="198"/>
      <c r="C44" s="203" t="s">
        <v>61</v>
      </c>
      <c r="D44" s="516"/>
      <c r="E44" s="397">
        <f>SUM(E32:E43)</f>
        <v>0</v>
      </c>
      <c r="F44" s="397">
        <f t="shared" ref="F44:K44" si="8">SUM(F32:F43)</f>
        <v>19445.613000000001</v>
      </c>
      <c r="G44" s="397">
        <f t="shared" si="8"/>
        <v>0</v>
      </c>
      <c r="H44" s="397">
        <f t="shared" si="8"/>
        <v>722</v>
      </c>
      <c r="I44" s="397">
        <f t="shared" si="8"/>
        <v>0</v>
      </c>
      <c r="J44" s="397">
        <f t="shared" si="8"/>
        <v>0</v>
      </c>
      <c r="K44" s="397">
        <f t="shared" si="8"/>
        <v>0</v>
      </c>
      <c r="L44" s="397">
        <f t="shared" ref="L44:U44" si="9">SUM(L32:L43)</f>
        <v>0</v>
      </c>
      <c r="M44" s="397">
        <f t="shared" si="9"/>
        <v>0</v>
      </c>
      <c r="N44" s="397">
        <f t="shared" si="9"/>
        <v>0</v>
      </c>
      <c r="O44" s="397">
        <f t="shared" si="9"/>
        <v>20167.613000000001</v>
      </c>
      <c r="P44" s="397"/>
      <c r="Q44" s="397"/>
      <c r="R44" s="397"/>
      <c r="S44" s="397">
        <f t="shared" si="9"/>
        <v>0</v>
      </c>
      <c r="T44" s="397">
        <f t="shared" si="9"/>
        <v>0</v>
      </c>
      <c r="U44" s="397">
        <f t="shared" si="9"/>
        <v>0</v>
      </c>
      <c r="V44" s="200"/>
      <c r="W44" s="230">
        <f>O44+U44</f>
        <v>20167.613000000001</v>
      </c>
      <c r="X44" s="293">
        <f>SUM(X32:X43)</f>
        <v>0</v>
      </c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8"/>
    </row>
    <row r="45" spans="1:38" ht="20.100000000000001" hidden="1" customHeight="1" thickBot="1" x14ac:dyDescent="0.3">
      <c r="A45" s="66"/>
      <c r="B45" s="112"/>
      <c r="C45" s="28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137"/>
      <c r="W45" s="231"/>
      <c r="X45" s="238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8"/>
    </row>
    <row r="46" spans="1:38" ht="24.95" hidden="1" customHeight="1" thickTop="1" thickBot="1" x14ac:dyDescent="0.3">
      <c r="A46" s="35"/>
      <c r="B46" s="36"/>
      <c r="C46" s="44" t="s">
        <v>64</v>
      </c>
      <c r="D46" s="37">
        <f t="shared" ref="D46:U46" si="10">D30+D44</f>
        <v>0</v>
      </c>
      <c r="E46" s="37">
        <f t="shared" si="10"/>
        <v>0</v>
      </c>
      <c r="F46" s="37">
        <f t="shared" si="10"/>
        <v>19445.613000000001</v>
      </c>
      <c r="G46" s="37">
        <f t="shared" si="10"/>
        <v>0</v>
      </c>
      <c r="H46" s="37">
        <f t="shared" si="10"/>
        <v>722</v>
      </c>
      <c r="I46" s="37">
        <f t="shared" si="10"/>
        <v>0</v>
      </c>
      <c r="J46" s="37">
        <f t="shared" si="10"/>
        <v>0</v>
      </c>
      <c r="K46" s="37">
        <f t="shared" si="10"/>
        <v>0</v>
      </c>
      <c r="L46" s="37">
        <f t="shared" si="10"/>
        <v>0</v>
      </c>
      <c r="M46" s="37">
        <f t="shared" si="10"/>
        <v>0</v>
      </c>
      <c r="N46" s="37">
        <f t="shared" si="10"/>
        <v>0</v>
      </c>
      <c r="O46" s="37">
        <f t="shared" si="10"/>
        <v>20167.613000000001</v>
      </c>
      <c r="P46" s="37"/>
      <c r="Q46" s="37">
        <f>Q30+Q44</f>
        <v>0</v>
      </c>
      <c r="R46" s="37">
        <f>R30+R44</f>
        <v>0</v>
      </c>
      <c r="S46" s="37">
        <f t="shared" si="10"/>
        <v>0</v>
      </c>
      <c r="T46" s="37">
        <f t="shared" si="10"/>
        <v>0</v>
      </c>
      <c r="U46" s="37">
        <f t="shared" si="10"/>
        <v>0</v>
      </c>
      <c r="V46" s="201"/>
      <c r="W46" s="232">
        <f>W30+W44</f>
        <v>20167.613000000001</v>
      </c>
      <c r="X46" s="38">
        <f>X30+X44</f>
        <v>42279.567999999999</v>
      </c>
    </row>
    <row r="47" spans="1:38" ht="24.95" hidden="1" customHeight="1" thickTop="1" thickBot="1" x14ac:dyDescent="0.3">
      <c r="A47" s="35"/>
      <c r="B47" s="36"/>
      <c r="C47" s="44" t="s">
        <v>118</v>
      </c>
      <c r="D47" s="196">
        <f t="shared" ref="D47:O47" si="11">D16+D46</f>
        <v>0</v>
      </c>
      <c r="E47" s="196">
        <f t="shared" si="11"/>
        <v>0</v>
      </c>
      <c r="F47" s="196">
        <f t="shared" si="11"/>
        <v>19445.613000000001</v>
      </c>
      <c r="G47" s="196">
        <f t="shared" si="11"/>
        <v>4500</v>
      </c>
      <c r="H47" s="196">
        <f t="shared" si="11"/>
        <v>10681</v>
      </c>
      <c r="I47" s="196">
        <f t="shared" si="11"/>
        <v>0</v>
      </c>
      <c r="J47" s="196">
        <f t="shared" si="11"/>
        <v>0</v>
      </c>
      <c r="K47" s="196">
        <f t="shared" si="11"/>
        <v>0</v>
      </c>
      <c r="L47" s="196">
        <f t="shared" si="11"/>
        <v>50</v>
      </c>
      <c r="M47" s="196">
        <f t="shared" si="11"/>
        <v>1200</v>
      </c>
      <c r="N47" s="37">
        <f t="shared" si="11"/>
        <v>0</v>
      </c>
      <c r="O47" s="37">
        <f t="shared" si="11"/>
        <v>35876.612999999998</v>
      </c>
      <c r="P47" s="37"/>
      <c r="Q47" s="37">
        <f>Q16+Q46</f>
        <v>0</v>
      </c>
      <c r="R47" s="37">
        <f>R16+R46</f>
        <v>0</v>
      </c>
      <c r="S47" s="37">
        <f>S16+S46</f>
        <v>0</v>
      </c>
      <c r="T47" s="37">
        <f>T16+T46</f>
        <v>0</v>
      </c>
      <c r="U47" s="37">
        <f>U16+U46</f>
        <v>0</v>
      </c>
      <c r="V47" s="37"/>
      <c r="W47" s="232">
        <f>O47+U47</f>
        <v>35876.612999999998</v>
      </c>
      <c r="X47" s="225">
        <f>X16+X46</f>
        <v>3481799.568</v>
      </c>
    </row>
    <row r="48" spans="1:38" ht="15" hidden="1" customHeight="1" thickTop="1" thickBot="1" x14ac:dyDescent="0.3">
      <c r="A48" s="35"/>
      <c r="B48" s="36"/>
      <c r="C48" s="44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37"/>
      <c r="O48" s="37"/>
      <c r="P48" s="37"/>
      <c r="Q48" s="37"/>
      <c r="R48" s="37"/>
      <c r="S48" s="37"/>
      <c r="T48" s="37"/>
      <c r="U48" s="37"/>
      <c r="V48" s="37"/>
      <c r="W48" s="232"/>
      <c r="X48" s="225"/>
    </row>
    <row r="49" spans="1:24" ht="24.95" hidden="1" customHeight="1" thickTop="1" thickBot="1" x14ac:dyDescent="0.3">
      <c r="A49" s="35"/>
      <c r="B49" s="36"/>
      <c r="C49" s="276" t="s">
        <v>190</v>
      </c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37"/>
      <c r="O49" s="37">
        <f>SUM(D49:N49)</f>
        <v>0</v>
      </c>
      <c r="P49" s="37"/>
      <c r="Q49" s="37"/>
      <c r="R49" s="581">
        <v>260627.83900000001</v>
      </c>
      <c r="S49" s="543"/>
      <c r="T49" s="37"/>
      <c r="U49" s="582">
        <f>SUM(Q49:T49)</f>
        <v>260627.83900000001</v>
      </c>
      <c r="V49" s="37"/>
      <c r="W49" s="232">
        <f>O49+U49</f>
        <v>260627.83900000001</v>
      </c>
      <c r="X49" s="225">
        <v>26424</v>
      </c>
    </row>
    <row r="50" spans="1:24" ht="15" hidden="1" customHeight="1" thickTop="1" thickBot="1" x14ac:dyDescent="0.3">
      <c r="A50" s="35"/>
      <c r="B50" s="36"/>
      <c r="C50" s="27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37"/>
      <c r="O50" s="37"/>
      <c r="P50" s="37"/>
      <c r="Q50" s="37"/>
      <c r="R50" s="37"/>
      <c r="S50" s="37"/>
      <c r="T50" s="37"/>
      <c r="U50" s="37"/>
      <c r="V50" s="37"/>
      <c r="W50" s="232"/>
      <c r="X50" s="225"/>
    </row>
    <row r="51" spans="1:24" ht="24.95" hidden="1" customHeight="1" thickTop="1" thickBot="1" x14ac:dyDescent="0.3">
      <c r="A51" s="35"/>
      <c r="B51" s="36"/>
      <c r="C51" s="276" t="s">
        <v>59</v>
      </c>
      <c r="D51" s="196"/>
      <c r="E51" s="196"/>
      <c r="F51" s="196"/>
      <c r="G51" s="196"/>
      <c r="H51" s="196"/>
      <c r="I51" s="196"/>
      <c r="J51" s="196"/>
      <c r="K51" s="196"/>
      <c r="L51" s="196"/>
      <c r="M51" s="37"/>
      <c r="N51" s="37"/>
      <c r="O51" s="37">
        <f>SUM(D51:N51)</f>
        <v>0</v>
      </c>
      <c r="P51" s="37"/>
      <c r="Q51" s="37"/>
      <c r="R51" s="37"/>
      <c r="S51" s="37"/>
      <c r="T51" s="37"/>
      <c r="U51" s="37">
        <f>SUM(Q51:T51)</f>
        <v>0</v>
      </c>
      <c r="V51" s="196"/>
      <c r="W51" s="232">
        <f>O51+U51</f>
        <v>0</v>
      </c>
      <c r="X51" s="225"/>
    </row>
    <row r="52" spans="1:24" ht="15" hidden="1" customHeight="1" thickTop="1" thickBot="1" x14ac:dyDescent="0.3">
      <c r="A52" s="35"/>
      <c r="B52" s="36"/>
      <c r="C52" s="276"/>
      <c r="D52" s="196"/>
      <c r="E52" s="196"/>
      <c r="F52" s="196"/>
      <c r="G52" s="196"/>
      <c r="H52" s="196"/>
      <c r="I52" s="196"/>
      <c r="J52" s="196"/>
      <c r="K52" s="196"/>
      <c r="L52" s="196"/>
      <c r="M52" s="37"/>
      <c r="N52" s="37"/>
      <c r="O52" s="37"/>
      <c r="P52" s="37"/>
      <c r="Q52" s="37"/>
      <c r="R52" s="37"/>
      <c r="S52" s="37"/>
      <c r="T52" s="37"/>
      <c r="U52" s="37"/>
      <c r="V52" s="196"/>
      <c r="W52" s="232"/>
      <c r="X52" s="225"/>
    </row>
    <row r="53" spans="1:24" ht="30" hidden="1" customHeight="1" thickTop="1" thickBot="1" x14ac:dyDescent="0.3">
      <c r="A53" s="35"/>
      <c r="B53" s="216" t="s">
        <v>137</v>
      </c>
      <c r="C53" s="44" t="s">
        <v>191</v>
      </c>
      <c r="D53" s="37">
        <f t="shared" ref="D53:U53" si="12">D47+D49+D51</f>
        <v>0</v>
      </c>
      <c r="E53" s="37">
        <f t="shared" si="12"/>
        <v>0</v>
      </c>
      <c r="F53" s="37">
        <f t="shared" si="12"/>
        <v>19445.613000000001</v>
      </c>
      <c r="G53" s="37">
        <f t="shared" si="12"/>
        <v>4500</v>
      </c>
      <c r="H53" s="37">
        <f t="shared" si="12"/>
        <v>10681</v>
      </c>
      <c r="I53" s="37">
        <f t="shared" si="12"/>
        <v>0</v>
      </c>
      <c r="J53" s="37">
        <f t="shared" si="12"/>
        <v>0</v>
      </c>
      <c r="K53" s="37">
        <f t="shared" si="12"/>
        <v>0</v>
      </c>
      <c r="L53" s="37">
        <f t="shared" si="12"/>
        <v>50</v>
      </c>
      <c r="M53" s="37">
        <f t="shared" si="12"/>
        <v>1200</v>
      </c>
      <c r="N53" s="37">
        <f t="shared" si="12"/>
        <v>0</v>
      </c>
      <c r="O53" s="37">
        <f t="shared" si="12"/>
        <v>35876.612999999998</v>
      </c>
      <c r="P53" s="37"/>
      <c r="Q53" s="37">
        <f t="shared" si="12"/>
        <v>0</v>
      </c>
      <c r="R53" s="37">
        <f t="shared" si="12"/>
        <v>260627.83900000001</v>
      </c>
      <c r="S53" s="37">
        <f t="shared" si="12"/>
        <v>0</v>
      </c>
      <c r="T53" s="37">
        <f t="shared" si="12"/>
        <v>0</v>
      </c>
      <c r="U53" s="37">
        <f t="shared" si="12"/>
        <v>260627.83900000001</v>
      </c>
      <c r="V53" s="196"/>
      <c r="W53" s="232">
        <f>W47+W49+W51</f>
        <v>296504.45199999999</v>
      </c>
      <c r="X53" s="225">
        <f>X47+X49</f>
        <v>3508223.568</v>
      </c>
    </row>
    <row r="54" spans="1:24" ht="24.95" hidden="1" customHeight="1" x14ac:dyDescent="0.25">
      <c r="A54" s="22"/>
      <c r="B54" s="23"/>
      <c r="C54" s="24" t="s">
        <v>18</v>
      </c>
      <c r="D54" s="25">
        <f t="shared" ref="D54:L54" si="13">D53</f>
        <v>0</v>
      </c>
      <c r="E54" s="25">
        <f t="shared" si="13"/>
        <v>0</v>
      </c>
      <c r="F54" s="25">
        <f t="shared" si="13"/>
        <v>19445.613000000001</v>
      </c>
      <c r="G54" s="25">
        <f t="shared" si="13"/>
        <v>4500</v>
      </c>
      <c r="H54" s="25">
        <f t="shared" si="13"/>
        <v>10681</v>
      </c>
      <c r="I54" s="25">
        <f t="shared" si="13"/>
        <v>0</v>
      </c>
      <c r="J54" s="25">
        <f t="shared" si="13"/>
        <v>0</v>
      </c>
      <c r="K54" s="25">
        <f t="shared" si="13"/>
        <v>0</v>
      </c>
      <c r="L54" s="25">
        <f t="shared" si="13"/>
        <v>50</v>
      </c>
      <c r="M54" s="25">
        <f t="shared" ref="M54:U54" si="14">M53</f>
        <v>1200</v>
      </c>
      <c r="N54" s="25">
        <f t="shared" si="14"/>
        <v>0</v>
      </c>
      <c r="O54" s="25">
        <f t="shared" si="14"/>
        <v>35876.612999999998</v>
      </c>
      <c r="P54" s="25"/>
      <c r="Q54" s="25">
        <f>Q53</f>
        <v>0</v>
      </c>
      <c r="R54" s="25">
        <f>R53</f>
        <v>260627.83900000001</v>
      </c>
      <c r="S54" s="25">
        <f t="shared" si="14"/>
        <v>0</v>
      </c>
      <c r="T54" s="25">
        <f t="shared" si="14"/>
        <v>0</v>
      </c>
      <c r="U54" s="25">
        <f t="shared" si="14"/>
        <v>260627.83900000001</v>
      </c>
      <c r="V54" s="25"/>
      <c r="W54" s="233">
        <f>O54+U54</f>
        <v>296504.45199999999</v>
      </c>
      <c r="X54" s="240">
        <f>X53</f>
        <v>3508223.568</v>
      </c>
    </row>
    <row r="55" spans="1:24" ht="24.95" hidden="1" customHeight="1" x14ac:dyDescent="0.25">
      <c r="A55" s="446"/>
      <c r="B55" s="447"/>
      <c r="C55" s="44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9"/>
      <c r="W55" s="449"/>
      <c r="X55" s="450"/>
    </row>
    <row r="56" spans="1:24" ht="30" hidden="1" customHeight="1" x14ac:dyDescent="0.2">
      <c r="A56" s="40">
        <v>1</v>
      </c>
      <c r="B56" s="174" t="s">
        <v>330</v>
      </c>
      <c r="C56" s="33" t="s">
        <v>328</v>
      </c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451">
        <f t="shared" ref="O56:O71" si="15">SUM(D56:N56)</f>
        <v>0</v>
      </c>
      <c r="P56" s="288"/>
      <c r="Q56" s="288"/>
      <c r="R56" s="288"/>
      <c r="S56" s="288"/>
      <c r="T56" s="288"/>
      <c r="U56" s="451">
        <f t="shared" ref="U56:U70" si="16">SUM(Q56:T56)</f>
        <v>0</v>
      </c>
      <c r="V56" s="289"/>
      <c r="W56" s="241">
        <f t="shared" ref="W56:W70" si="17">O56+U56</f>
        <v>0</v>
      </c>
      <c r="X56" s="347">
        <f>-455</f>
        <v>-455</v>
      </c>
    </row>
    <row r="57" spans="1:24" ht="30" hidden="1" customHeight="1" x14ac:dyDescent="0.2">
      <c r="A57" s="40">
        <v>2</v>
      </c>
      <c r="B57" s="174" t="s">
        <v>360</v>
      </c>
      <c r="C57" s="41" t="s">
        <v>361</v>
      </c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>
        <f t="shared" si="15"/>
        <v>0</v>
      </c>
      <c r="P57" s="223"/>
      <c r="Q57" s="223"/>
      <c r="R57" s="223"/>
      <c r="S57" s="223"/>
      <c r="T57" s="223"/>
      <c r="U57" s="223">
        <f t="shared" si="16"/>
        <v>0</v>
      </c>
      <c r="V57" s="224"/>
      <c r="W57" s="241">
        <f t="shared" si="17"/>
        <v>0</v>
      </c>
      <c r="X57" s="347">
        <v>620.08500000000004</v>
      </c>
    </row>
    <row r="58" spans="1:24" ht="30" hidden="1" customHeight="1" x14ac:dyDescent="0.2">
      <c r="A58" s="40">
        <v>3</v>
      </c>
      <c r="B58" s="605" t="s">
        <v>365</v>
      </c>
      <c r="C58" s="41" t="s">
        <v>364</v>
      </c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>
        <f t="shared" si="15"/>
        <v>0</v>
      </c>
      <c r="P58" s="223"/>
      <c r="Q58" s="223"/>
      <c r="R58" s="223"/>
      <c r="S58" s="223"/>
      <c r="T58" s="223"/>
      <c r="U58" s="223">
        <f t="shared" si="16"/>
        <v>0</v>
      </c>
      <c r="V58" s="224"/>
      <c r="W58" s="241">
        <f t="shared" si="17"/>
        <v>0</v>
      </c>
      <c r="X58" s="347">
        <f>4620</f>
        <v>4620</v>
      </c>
    </row>
    <row r="59" spans="1:24" ht="30" hidden="1" customHeight="1" x14ac:dyDescent="0.2">
      <c r="A59" s="40">
        <v>4</v>
      </c>
      <c r="B59" s="174" t="s">
        <v>380</v>
      </c>
      <c r="C59" s="41" t="s">
        <v>379</v>
      </c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>
        <f t="shared" si="15"/>
        <v>0</v>
      </c>
      <c r="P59" s="223"/>
      <c r="Q59" s="223"/>
      <c r="R59" s="223"/>
      <c r="S59" s="223"/>
      <c r="T59" s="223"/>
      <c r="U59" s="223">
        <f t="shared" si="16"/>
        <v>0</v>
      </c>
      <c r="V59" s="224"/>
      <c r="W59" s="241">
        <f t="shared" si="17"/>
        <v>0</v>
      </c>
      <c r="X59" s="347">
        <f>18969</f>
        <v>18969</v>
      </c>
    </row>
    <row r="60" spans="1:24" ht="30" hidden="1" customHeight="1" x14ac:dyDescent="0.2">
      <c r="A60" s="40">
        <v>5</v>
      </c>
      <c r="B60" s="174" t="s">
        <v>385</v>
      </c>
      <c r="C60" s="41" t="s">
        <v>384</v>
      </c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>
        <f t="shared" si="15"/>
        <v>0</v>
      </c>
      <c r="P60" s="223"/>
      <c r="Q60" s="223"/>
      <c r="R60" s="223"/>
      <c r="S60" s="223"/>
      <c r="T60" s="223"/>
      <c r="U60" s="223">
        <f t="shared" si="16"/>
        <v>0</v>
      </c>
      <c r="V60" s="224"/>
      <c r="W60" s="241">
        <f t="shared" si="17"/>
        <v>0</v>
      </c>
      <c r="X60" s="347">
        <f>18415</f>
        <v>18415</v>
      </c>
    </row>
    <row r="61" spans="1:24" ht="30" hidden="1" customHeight="1" x14ac:dyDescent="0.2">
      <c r="A61" s="40">
        <v>6</v>
      </c>
      <c r="B61" s="174" t="s">
        <v>388</v>
      </c>
      <c r="C61" s="41" t="s">
        <v>387</v>
      </c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>
        <f t="shared" si="15"/>
        <v>0</v>
      </c>
      <c r="P61" s="223"/>
      <c r="Q61" s="223"/>
      <c r="R61" s="223"/>
      <c r="S61" s="223"/>
      <c r="T61" s="223"/>
      <c r="U61" s="223">
        <f t="shared" si="16"/>
        <v>0</v>
      </c>
      <c r="V61" s="224"/>
      <c r="W61" s="241">
        <f t="shared" si="17"/>
        <v>0</v>
      </c>
      <c r="X61" s="347">
        <f>12447</f>
        <v>12447</v>
      </c>
    </row>
    <row r="62" spans="1:24" ht="30" hidden="1" customHeight="1" x14ac:dyDescent="0.2">
      <c r="A62" s="40">
        <v>7</v>
      </c>
      <c r="B62" s="174" t="s">
        <v>405</v>
      </c>
      <c r="C62" s="41" t="s">
        <v>404</v>
      </c>
      <c r="D62" s="223"/>
      <c r="E62" s="223"/>
      <c r="F62" s="223"/>
      <c r="G62" s="223"/>
      <c r="H62" s="223"/>
      <c r="I62" s="223"/>
      <c r="J62" s="223"/>
      <c r="K62" s="223"/>
      <c r="L62" s="223">
        <f>2010</f>
        <v>2010</v>
      </c>
      <c r="M62" s="223"/>
      <c r="N62" s="223"/>
      <c r="O62" s="223">
        <f t="shared" si="15"/>
        <v>2010</v>
      </c>
      <c r="P62" s="223"/>
      <c r="Q62" s="223"/>
      <c r="R62" s="223"/>
      <c r="S62" s="223"/>
      <c r="T62" s="223"/>
      <c r="U62" s="223">
        <f t="shared" si="16"/>
        <v>0</v>
      </c>
      <c r="V62" s="224"/>
      <c r="W62" s="241">
        <f t="shared" si="17"/>
        <v>2010</v>
      </c>
      <c r="X62" s="347">
        <f>-2010</f>
        <v>-2010</v>
      </c>
    </row>
    <row r="63" spans="1:24" ht="30" hidden="1" customHeight="1" x14ac:dyDescent="0.2">
      <c r="A63" s="40">
        <v>8</v>
      </c>
      <c r="B63" s="174" t="s">
        <v>422</v>
      </c>
      <c r="C63" s="41" t="s">
        <v>421</v>
      </c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>
        <f t="shared" si="15"/>
        <v>0</v>
      </c>
      <c r="P63" s="223"/>
      <c r="Q63" s="223"/>
      <c r="R63" s="223"/>
      <c r="S63" s="223"/>
      <c r="T63" s="223"/>
      <c r="U63" s="223">
        <f t="shared" si="16"/>
        <v>0</v>
      </c>
      <c r="V63" s="224"/>
      <c r="W63" s="241">
        <f t="shared" si="17"/>
        <v>0</v>
      </c>
      <c r="X63" s="347">
        <f>17044</f>
        <v>17044</v>
      </c>
    </row>
    <row r="64" spans="1:24" ht="30" hidden="1" customHeight="1" x14ac:dyDescent="0.2">
      <c r="A64" s="40">
        <v>9</v>
      </c>
      <c r="B64" s="174" t="s">
        <v>424</v>
      </c>
      <c r="C64" s="41" t="s">
        <v>423</v>
      </c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>
        <f t="shared" si="15"/>
        <v>0</v>
      </c>
      <c r="P64" s="223"/>
      <c r="Q64" s="223"/>
      <c r="R64" s="223"/>
      <c r="S64" s="223"/>
      <c r="T64" s="223"/>
      <c r="U64" s="223">
        <f t="shared" si="16"/>
        <v>0</v>
      </c>
      <c r="V64" s="224"/>
      <c r="W64" s="241">
        <f t="shared" si="17"/>
        <v>0</v>
      </c>
      <c r="X64" s="347">
        <f>3126</f>
        <v>3126</v>
      </c>
    </row>
    <row r="65" spans="1:24" ht="30" hidden="1" customHeight="1" x14ac:dyDescent="0.2">
      <c r="A65" s="40">
        <v>10</v>
      </c>
      <c r="B65" s="609" t="s">
        <v>437</v>
      </c>
      <c r="C65" s="41" t="s">
        <v>436</v>
      </c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>
        <f t="shared" si="15"/>
        <v>0</v>
      </c>
      <c r="P65" s="223"/>
      <c r="Q65" s="223"/>
      <c r="R65" s="223"/>
      <c r="S65" s="223"/>
      <c r="T65" s="223"/>
      <c r="U65" s="223">
        <f t="shared" si="16"/>
        <v>0</v>
      </c>
      <c r="V65" s="224"/>
      <c r="W65" s="241">
        <f t="shared" si="17"/>
        <v>0</v>
      </c>
      <c r="X65" s="347">
        <f>586.268</f>
        <v>586.26800000000003</v>
      </c>
    </row>
    <row r="66" spans="1:24" ht="24.95" hidden="1" customHeight="1" x14ac:dyDescent="0.2">
      <c r="A66" s="40"/>
      <c r="B66" s="287"/>
      <c r="C66" s="28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>
        <f t="shared" si="15"/>
        <v>0</v>
      </c>
      <c r="P66" s="223"/>
      <c r="Q66" s="223"/>
      <c r="R66" s="223"/>
      <c r="S66" s="223"/>
      <c r="T66" s="223"/>
      <c r="U66" s="223">
        <f t="shared" si="16"/>
        <v>0</v>
      </c>
      <c r="V66" s="224"/>
      <c r="W66" s="241">
        <f t="shared" si="17"/>
        <v>0</v>
      </c>
      <c r="X66" s="242"/>
    </row>
    <row r="67" spans="1:24" ht="24.95" hidden="1" customHeight="1" x14ac:dyDescent="0.2">
      <c r="A67" s="40"/>
      <c r="B67" s="73"/>
      <c r="C67" s="28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>
        <f t="shared" si="15"/>
        <v>0</v>
      </c>
      <c r="P67" s="223"/>
      <c r="Q67" s="223"/>
      <c r="R67" s="223"/>
      <c r="S67" s="223"/>
      <c r="T67" s="223"/>
      <c r="U67" s="223">
        <f t="shared" si="16"/>
        <v>0</v>
      </c>
      <c r="V67" s="224"/>
      <c r="W67" s="241">
        <f t="shared" si="17"/>
        <v>0</v>
      </c>
      <c r="X67" s="242"/>
    </row>
    <row r="68" spans="1:24" ht="24.95" hidden="1" customHeight="1" x14ac:dyDescent="0.2">
      <c r="A68" s="40"/>
      <c r="B68" s="73"/>
      <c r="C68" s="41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>
        <f t="shared" si="15"/>
        <v>0</v>
      </c>
      <c r="P68" s="223"/>
      <c r="Q68" s="223"/>
      <c r="R68" s="223"/>
      <c r="S68" s="223"/>
      <c r="T68" s="223"/>
      <c r="U68" s="223">
        <f t="shared" si="16"/>
        <v>0</v>
      </c>
      <c r="V68" s="224"/>
      <c r="W68" s="241">
        <f t="shared" si="17"/>
        <v>0</v>
      </c>
      <c r="X68" s="242"/>
    </row>
    <row r="69" spans="1:24" ht="24.95" hidden="1" customHeight="1" x14ac:dyDescent="0.2">
      <c r="A69" s="40"/>
      <c r="B69" s="27"/>
      <c r="C69" s="41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>
        <f t="shared" si="15"/>
        <v>0</v>
      </c>
      <c r="P69" s="223"/>
      <c r="Q69" s="223"/>
      <c r="R69" s="223"/>
      <c r="S69" s="223"/>
      <c r="T69" s="223"/>
      <c r="U69" s="223">
        <f t="shared" si="16"/>
        <v>0</v>
      </c>
      <c r="V69" s="224"/>
      <c r="W69" s="241">
        <f t="shared" si="17"/>
        <v>0</v>
      </c>
      <c r="X69" s="242"/>
    </row>
    <row r="70" spans="1:24" ht="24.95" hidden="1" customHeight="1" x14ac:dyDescent="0.2">
      <c r="A70" s="40"/>
      <c r="B70" s="27"/>
      <c r="C70" s="41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>
        <f t="shared" si="15"/>
        <v>0</v>
      </c>
      <c r="P70" s="223"/>
      <c r="Q70" s="223"/>
      <c r="R70" s="223"/>
      <c r="S70" s="223"/>
      <c r="T70" s="223"/>
      <c r="U70" s="223">
        <f t="shared" si="16"/>
        <v>0</v>
      </c>
      <c r="V70" s="224"/>
      <c r="W70" s="241">
        <f t="shared" si="17"/>
        <v>0</v>
      </c>
      <c r="X70" s="242"/>
    </row>
    <row r="71" spans="1:24" ht="24.95" hidden="1" customHeight="1" x14ac:dyDescent="0.2">
      <c r="A71" s="40"/>
      <c r="B71" s="27"/>
      <c r="C71" s="41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>
        <f t="shared" si="15"/>
        <v>0</v>
      </c>
      <c r="P71" s="223"/>
      <c r="Q71" s="223"/>
      <c r="R71" s="223"/>
      <c r="S71" s="223"/>
      <c r="T71" s="223"/>
      <c r="U71" s="223"/>
      <c r="V71" s="224"/>
      <c r="W71" s="241"/>
      <c r="X71" s="242"/>
    </row>
    <row r="72" spans="1:24" ht="24.95" hidden="1" customHeight="1" x14ac:dyDescent="0.2">
      <c r="A72" s="40"/>
      <c r="B72" s="131"/>
      <c r="C72" s="41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4"/>
      <c r="W72" s="241"/>
      <c r="X72" s="242"/>
    </row>
    <row r="73" spans="1:24" ht="9.9499999999999993" hidden="1" customHeight="1" x14ac:dyDescent="0.2">
      <c r="A73" s="40"/>
      <c r="B73" s="120"/>
      <c r="C73" s="41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4"/>
      <c r="W73" s="241"/>
      <c r="X73" s="242"/>
    </row>
    <row r="74" spans="1:24" ht="30" hidden="1" customHeight="1" x14ac:dyDescent="0.2">
      <c r="A74" s="202" t="s">
        <v>62</v>
      </c>
      <c r="B74" s="198"/>
      <c r="C74" s="203" t="s">
        <v>60</v>
      </c>
      <c r="D74" s="70">
        <f t="shared" ref="D74:O74" si="18">SUM(D56:D73)</f>
        <v>0</v>
      </c>
      <c r="E74" s="70">
        <f t="shared" si="18"/>
        <v>0</v>
      </c>
      <c r="F74" s="70">
        <f t="shared" si="18"/>
        <v>0</v>
      </c>
      <c r="G74" s="70">
        <f t="shared" si="18"/>
        <v>0</v>
      </c>
      <c r="H74" s="70">
        <f t="shared" si="18"/>
        <v>0</v>
      </c>
      <c r="I74" s="70">
        <f t="shared" si="18"/>
        <v>0</v>
      </c>
      <c r="J74" s="70">
        <f t="shared" si="18"/>
        <v>0</v>
      </c>
      <c r="K74" s="70">
        <f t="shared" si="18"/>
        <v>0</v>
      </c>
      <c r="L74" s="70">
        <f t="shared" si="18"/>
        <v>2010</v>
      </c>
      <c r="M74" s="70">
        <f t="shared" si="18"/>
        <v>0</v>
      </c>
      <c r="N74" s="70">
        <f t="shared" si="18"/>
        <v>0</v>
      </c>
      <c r="O74" s="70">
        <f t="shared" si="18"/>
        <v>2010</v>
      </c>
      <c r="P74" s="70"/>
      <c r="Q74" s="70">
        <f>SUM(Q56:Q73)</f>
        <v>0</v>
      </c>
      <c r="R74" s="70">
        <f>SUM(R56:R73)</f>
        <v>0</v>
      </c>
      <c r="S74" s="70">
        <f>SUM(S56:S73)</f>
        <v>0</v>
      </c>
      <c r="T74" s="70">
        <f>SUM(T56:T73)</f>
        <v>0</v>
      </c>
      <c r="U74" s="70">
        <f>SUM(U56:U73)</f>
        <v>0</v>
      </c>
      <c r="V74" s="70"/>
      <c r="W74" s="243">
        <f>O74+U74</f>
        <v>2010</v>
      </c>
      <c r="X74" s="238">
        <f>SUM(X56:X73)</f>
        <v>73362.352999999988</v>
      </c>
    </row>
    <row r="75" spans="1:24" ht="20.100000000000001" hidden="1" customHeight="1" x14ac:dyDescent="0.2">
      <c r="A75" s="217"/>
      <c r="B75" s="218"/>
      <c r="C75" s="118"/>
      <c r="D75" s="70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4"/>
      <c r="W75" s="241"/>
      <c r="X75" s="242"/>
    </row>
    <row r="76" spans="1:24" ht="30" hidden="1" customHeight="1" x14ac:dyDescent="0.2">
      <c r="A76" s="40" t="s">
        <v>83</v>
      </c>
      <c r="B76" s="606" t="s">
        <v>358</v>
      </c>
      <c r="C76" s="41" t="s">
        <v>359</v>
      </c>
      <c r="D76" s="165"/>
      <c r="E76" s="165"/>
      <c r="F76" s="165">
        <f>758.306</f>
        <v>758.30600000000004</v>
      </c>
      <c r="G76" s="165"/>
      <c r="H76" s="165"/>
      <c r="I76" s="165"/>
      <c r="J76" s="165"/>
      <c r="K76" s="165"/>
      <c r="L76" s="165"/>
      <c r="M76" s="165"/>
      <c r="N76" s="165"/>
      <c r="O76" s="165">
        <f>SUM(D76:N76)</f>
        <v>758.30600000000004</v>
      </c>
      <c r="P76" s="165"/>
      <c r="Q76" s="165"/>
      <c r="R76" s="165"/>
      <c r="S76" s="165"/>
      <c r="T76" s="165"/>
      <c r="U76" s="165">
        <f>SUM(Q76:T76)</f>
        <v>0</v>
      </c>
      <c r="V76" s="166"/>
      <c r="W76" s="444">
        <f>O76+U76</f>
        <v>758.30600000000004</v>
      </c>
      <c r="X76" s="347"/>
    </row>
    <row r="77" spans="1:24" ht="30" hidden="1" customHeight="1" x14ac:dyDescent="0.2">
      <c r="A77" s="173" t="s">
        <v>83</v>
      </c>
      <c r="B77" s="174"/>
      <c r="C77" s="41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>
        <f>SUM(D77:N77)</f>
        <v>0</v>
      </c>
      <c r="P77" s="165"/>
      <c r="Q77" s="165"/>
      <c r="R77" s="165"/>
      <c r="S77" s="165"/>
      <c r="T77" s="165"/>
      <c r="U77" s="165">
        <f>SUM(Q77:T77)</f>
        <v>0</v>
      </c>
      <c r="V77" s="166"/>
      <c r="W77" s="444">
        <f>O77+U77</f>
        <v>0</v>
      </c>
      <c r="X77" s="347"/>
    </row>
    <row r="78" spans="1:24" ht="30" hidden="1" customHeight="1" x14ac:dyDescent="0.2">
      <c r="A78" s="40" t="s">
        <v>83</v>
      </c>
      <c r="B78" s="174"/>
      <c r="C78" s="28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>
        <f>SUM(D78:N78)</f>
        <v>0</v>
      </c>
      <c r="P78" s="165"/>
      <c r="Q78" s="165"/>
      <c r="R78" s="165"/>
      <c r="S78" s="165"/>
      <c r="T78" s="165"/>
      <c r="U78" s="165">
        <f>SUM(Q78:T78)</f>
        <v>0</v>
      </c>
      <c r="V78" s="166"/>
      <c r="W78" s="444">
        <f>O78+U78</f>
        <v>0</v>
      </c>
      <c r="X78" s="347"/>
    </row>
    <row r="79" spans="1:24" ht="24.95" hidden="1" customHeight="1" x14ac:dyDescent="0.2">
      <c r="A79" s="40"/>
      <c r="B79" s="174"/>
      <c r="C79" s="41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6"/>
      <c r="W79" s="444"/>
      <c r="X79" s="347"/>
    </row>
    <row r="80" spans="1:24" ht="24.95" hidden="1" customHeight="1" x14ac:dyDescent="0.2">
      <c r="A80" s="40"/>
      <c r="B80" s="117"/>
      <c r="C80" s="41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6"/>
      <c r="W80" s="444"/>
      <c r="X80" s="347"/>
    </row>
    <row r="81" spans="1:24" ht="9.9499999999999993" hidden="1" customHeight="1" x14ac:dyDescent="0.2">
      <c r="A81" s="40"/>
      <c r="B81" s="117"/>
      <c r="C81" s="41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4"/>
      <c r="W81" s="241"/>
      <c r="X81" s="242"/>
    </row>
    <row r="82" spans="1:24" ht="30" hidden="1" customHeight="1" x14ac:dyDescent="0.2">
      <c r="A82" s="202" t="s">
        <v>63</v>
      </c>
      <c r="B82" s="198"/>
      <c r="C82" s="203" t="s">
        <v>61</v>
      </c>
      <c r="D82" s="150">
        <f t="shared" ref="D82:O82" si="19">SUM(D76:D81)</f>
        <v>0</v>
      </c>
      <c r="E82" s="150">
        <f t="shared" si="19"/>
        <v>0</v>
      </c>
      <c r="F82" s="150">
        <f t="shared" si="19"/>
        <v>758.30600000000004</v>
      </c>
      <c r="G82" s="150">
        <f t="shared" si="19"/>
        <v>0</v>
      </c>
      <c r="H82" s="150">
        <f t="shared" si="19"/>
        <v>0</v>
      </c>
      <c r="I82" s="150">
        <f t="shared" si="19"/>
        <v>0</v>
      </c>
      <c r="J82" s="150">
        <f t="shared" si="19"/>
        <v>0</v>
      </c>
      <c r="K82" s="150">
        <f t="shared" si="19"/>
        <v>0</v>
      </c>
      <c r="L82" s="150">
        <f t="shared" si="19"/>
        <v>0</v>
      </c>
      <c r="M82" s="150">
        <f t="shared" si="19"/>
        <v>0</v>
      </c>
      <c r="N82" s="150">
        <f t="shared" si="19"/>
        <v>0</v>
      </c>
      <c r="O82" s="150">
        <f t="shared" si="19"/>
        <v>758.30600000000004</v>
      </c>
      <c r="P82" s="150"/>
      <c r="Q82" s="150">
        <f>SUM(Q76:Q81)</f>
        <v>0</v>
      </c>
      <c r="R82" s="150">
        <f>SUM(R76:R81)</f>
        <v>0</v>
      </c>
      <c r="S82" s="150">
        <f>SUM(S76:S81)</f>
        <v>0</v>
      </c>
      <c r="T82" s="150">
        <f>SUM(T76:T81)</f>
        <v>0</v>
      </c>
      <c r="U82" s="150">
        <f>SUM(U76:U81)</f>
        <v>0</v>
      </c>
      <c r="V82" s="150"/>
      <c r="W82" s="230">
        <f>O82+U82</f>
        <v>758.30600000000004</v>
      </c>
      <c r="X82" s="293">
        <f>SUM(X76:X81)</f>
        <v>0</v>
      </c>
    </row>
    <row r="83" spans="1:24" ht="9.9499999999999993" hidden="1" customHeight="1" x14ac:dyDescent="0.2">
      <c r="A83" s="40"/>
      <c r="B83" s="117"/>
      <c r="C83" s="41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4"/>
      <c r="W83" s="241"/>
      <c r="X83" s="242"/>
    </row>
    <row r="84" spans="1:24" ht="24.95" hidden="1" customHeight="1" x14ac:dyDescent="0.2">
      <c r="A84" s="40"/>
      <c r="B84" s="117"/>
      <c r="C84" s="41" t="s">
        <v>50</v>
      </c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>
        <f>SUM(D84:N84)</f>
        <v>0</v>
      </c>
      <c r="P84" s="223"/>
      <c r="Q84" s="223"/>
      <c r="R84" s="223"/>
      <c r="S84" s="223"/>
      <c r="T84" s="223"/>
      <c r="U84" s="223">
        <f>SUM(Q84:T84)</f>
        <v>0</v>
      </c>
      <c r="V84" s="224"/>
      <c r="W84" s="241">
        <f>O84+U84</f>
        <v>0</v>
      </c>
      <c r="X84" s="242"/>
    </row>
    <row r="85" spans="1:24" ht="24.95" hidden="1" customHeight="1" thickBot="1" x14ac:dyDescent="0.25">
      <c r="A85" s="40"/>
      <c r="B85" s="98"/>
      <c r="C85" s="99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5"/>
      <c r="W85" s="246"/>
      <c r="X85" s="247"/>
    </row>
    <row r="86" spans="1:24" ht="30" hidden="1" customHeight="1" thickTop="1" thickBot="1" x14ac:dyDescent="0.25">
      <c r="A86" s="47"/>
      <c r="B86" s="615" t="s">
        <v>448</v>
      </c>
      <c r="C86" s="44" t="s">
        <v>64</v>
      </c>
      <c r="D86" s="196">
        <f t="shared" ref="D86:O86" si="20">D74+D82</f>
        <v>0</v>
      </c>
      <c r="E86" s="196">
        <f t="shared" si="20"/>
        <v>0</v>
      </c>
      <c r="F86" s="196">
        <f t="shared" si="20"/>
        <v>758.30600000000004</v>
      </c>
      <c r="G86" s="196">
        <f t="shared" si="20"/>
        <v>0</v>
      </c>
      <c r="H86" s="196">
        <f t="shared" si="20"/>
        <v>0</v>
      </c>
      <c r="I86" s="196">
        <f t="shared" si="20"/>
        <v>0</v>
      </c>
      <c r="J86" s="196">
        <f t="shared" si="20"/>
        <v>0</v>
      </c>
      <c r="K86" s="196">
        <f t="shared" si="20"/>
        <v>0</v>
      </c>
      <c r="L86" s="196">
        <f t="shared" si="20"/>
        <v>2010</v>
      </c>
      <c r="M86" s="196">
        <f t="shared" si="20"/>
        <v>0</v>
      </c>
      <c r="N86" s="196">
        <f t="shared" si="20"/>
        <v>0</v>
      </c>
      <c r="O86" s="196">
        <f t="shared" si="20"/>
        <v>2768.306</v>
      </c>
      <c r="P86" s="196"/>
      <c r="Q86" s="196">
        <f>Q74+Q82</f>
        <v>0</v>
      </c>
      <c r="R86" s="196">
        <f>R74+R82</f>
        <v>0</v>
      </c>
      <c r="S86" s="196">
        <f>S74+S82</f>
        <v>0</v>
      </c>
      <c r="T86" s="196">
        <f>T74+T82</f>
        <v>0</v>
      </c>
      <c r="U86" s="196">
        <f>U74+U82</f>
        <v>0</v>
      </c>
      <c r="V86" s="196"/>
      <c r="W86" s="248">
        <f>W74+W82</f>
        <v>2768.306</v>
      </c>
      <c r="X86" s="225">
        <f>X74+X82</f>
        <v>73362.352999999988</v>
      </c>
    </row>
    <row r="87" spans="1:24" ht="30" hidden="1" customHeight="1" thickTop="1" thickBot="1" x14ac:dyDescent="0.25">
      <c r="A87" s="42"/>
      <c r="B87" s="103" t="s">
        <v>142</v>
      </c>
      <c r="C87" s="44" t="s">
        <v>118</v>
      </c>
      <c r="D87" s="249">
        <f t="shared" ref="D87:O87" si="21">D54+D86</f>
        <v>0</v>
      </c>
      <c r="E87" s="249">
        <f t="shared" si="21"/>
        <v>0</v>
      </c>
      <c r="F87" s="249">
        <f t="shared" si="21"/>
        <v>20203.919000000002</v>
      </c>
      <c r="G87" s="249">
        <f t="shared" si="21"/>
        <v>4500</v>
      </c>
      <c r="H87" s="249">
        <f t="shared" si="21"/>
        <v>10681</v>
      </c>
      <c r="I87" s="249">
        <f t="shared" si="21"/>
        <v>0</v>
      </c>
      <c r="J87" s="249">
        <f t="shared" si="21"/>
        <v>0</v>
      </c>
      <c r="K87" s="249">
        <f t="shared" si="21"/>
        <v>0</v>
      </c>
      <c r="L87" s="249">
        <f t="shared" si="21"/>
        <v>2060</v>
      </c>
      <c r="M87" s="249">
        <f t="shared" si="21"/>
        <v>1200</v>
      </c>
      <c r="N87" s="249">
        <f t="shared" si="21"/>
        <v>0</v>
      </c>
      <c r="O87" s="249">
        <f t="shared" si="21"/>
        <v>38644.918999999994</v>
      </c>
      <c r="P87" s="249"/>
      <c r="Q87" s="249">
        <f>Q54+Q86</f>
        <v>0</v>
      </c>
      <c r="R87" s="249">
        <f>R54+R86</f>
        <v>260627.83900000001</v>
      </c>
      <c r="S87" s="249">
        <f>S54+S86</f>
        <v>0</v>
      </c>
      <c r="T87" s="249">
        <f>T54+T86</f>
        <v>0</v>
      </c>
      <c r="U87" s="249">
        <f>U54+U86</f>
        <v>260627.83900000001</v>
      </c>
      <c r="V87" s="249"/>
      <c r="W87" s="248">
        <f>W54+W86</f>
        <v>299272.75799999997</v>
      </c>
      <c r="X87" s="225">
        <f>X54+X86</f>
        <v>3581585.9210000001</v>
      </c>
    </row>
    <row r="88" spans="1:24" ht="24.95" hidden="1" customHeight="1" thickTop="1" x14ac:dyDescent="0.25">
      <c r="A88" s="22"/>
      <c r="B88" s="459" t="s">
        <v>144</v>
      </c>
      <c r="C88" s="24" t="s">
        <v>18</v>
      </c>
      <c r="D88" s="25">
        <f t="shared" ref="D88:U88" si="22">D87</f>
        <v>0</v>
      </c>
      <c r="E88" s="25">
        <f t="shared" si="22"/>
        <v>0</v>
      </c>
      <c r="F88" s="25">
        <f t="shared" si="22"/>
        <v>20203.919000000002</v>
      </c>
      <c r="G88" s="25">
        <f t="shared" si="22"/>
        <v>4500</v>
      </c>
      <c r="H88" s="25">
        <f t="shared" si="22"/>
        <v>10681</v>
      </c>
      <c r="I88" s="25">
        <f t="shared" si="22"/>
        <v>0</v>
      </c>
      <c r="J88" s="25">
        <f t="shared" si="22"/>
        <v>0</v>
      </c>
      <c r="K88" s="25">
        <f t="shared" si="22"/>
        <v>0</v>
      </c>
      <c r="L88" s="25">
        <f t="shared" si="22"/>
        <v>2060</v>
      </c>
      <c r="M88" s="25">
        <f t="shared" si="22"/>
        <v>1200</v>
      </c>
      <c r="N88" s="25">
        <f t="shared" si="22"/>
        <v>0</v>
      </c>
      <c r="O88" s="25">
        <f t="shared" si="22"/>
        <v>38644.918999999994</v>
      </c>
      <c r="P88" s="25"/>
      <c r="Q88" s="25">
        <f t="shared" si="22"/>
        <v>0</v>
      </c>
      <c r="R88" s="25">
        <f t="shared" si="22"/>
        <v>260627.83900000001</v>
      </c>
      <c r="S88" s="25">
        <f t="shared" si="22"/>
        <v>0</v>
      </c>
      <c r="T88" s="25">
        <f t="shared" si="22"/>
        <v>0</v>
      </c>
      <c r="U88" s="25">
        <f t="shared" si="22"/>
        <v>260627.83900000001</v>
      </c>
      <c r="V88" s="25"/>
      <c r="W88" s="233">
        <f t="shared" ref="W88:W93" si="23">O88+U88</f>
        <v>299272.75800000003</v>
      </c>
      <c r="X88" s="240">
        <f>X87</f>
        <v>3581585.9210000001</v>
      </c>
    </row>
    <row r="89" spans="1:24" ht="30.75" hidden="1" customHeight="1" x14ac:dyDescent="0.2">
      <c r="A89" s="40">
        <v>1</v>
      </c>
      <c r="B89" s="472"/>
      <c r="C89" s="41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>
        <f>SUM(D89:N89)</f>
        <v>0</v>
      </c>
      <c r="P89" s="70"/>
      <c r="Q89" s="70"/>
      <c r="R89" s="70"/>
      <c r="S89" s="70"/>
      <c r="T89" s="70"/>
      <c r="U89" s="70">
        <f>SUM(Q89:T89)</f>
        <v>0</v>
      </c>
      <c r="V89" s="71"/>
      <c r="W89" s="250">
        <f t="shared" si="23"/>
        <v>0</v>
      </c>
      <c r="X89" s="293"/>
    </row>
    <row r="90" spans="1:24" ht="30.75" hidden="1" customHeight="1" x14ac:dyDescent="0.2">
      <c r="A90" s="173">
        <v>2</v>
      </c>
      <c r="B90" s="472"/>
      <c r="C90" s="41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>
        <f>SUM(D90:N90)</f>
        <v>0</v>
      </c>
      <c r="P90" s="70"/>
      <c r="Q90" s="70"/>
      <c r="R90" s="70"/>
      <c r="S90" s="70"/>
      <c r="T90" s="70"/>
      <c r="U90" s="70">
        <f>SUM(Q90:T90)</f>
        <v>0</v>
      </c>
      <c r="V90" s="71"/>
      <c r="W90" s="250">
        <f t="shared" si="23"/>
        <v>0</v>
      </c>
      <c r="X90" s="293"/>
    </row>
    <row r="91" spans="1:24" ht="30.75" hidden="1" customHeight="1" x14ac:dyDescent="0.2">
      <c r="A91" s="40">
        <v>3</v>
      </c>
      <c r="B91" s="473"/>
      <c r="C91" s="41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>
        <f>SUM(D91:N91)</f>
        <v>0</v>
      </c>
      <c r="P91" s="70"/>
      <c r="Q91" s="70"/>
      <c r="R91" s="70"/>
      <c r="S91" s="70"/>
      <c r="T91" s="70"/>
      <c r="U91" s="70">
        <f>SUM(Q91:T91)</f>
        <v>0</v>
      </c>
      <c r="V91" s="71"/>
      <c r="W91" s="250">
        <f t="shared" si="23"/>
        <v>0</v>
      </c>
      <c r="X91" s="293"/>
    </row>
    <row r="92" spans="1:24" ht="30.75" hidden="1" customHeight="1" x14ac:dyDescent="0.2">
      <c r="A92" s="173">
        <v>4</v>
      </c>
      <c r="B92" s="473"/>
      <c r="C92" s="41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>
        <f>SUM(D92:N92)</f>
        <v>0</v>
      </c>
      <c r="P92" s="70"/>
      <c r="Q92" s="70"/>
      <c r="R92" s="70"/>
      <c r="S92" s="70"/>
      <c r="T92" s="70"/>
      <c r="U92" s="70">
        <f>SUM(Q92:T92)</f>
        <v>0</v>
      </c>
      <c r="V92" s="71"/>
      <c r="W92" s="250">
        <f t="shared" si="23"/>
        <v>0</v>
      </c>
      <c r="X92" s="293"/>
    </row>
    <row r="93" spans="1:24" ht="30.75" hidden="1" customHeight="1" x14ac:dyDescent="0.2">
      <c r="A93" s="40">
        <v>5</v>
      </c>
      <c r="B93" s="473"/>
      <c r="C93" s="41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>
        <f>SUM(D93:N93)</f>
        <v>0</v>
      </c>
      <c r="P93" s="70"/>
      <c r="Q93" s="70"/>
      <c r="R93" s="70"/>
      <c r="S93" s="70"/>
      <c r="T93" s="70"/>
      <c r="U93" s="70">
        <f>SUM(Q93:T93)</f>
        <v>0</v>
      </c>
      <c r="V93" s="71"/>
      <c r="W93" s="250">
        <f t="shared" si="23"/>
        <v>0</v>
      </c>
      <c r="X93" s="293"/>
    </row>
    <row r="94" spans="1:24" ht="30.75" hidden="1" customHeight="1" x14ac:dyDescent="0.2">
      <c r="A94" s="40"/>
      <c r="B94" s="473"/>
      <c r="C94" s="41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1"/>
      <c r="W94" s="250"/>
      <c r="X94" s="293"/>
    </row>
    <row r="95" spans="1:24" ht="30.75" hidden="1" customHeight="1" x14ac:dyDescent="0.2">
      <c r="A95" s="40"/>
      <c r="B95" s="473"/>
      <c r="C95" s="41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1"/>
      <c r="W95" s="250"/>
      <c r="X95" s="293"/>
    </row>
    <row r="96" spans="1:24" ht="24.95" hidden="1" customHeight="1" x14ac:dyDescent="0.2">
      <c r="A96" s="40"/>
      <c r="B96" s="32"/>
      <c r="C96" s="41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1"/>
      <c r="W96" s="250">
        <f>SUM(D96:V96)</f>
        <v>0</v>
      </c>
      <c r="X96" s="293"/>
    </row>
    <row r="97" spans="1:24" ht="24.95" hidden="1" customHeight="1" x14ac:dyDescent="0.2">
      <c r="A97" s="202" t="s">
        <v>62</v>
      </c>
      <c r="B97" s="198"/>
      <c r="C97" s="203" t="s">
        <v>60</v>
      </c>
      <c r="D97" s="165">
        <f t="shared" ref="D97:X97" si="24">SUM(D89:D96)</f>
        <v>0</v>
      </c>
      <c r="E97" s="165">
        <f t="shared" si="24"/>
        <v>0</v>
      </c>
      <c r="F97" s="165">
        <f t="shared" si="24"/>
        <v>0</v>
      </c>
      <c r="G97" s="165">
        <f t="shared" si="24"/>
        <v>0</v>
      </c>
      <c r="H97" s="165">
        <f t="shared" si="24"/>
        <v>0</v>
      </c>
      <c r="I97" s="165">
        <f t="shared" si="24"/>
        <v>0</v>
      </c>
      <c r="J97" s="165">
        <f t="shared" si="24"/>
        <v>0</v>
      </c>
      <c r="K97" s="165">
        <f t="shared" si="24"/>
        <v>0</v>
      </c>
      <c r="L97" s="165">
        <f t="shared" si="24"/>
        <v>0</v>
      </c>
      <c r="M97" s="165">
        <f t="shared" si="24"/>
        <v>0</v>
      </c>
      <c r="N97" s="165">
        <f t="shared" si="24"/>
        <v>0</v>
      </c>
      <c r="O97" s="165">
        <f t="shared" si="24"/>
        <v>0</v>
      </c>
      <c r="P97" s="165"/>
      <c r="Q97" s="165">
        <f t="shared" si="24"/>
        <v>0</v>
      </c>
      <c r="R97" s="165">
        <f t="shared" si="24"/>
        <v>0</v>
      </c>
      <c r="S97" s="165">
        <f t="shared" si="24"/>
        <v>0</v>
      </c>
      <c r="T97" s="165">
        <f t="shared" si="24"/>
        <v>0</v>
      </c>
      <c r="U97" s="165">
        <f t="shared" si="24"/>
        <v>0</v>
      </c>
      <c r="V97" s="165"/>
      <c r="W97" s="243">
        <f t="shared" si="24"/>
        <v>0</v>
      </c>
      <c r="X97" s="297">
        <f t="shared" si="24"/>
        <v>0</v>
      </c>
    </row>
    <row r="98" spans="1:24" ht="15.75" hidden="1" customHeight="1" x14ac:dyDescent="0.2">
      <c r="A98" s="40"/>
      <c r="B98" s="31"/>
      <c r="C98" s="41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1"/>
      <c r="W98" s="250"/>
      <c r="X98" s="293"/>
    </row>
    <row r="99" spans="1:24" ht="30.75" hidden="1" customHeight="1" x14ac:dyDescent="0.2">
      <c r="A99" s="40" t="s">
        <v>83</v>
      </c>
      <c r="B99" s="473"/>
      <c r="C99" s="41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>
        <f>SUM(D99:N99)</f>
        <v>0</v>
      </c>
      <c r="P99" s="150"/>
      <c r="Q99" s="150"/>
      <c r="R99" s="150"/>
      <c r="S99" s="150"/>
      <c r="T99" s="150"/>
      <c r="U99" s="150">
        <f>SUM(Q99:T99)</f>
        <v>0</v>
      </c>
      <c r="V99" s="156"/>
      <c r="W99" s="471">
        <f>O99+U99</f>
        <v>0</v>
      </c>
      <c r="X99" s="293"/>
    </row>
    <row r="100" spans="1:24" ht="30.75" hidden="1" customHeight="1" x14ac:dyDescent="0.2">
      <c r="A100" s="40" t="s">
        <v>83</v>
      </c>
      <c r="B100" s="473"/>
      <c r="C100" s="41"/>
      <c r="D100" s="150"/>
      <c r="E100" s="150"/>
      <c r="F100" s="150"/>
      <c r="G100" s="150"/>
      <c r="H100" s="150"/>
      <c r="I100" s="150"/>
      <c r="J100" s="150"/>
      <c r="K100" s="150"/>
      <c r="L100" s="164"/>
      <c r="M100" s="150"/>
      <c r="N100" s="150"/>
      <c r="O100" s="150">
        <f>SUM(D100:N100)</f>
        <v>0</v>
      </c>
      <c r="P100" s="150"/>
      <c r="Q100" s="150"/>
      <c r="R100" s="150"/>
      <c r="S100" s="150"/>
      <c r="T100" s="150"/>
      <c r="U100" s="150">
        <f>SUM(Q100:T100)</f>
        <v>0</v>
      </c>
      <c r="V100" s="156"/>
      <c r="W100" s="471">
        <f>O100+U100</f>
        <v>0</v>
      </c>
      <c r="X100" s="293"/>
    </row>
    <row r="101" spans="1:24" ht="30.75" hidden="1" customHeight="1" x14ac:dyDescent="0.2">
      <c r="A101" s="40" t="s">
        <v>83</v>
      </c>
      <c r="B101" s="473"/>
      <c r="C101" s="41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64"/>
      <c r="O101" s="150">
        <f>SUM(D101:N101)</f>
        <v>0</v>
      </c>
      <c r="P101" s="150"/>
      <c r="Q101" s="150"/>
      <c r="R101" s="150"/>
      <c r="S101" s="150"/>
      <c r="T101" s="150"/>
      <c r="U101" s="150">
        <f>SUM(Q101:T101)</f>
        <v>0</v>
      </c>
      <c r="V101" s="156"/>
      <c r="W101" s="471">
        <f>O101+U101</f>
        <v>0</v>
      </c>
      <c r="X101" s="293"/>
    </row>
    <row r="102" spans="1:24" ht="24.95" hidden="1" customHeight="1" x14ac:dyDescent="0.2">
      <c r="A102" s="40" t="s">
        <v>83</v>
      </c>
      <c r="B102" s="219"/>
      <c r="C102" s="41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>
        <f>SUM(D102:N102)</f>
        <v>0</v>
      </c>
      <c r="P102" s="150"/>
      <c r="Q102" s="150"/>
      <c r="R102" s="150"/>
      <c r="S102" s="150"/>
      <c r="T102" s="150"/>
      <c r="U102" s="150">
        <f>SUM(Q102:T102)</f>
        <v>0</v>
      </c>
      <c r="V102" s="156"/>
      <c r="W102" s="471">
        <f>O102+U102</f>
        <v>0</v>
      </c>
      <c r="X102" s="293"/>
    </row>
    <row r="103" spans="1:24" ht="24.95" hidden="1" customHeight="1" x14ac:dyDescent="0.2">
      <c r="A103" s="40" t="s">
        <v>83</v>
      </c>
      <c r="B103" s="219"/>
      <c r="C103" s="41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>
        <f>SUM(D103:N103)</f>
        <v>0</v>
      </c>
      <c r="P103" s="150"/>
      <c r="Q103" s="150"/>
      <c r="R103" s="150"/>
      <c r="S103" s="150"/>
      <c r="T103" s="150"/>
      <c r="U103" s="150">
        <f>SUM(Q103:T103)</f>
        <v>0</v>
      </c>
      <c r="V103" s="156"/>
      <c r="W103" s="471">
        <f>O103+U103</f>
        <v>0</v>
      </c>
      <c r="X103" s="293"/>
    </row>
    <row r="104" spans="1:24" ht="24.95" hidden="1" customHeight="1" x14ac:dyDescent="0.2">
      <c r="A104" s="40"/>
      <c r="B104" s="219"/>
      <c r="C104" s="41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6"/>
      <c r="W104" s="471"/>
      <c r="X104" s="293"/>
    </row>
    <row r="105" spans="1:24" ht="24.95" hidden="1" customHeight="1" x14ac:dyDescent="0.2">
      <c r="A105" s="40"/>
      <c r="B105" s="31"/>
      <c r="C105" s="41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1"/>
      <c r="W105" s="250"/>
      <c r="X105" s="293"/>
    </row>
    <row r="106" spans="1:24" ht="24.95" hidden="1" customHeight="1" x14ac:dyDescent="0.2">
      <c r="A106" s="202" t="s">
        <v>63</v>
      </c>
      <c r="B106" s="198"/>
      <c r="C106" s="203" t="s">
        <v>61</v>
      </c>
      <c r="D106" s="165">
        <f t="shared" ref="D106:X106" si="25">SUM(D99:D105)</f>
        <v>0</v>
      </c>
      <c r="E106" s="165">
        <f t="shared" si="25"/>
        <v>0</v>
      </c>
      <c r="F106" s="165">
        <f t="shared" si="25"/>
        <v>0</v>
      </c>
      <c r="G106" s="165">
        <f t="shared" si="25"/>
        <v>0</v>
      </c>
      <c r="H106" s="165">
        <f t="shared" si="25"/>
        <v>0</v>
      </c>
      <c r="I106" s="165">
        <f t="shared" si="25"/>
        <v>0</v>
      </c>
      <c r="J106" s="165">
        <f t="shared" si="25"/>
        <v>0</v>
      </c>
      <c r="K106" s="165">
        <f t="shared" si="25"/>
        <v>0</v>
      </c>
      <c r="L106" s="165">
        <f t="shared" si="25"/>
        <v>0</v>
      </c>
      <c r="M106" s="165">
        <f t="shared" si="25"/>
        <v>0</v>
      </c>
      <c r="N106" s="165">
        <f t="shared" si="25"/>
        <v>0</v>
      </c>
      <c r="O106" s="165">
        <f t="shared" si="25"/>
        <v>0</v>
      </c>
      <c r="P106" s="165"/>
      <c r="Q106" s="165">
        <f t="shared" si="25"/>
        <v>0</v>
      </c>
      <c r="R106" s="165">
        <f t="shared" si="25"/>
        <v>0</v>
      </c>
      <c r="S106" s="165">
        <f t="shared" si="25"/>
        <v>0</v>
      </c>
      <c r="T106" s="165">
        <f t="shared" si="25"/>
        <v>0</v>
      </c>
      <c r="U106" s="165">
        <f t="shared" si="25"/>
        <v>0</v>
      </c>
      <c r="V106" s="165"/>
      <c r="W106" s="255">
        <f t="shared" si="25"/>
        <v>0</v>
      </c>
      <c r="X106" s="255">
        <f t="shared" si="25"/>
        <v>0</v>
      </c>
    </row>
    <row r="107" spans="1:24" ht="12" hidden="1" customHeight="1" x14ac:dyDescent="0.2">
      <c r="A107" s="40"/>
      <c r="B107" s="31"/>
      <c r="C107" s="41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1"/>
      <c r="W107" s="250">
        <f>SUM(D107:V107)</f>
        <v>0</v>
      </c>
      <c r="X107" s="293"/>
    </row>
    <row r="108" spans="1:24" ht="24.95" hidden="1" customHeight="1" thickBot="1" x14ac:dyDescent="0.25">
      <c r="A108" s="40"/>
      <c r="B108" s="32"/>
      <c r="C108" s="34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1"/>
      <c r="W108" s="250"/>
      <c r="X108" s="293"/>
    </row>
    <row r="109" spans="1:24" ht="24.95" hidden="1" customHeight="1" thickTop="1" thickBot="1" x14ac:dyDescent="0.25">
      <c r="A109" s="42"/>
      <c r="B109" s="103" t="s">
        <v>144</v>
      </c>
      <c r="C109" s="44" t="s">
        <v>64</v>
      </c>
      <c r="D109" s="196">
        <f>D97+D106</f>
        <v>0</v>
      </c>
      <c r="E109" s="196">
        <f t="shared" ref="E109:U109" si="26">E97+E106</f>
        <v>0</v>
      </c>
      <c r="F109" s="196">
        <f t="shared" si="26"/>
        <v>0</v>
      </c>
      <c r="G109" s="196">
        <f t="shared" si="26"/>
        <v>0</v>
      </c>
      <c r="H109" s="196">
        <f t="shared" si="26"/>
        <v>0</v>
      </c>
      <c r="I109" s="196">
        <f t="shared" si="26"/>
        <v>0</v>
      </c>
      <c r="J109" s="196">
        <f t="shared" si="26"/>
        <v>0</v>
      </c>
      <c r="K109" s="196">
        <f t="shared" si="26"/>
        <v>0</v>
      </c>
      <c r="L109" s="196">
        <f>L97+L106</f>
        <v>0</v>
      </c>
      <c r="M109" s="196">
        <f t="shared" si="26"/>
        <v>0</v>
      </c>
      <c r="N109" s="196">
        <f t="shared" si="26"/>
        <v>0</v>
      </c>
      <c r="O109" s="196">
        <f t="shared" si="26"/>
        <v>0</v>
      </c>
      <c r="P109" s="196"/>
      <c r="Q109" s="196">
        <f>Q97+Q106</f>
        <v>0</v>
      </c>
      <c r="R109" s="196">
        <f t="shared" si="26"/>
        <v>0</v>
      </c>
      <c r="S109" s="196">
        <f t="shared" si="26"/>
        <v>0</v>
      </c>
      <c r="T109" s="196">
        <f t="shared" si="26"/>
        <v>0</v>
      </c>
      <c r="U109" s="196">
        <f t="shared" si="26"/>
        <v>0</v>
      </c>
      <c r="V109" s="196"/>
      <c r="W109" s="248">
        <f>W97+W106</f>
        <v>0</v>
      </c>
      <c r="X109" s="170">
        <f>X97+X106</f>
        <v>0</v>
      </c>
    </row>
    <row r="110" spans="1:24" ht="30" hidden="1" customHeight="1" thickTop="1" thickBot="1" x14ac:dyDescent="0.25">
      <c r="A110" s="42"/>
      <c r="B110" s="458" t="s">
        <v>150</v>
      </c>
      <c r="C110" s="44" t="s">
        <v>118</v>
      </c>
      <c r="D110" s="249">
        <f t="shared" ref="D110:O110" si="27">D54+D86+D109</f>
        <v>0</v>
      </c>
      <c r="E110" s="249">
        <f t="shared" si="27"/>
        <v>0</v>
      </c>
      <c r="F110" s="249">
        <f t="shared" si="27"/>
        <v>20203.919000000002</v>
      </c>
      <c r="G110" s="249">
        <f t="shared" si="27"/>
        <v>4500</v>
      </c>
      <c r="H110" s="249">
        <f t="shared" si="27"/>
        <v>10681</v>
      </c>
      <c r="I110" s="249">
        <f t="shared" si="27"/>
        <v>0</v>
      </c>
      <c r="J110" s="249">
        <f t="shared" si="27"/>
        <v>0</v>
      </c>
      <c r="K110" s="249">
        <f t="shared" si="27"/>
        <v>0</v>
      </c>
      <c r="L110" s="249">
        <f t="shared" si="27"/>
        <v>2060</v>
      </c>
      <c r="M110" s="249">
        <f t="shared" si="27"/>
        <v>1200</v>
      </c>
      <c r="N110" s="249">
        <f t="shared" si="27"/>
        <v>0</v>
      </c>
      <c r="O110" s="249">
        <f t="shared" si="27"/>
        <v>38644.918999999994</v>
      </c>
      <c r="P110" s="249"/>
      <c r="Q110" s="249">
        <f>Q54+Q86+Q109</f>
        <v>0</v>
      </c>
      <c r="R110" s="249">
        <f>R54+R86+R109</f>
        <v>260627.83900000001</v>
      </c>
      <c r="S110" s="249">
        <f>S54+S86+S109</f>
        <v>0</v>
      </c>
      <c r="T110" s="249">
        <f>T54+T86+T109</f>
        <v>0</v>
      </c>
      <c r="U110" s="249">
        <f>U54+U86+U109</f>
        <v>260627.83900000001</v>
      </c>
      <c r="V110" s="249"/>
      <c r="W110" s="248">
        <f>W54+W86+W109</f>
        <v>299272.75799999997</v>
      </c>
      <c r="X110" s="225">
        <f>X54+X86+X109</f>
        <v>3581585.9210000001</v>
      </c>
    </row>
    <row r="111" spans="1:24" ht="24.95" hidden="1" customHeight="1" thickTop="1" x14ac:dyDescent="0.2">
      <c r="A111" s="175"/>
      <c r="B111" s="494" t="s">
        <v>148</v>
      </c>
      <c r="C111" s="24" t="s">
        <v>18</v>
      </c>
      <c r="D111" s="25">
        <f t="shared" ref="D111:U111" si="28">D110</f>
        <v>0</v>
      </c>
      <c r="E111" s="25">
        <f t="shared" si="28"/>
        <v>0</v>
      </c>
      <c r="F111" s="25">
        <f t="shared" si="28"/>
        <v>20203.919000000002</v>
      </c>
      <c r="G111" s="25">
        <f t="shared" si="28"/>
        <v>4500</v>
      </c>
      <c r="H111" s="25">
        <f t="shared" si="28"/>
        <v>10681</v>
      </c>
      <c r="I111" s="25">
        <f t="shared" si="28"/>
        <v>0</v>
      </c>
      <c r="J111" s="25">
        <f t="shared" si="28"/>
        <v>0</v>
      </c>
      <c r="K111" s="25">
        <f t="shared" si="28"/>
        <v>0</v>
      </c>
      <c r="L111" s="25">
        <f t="shared" si="28"/>
        <v>2060</v>
      </c>
      <c r="M111" s="25">
        <f t="shared" si="28"/>
        <v>1200</v>
      </c>
      <c r="N111" s="25">
        <f t="shared" si="28"/>
        <v>0</v>
      </c>
      <c r="O111" s="25">
        <f t="shared" si="28"/>
        <v>38644.918999999994</v>
      </c>
      <c r="P111" s="25"/>
      <c r="Q111" s="25">
        <f>Q110</f>
        <v>0</v>
      </c>
      <c r="R111" s="25">
        <f>R110</f>
        <v>260627.83900000001</v>
      </c>
      <c r="S111" s="25">
        <f t="shared" si="28"/>
        <v>0</v>
      </c>
      <c r="T111" s="25">
        <f t="shared" si="28"/>
        <v>0</v>
      </c>
      <c r="U111" s="25">
        <f t="shared" si="28"/>
        <v>260627.83900000001</v>
      </c>
      <c r="V111" s="25"/>
      <c r="W111" s="233">
        <f t="shared" ref="W111:W116" si="29">O111+U111</f>
        <v>299272.75800000003</v>
      </c>
      <c r="X111" s="240">
        <f>X110</f>
        <v>3581585.9210000001</v>
      </c>
    </row>
    <row r="112" spans="1:24" ht="30.75" hidden="1" customHeight="1" x14ac:dyDescent="0.2">
      <c r="A112" s="40">
        <v>1</v>
      </c>
      <c r="B112" s="298"/>
      <c r="C112" s="28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>
        <f>SUM(D112:N112)</f>
        <v>0</v>
      </c>
      <c r="P112" s="165"/>
      <c r="Q112" s="165"/>
      <c r="R112" s="165"/>
      <c r="S112" s="165"/>
      <c r="T112" s="165"/>
      <c r="U112" s="165">
        <f>SUM(Q112:T112)</f>
        <v>0</v>
      </c>
      <c r="V112" s="166"/>
      <c r="W112" s="167">
        <f t="shared" si="29"/>
        <v>0</v>
      </c>
      <c r="X112" s="395"/>
    </row>
    <row r="113" spans="1:24" ht="30.75" hidden="1" customHeight="1" x14ac:dyDescent="0.2">
      <c r="A113" s="173"/>
      <c r="B113" s="220"/>
      <c r="C113" s="28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>
        <f>SUM(D113:N113)</f>
        <v>0</v>
      </c>
      <c r="P113" s="165"/>
      <c r="Q113" s="165"/>
      <c r="R113" s="165"/>
      <c r="S113" s="165"/>
      <c r="T113" s="165"/>
      <c r="U113" s="165">
        <f>SUM(Q113:T113)</f>
        <v>0</v>
      </c>
      <c r="V113" s="166"/>
      <c r="W113" s="167">
        <f t="shared" si="29"/>
        <v>0</v>
      </c>
      <c r="X113" s="347"/>
    </row>
    <row r="114" spans="1:24" ht="30.75" hidden="1" customHeight="1" x14ac:dyDescent="0.2">
      <c r="A114" s="173"/>
      <c r="B114" s="220"/>
      <c r="C114" s="28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>
        <f>SUM(D114:N114)</f>
        <v>0</v>
      </c>
      <c r="P114" s="165"/>
      <c r="Q114" s="165"/>
      <c r="R114" s="165"/>
      <c r="S114" s="165"/>
      <c r="T114" s="165"/>
      <c r="U114" s="165">
        <f>SUM(Q114:T114)</f>
        <v>0</v>
      </c>
      <c r="V114" s="166"/>
      <c r="W114" s="167">
        <f t="shared" si="29"/>
        <v>0</v>
      </c>
      <c r="X114" s="347"/>
    </row>
    <row r="115" spans="1:24" ht="24.95" hidden="1" customHeight="1" x14ac:dyDescent="0.2">
      <c r="A115" s="40"/>
      <c r="B115" s="30"/>
      <c r="C115" s="28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>
        <f>SUM(D115:N115)</f>
        <v>0</v>
      </c>
      <c r="P115" s="165"/>
      <c r="Q115" s="165"/>
      <c r="R115" s="165"/>
      <c r="S115" s="165"/>
      <c r="T115" s="165"/>
      <c r="U115" s="165">
        <f>SUM(Q115:T115)</f>
        <v>0</v>
      </c>
      <c r="V115" s="166"/>
      <c r="W115" s="167">
        <f t="shared" si="29"/>
        <v>0</v>
      </c>
      <c r="X115" s="347"/>
    </row>
    <row r="116" spans="1:24" ht="24.95" hidden="1" customHeight="1" x14ac:dyDescent="0.2">
      <c r="A116" s="40"/>
      <c r="B116" s="31"/>
      <c r="C116" s="41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>
        <f>SUM(D116:N116)</f>
        <v>0</v>
      </c>
      <c r="P116" s="165"/>
      <c r="Q116" s="165"/>
      <c r="R116" s="165"/>
      <c r="S116" s="165"/>
      <c r="T116" s="165"/>
      <c r="U116" s="165">
        <f>SUM(Q116:T116)</f>
        <v>0</v>
      </c>
      <c r="V116" s="166"/>
      <c r="W116" s="167">
        <f t="shared" si="29"/>
        <v>0</v>
      </c>
      <c r="X116" s="347"/>
    </row>
    <row r="117" spans="1:24" ht="24.95" hidden="1" customHeight="1" x14ac:dyDescent="0.2">
      <c r="A117" s="40"/>
      <c r="B117" s="31"/>
      <c r="C117" s="41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6"/>
      <c r="W117" s="167"/>
      <c r="X117" s="347"/>
    </row>
    <row r="118" spans="1:24" ht="9.9499999999999993" hidden="1" customHeight="1" x14ac:dyDescent="0.2">
      <c r="A118" s="40"/>
      <c r="B118" s="120"/>
      <c r="C118" s="41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6"/>
      <c r="W118" s="167"/>
      <c r="X118" s="242"/>
    </row>
    <row r="119" spans="1:24" ht="24.95" hidden="1" customHeight="1" x14ac:dyDescent="0.2">
      <c r="A119" s="202" t="s">
        <v>62</v>
      </c>
      <c r="B119" s="198"/>
      <c r="C119" s="203" t="s">
        <v>60</v>
      </c>
      <c r="D119" s="165">
        <f t="shared" ref="D119:X119" si="30">SUM(D112:D118)</f>
        <v>0</v>
      </c>
      <c r="E119" s="165">
        <f t="shared" si="30"/>
        <v>0</v>
      </c>
      <c r="F119" s="165">
        <f t="shared" si="30"/>
        <v>0</v>
      </c>
      <c r="G119" s="165">
        <f t="shared" si="30"/>
        <v>0</v>
      </c>
      <c r="H119" s="165">
        <f t="shared" si="30"/>
        <v>0</v>
      </c>
      <c r="I119" s="165">
        <f t="shared" si="30"/>
        <v>0</v>
      </c>
      <c r="J119" s="165">
        <f t="shared" si="30"/>
        <v>0</v>
      </c>
      <c r="K119" s="165">
        <f t="shared" si="30"/>
        <v>0</v>
      </c>
      <c r="L119" s="165">
        <f t="shared" si="30"/>
        <v>0</v>
      </c>
      <c r="M119" s="165">
        <f t="shared" si="30"/>
        <v>0</v>
      </c>
      <c r="N119" s="165">
        <f t="shared" si="30"/>
        <v>0</v>
      </c>
      <c r="O119" s="165">
        <f t="shared" si="30"/>
        <v>0</v>
      </c>
      <c r="P119" s="165"/>
      <c r="Q119" s="165">
        <f t="shared" si="30"/>
        <v>0</v>
      </c>
      <c r="R119" s="165">
        <f t="shared" si="30"/>
        <v>0</v>
      </c>
      <c r="S119" s="165">
        <f t="shared" si="30"/>
        <v>0</v>
      </c>
      <c r="T119" s="165">
        <f t="shared" si="30"/>
        <v>0</v>
      </c>
      <c r="U119" s="165">
        <f t="shared" si="30"/>
        <v>0</v>
      </c>
      <c r="V119" s="165"/>
      <c r="W119" s="255">
        <f t="shared" si="30"/>
        <v>0</v>
      </c>
      <c r="X119" s="347">
        <f t="shared" si="30"/>
        <v>0</v>
      </c>
    </row>
    <row r="120" spans="1:24" ht="9.9499999999999993" hidden="1" customHeight="1" x14ac:dyDescent="0.2">
      <c r="A120" s="40"/>
      <c r="B120" s="31"/>
      <c r="C120" s="41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7"/>
      <c r="X120" s="242"/>
    </row>
    <row r="121" spans="1:24" ht="30.75" hidden="1" customHeight="1" x14ac:dyDescent="0.2">
      <c r="A121" s="173" t="s">
        <v>83</v>
      </c>
      <c r="B121" s="219"/>
      <c r="C121" s="41"/>
      <c r="D121" s="165"/>
      <c r="E121" s="165"/>
      <c r="F121" s="165"/>
      <c r="G121" s="165"/>
      <c r="H121" s="165"/>
      <c r="I121" s="165"/>
      <c r="J121" s="165"/>
      <c r="K121" s="165"/>
      <c r="M121" s="165"/>
      <c r="N121" s="165"/>
      <c r="O121" s="165">
        <f>SUM(D121:N121)</f>
        <v>0</v>
      </c>
      <c r="P121" s="165"/>
      <c r="Q121" s="165"/>
      <c r="R121" s="165"/>
      <c r="S121" s="165"/>
      <c r="T121" s="165"/>
      <c r="U121" s="165">
        <f>SUM(Q121:T121)</f>
        <v>0</v>
      </c>
      <c r="V121" s="165"/>
      <c r="W121" s="167">
        <f>O121+U121</f>
        <v>0</v>
      </c>
      <c r="X121" s="242"/>
    </row>
    <row r="122" spans="1:24" ht="30.75" hidden="1" customHeight="1" x14ac:dyDescent="0.2">
      <c r="A122" s="173"/>
      <c r="B122" s="219"/>
      <c r="C122" s="41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>
        <f>SUM(D122:N122)</f>
        <v>0</v>
      </c>
      <c r="P122" s="165"/>
      <c r="Q122" s="165"/>
      <c r="R122" s="165"/>
      <c r="S122" s="165"/>
      <c r="T122" s="165"/>
      <c r="U122" s="165">
        <f>SUM(Q122:T122)</f>
        <v>0</v>
      </c>
      <c r="V122" s="165"/>
      <c r="W122" s="167">
        <f>O122+U122</f>
        <v>0</v>
      </c>
      <c r="X122" s="242"/>
    </row>
    <row r="123" spans="1:24" ht="30.75" hidden="1" customHeight="1" x14ac:dyDescent="0.2">
      <c r="A123" s="40"/>
      <c r="B123" s="31"/>
      <c r="C123" s="41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>
        <f>SUM(D123:N123)</f>
        <v>0</v>
      </c>
      <c r="P123" s="165"/>
      <c r="Q123" s="165"/>
      <c r="R123" s="165"/>
      <c r="S123" s="165"/>
      <c r="T123" s="165"/>
      <c r="U123" s="165">
        <f>SUM(Q123:T123)</f>
        <v>0</v>
      </c>
      <c r="V123" s="165"/>
      <c r="W123" s="167">
        <f>O123+U123</f>
        <v>0</v>
      </c>
      <c r="X123" s="242"/>
    </row>
    <row r="124" spans="1:24" ht="24.95" hidden="1" customHeight="1" x14ac:dyDescent="0.2">
      <c r="A124" s="40"/>
      <c r="B124" s="117"/>
      <c r="C124" s="41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>
        <f>SUM(D124:N124)</f>
        <v>0</v>
      </c>
      <c r="P124" s="165"/>
      <c r="Q124" s="165"/>
      <c r="R124" s="165"/>
      <c r="S124" s="165"/>
      <c r="T124" s="165"/>
      <c r="U124" s="165">
        <f>SUM(Q124:T124)</f>
        <v>0</v>
      </c>
      <c r="V124" s="165"/>
      <c r="W124" s="167">
        <f>O124+U124</f>
        <v>0</v>
      </c>
      <c r="X124" s="242"/>
    </row>
    <row r="125" spans="1:24" ht="9.9499999999999993" hidden="1" customHeight="1" x14ac:dyDescent="0.2">
      <c r="A125" s="40"/>
      <c r="B125" s="117"/>
      <c r="C125" s="41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7"/>
      <c r="X125" s="238"/>
    </row>
    <row r="126" spans="1:24" ht="24.95" hidden="1" customHeight="1" x14ac:dyDescent="0.2">
      <c r="A126" s="202" t="s">
        <v>63</v>
      </c>
      <c r="B126" s="198"/>
      <c r="C126" s="203" t="s">
        <v>61</v>
      </c>
      <c r="D126" s="165">
        <f>SUM(D121:D125)</f>
        <v>0</v>
      </c>
      <c r="E126" s="165">
        <f t="shared" ref="E126:K126" si="31">SUM(E121:E125)</f>
        <v>0</v>
      </c>
      <c r="F126" s="165">
        <f t="shared" si="31"/>
        <v>0</v>
      </c>
      <c r="G126" s="165">
        <f t="shared" si="31"/>
        <v>0</v>
      </c>
      <c r="H126" s="165">
        <f t="shared" si="31"/>
        <v>0</v>
      </c>
      <c r="I126" s="165">
        <f t="shared" si="31"/>
        <v>0</v>
      </c>
      <c r="J126" s="165">
        <f t="shared" si="31"/>
        <v>0</v>
      </c>
      <c r="K126" s="165">
        <f t="shared" si="31"/>
        <v>0</v>
      </c>
      <c r="L126" s="165">
        <f>SUM(L121:L125)</f>
        <v>0</v>
      </c>
      <c r="M126" s="165">
        <f t="shared" ref="M126:X126" si="32">SUM(M121:M125)</f>
        <v>0</v>
      </c>
      <c r="N126" s="165">
        <f>SUM(N121:N125)</f>
        <v>0</v>
      </c>
      <c r="O126" s="165">
        <f t="shared" si="32"/>
        <v>0</v>
      </c>
      <c r="P126" s="165"/>
      <c r="Q126" s="165">
        <f>SUM(Q121:Q125)</f>
        <v>0</v>
      </c>
      <c r="R126" s="165">
        <f>SUM(R121:R125)</f>
        <v>0</v>
      </c>
      <c r="S126" s="165">
        <f t="shared" si="32"/>
        <v>0</v>
      </c>
      <c r="T126" s="165">
        <f t="shared" si="32"/>
        <v>0</v>
      </c>
      <c r="U126" s="165">
        <f t="shared" si="32"/>
        <v>0</v>
      </c>
      <c r="V126" s="165"/>
      <c r="W126" s="255">
        <f t="shared" si="32"/>
        <v>0</v>
      </c>
      <c r="X126" s="255">
        <f t="shared" si="32"/>
        <v>0</v>
      </c>
    </row>
    <row r="127" spans="1:24" ht="24.95" hidden="1" customHeight="1" x14ac:dyDescent="0.2">
      <c r="A127" s="40"/>
      <c r="B127" s="31"/>
      <c r="C127" s="41"/>
      <c r="D127" s="165"/>
      <c r="E127" s="165"/>
      <c r="F127" s="165"/>
      <c r="G127" s="165"/>
      <c r="H127" s="165"/>
      <c r="I127" s="165"/>
      <c r="J127" s="165"/>
      <c r="K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7"/>
      <c r="X127" s="242"/>
    </row>
    <row r="128" spans="1:24" ht="24.95" hidden="1" customHeight="1" thickBot="1" x14ac:dyDescent="0.25">
      <c r="A128" s="40"/>
      <c r="B128" s="32"/>
      <c r="C128" s="34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7"/>
      <c r="X128" s="242"/>
    </row>
    <row r="129" spans="1:27" ht="24.95" hidden="1" customHeight="1" thickTop="1" thickBot="1" x14ac:dyDescent="0.25">
      <c r="A129" s="46"/>
      <c r="B129" s="254" t="s">
        <v>149</v>
      </c>
      <c r="C129" s="44" t="s">
        <v>64</v>
      </c>
      <c r="D129" s="169">
        <f t="shared" ref="D129:X129" si="33">D119+D126</f>
        <v>0</v>
      </c>
      <c r="E129" s="169">
        <f t="shared" si="33"/>
        <v>0</v>
      </c>
      <c r="F129" s="169">
        <f t="shared" si="33"/>
        <v>0</v>
      </c>
      <c r="G129" s="169">
        <f t="shared" si="33"/>
        <v>0</v>
      </c>
      <c r="H129" s="169">
        <f t="shared" si="33"/>
        <v>0</v>
      </c>
      <c r="I129" s="169">
        <f t="shared" si="33"/>
        <v>0</v>
      </c>
      <c r="J129" s="169">
        <f t="shared" si="33"/>
        <v>0</v>
      </c>
      <c r="K129" s="169">
        <f t="shared" si="33"/>
        <v>0</v>
      </c>
      <c r="L129" s="169">
        <f t="shared" si="33"/>
        <v>0</v>
      </c>
      <c r="M129" s="169">
        <f t="shared" si="33"/>
        <v>0</v>
      </c>
      <c r="N129" s="169">
        <f t="shared" si="33"/>
        <v>0</v>
      </c>
      <c r="O129" s="169">
        <f t="shared" si="33"/>
        <v>0</v>
      </c>
      <c r="P129" s="169"/>
      <c r="Q129" s="169">
        <f>Q119+Q126</f>
        <v>0</v>
      </c>
      <c r="R129" s="169">
        <f>R119+R126</f>
        <v>0</v>
      </c>
      <c r="S129" s="169">
        <f t="shared" si="33"/>
        <v>0</v>
      </c>
      <c r="T129" s="169">
        <f t="shared" si="33"/>
        <v>0</v>
      </c>
      <c r="U129" s="169">
        <f t="shared" si="33"/>
        <v>0</v>
      </c>
      <c r="V129" s="169"/>
      <c r="W129" s="170">
        <f t="shared" si="33"/>
        <v>0</v>
      </c>
      <c r="X129" s="170">
        <f t="shared" si="33"/>
        <v>0</v>
      </c>
    </row>
    <row r="130" spans="1:27" ht="24.95" hidden="1" customHeight="1" thickTop="1" thickBot="1" x14ac:dyDescent="0.25">
      <c r="A130" s="42"/>
      <c r="B130" s="500" t="s">
        <v>148</v>
      </c>
      <c r="C130" s="44" t="s">
        <v>118</v>
      </c>
      <c r="D130" s="196">
        <f t="shared" ref="D130:U130" si="34">D111+D129</f>
        <v>0</v>
      </c>
      <c r="E130" s="196">
        <f t="shared" si="34"/>
        <v>0</v>
      </c>
      <c r="F130" s="196">
        <f t="shared" si="34"/>
        <v>20203.919000000002</v>
      </c>
      <c r="G130" s="196">
        <f t="shared" si="34"/>
        <v>4500</v>
      </c>
      <c r="H130" s="196">
        <f t="shared" si="34"/>
        <v>10681</v>
      </c>
      <c r="I130" s="196">
        <f t="shared" si="34"/>
        <v>0</v>
      </c>
      <c r="J130" s="196">
        <f t="shared" si="34"/>
        <v>0</v>
      </c>
      <c r="K130" s="196">
        <f t="shared" si="34"/>
        <v>0</v>
      </c>
      <c r="L130" s="196">
        <f t="shared" si="34"/>
        <v>2060</v>
      </c>
      <c r="M130" s="196">
        <f t="shared" si="34"/>
        <v>1200</v>
      </c>
      <c r="N130" s="196">
        <f t="shared" si="34"/>
        <v>0</v>
      </c>
      <c r="O130" s="196">
        <f t="shared" si="34"/>
        <v>38644.918999999994</v>
      </c>
      <c r="P130" s="196"/>
      <c r="Q130" s="196">
        <f t="shared" si="34"/>
        <v>0</v>
      </c>
      <c r="R130" s="196">
        <f t="shared" si="34"/>
        <v>260627.83900000001</v>
      </c>
      <c r="S130" s="196">
        <f t="shared" si="34"/>
        <v>0</v>
      </c>
      <c r="T130" s="196">
        <f t="shared" si="34"/>
        <v>0</v>
      </c>
      <c r="U130" s="196">
        <f t="shared" si="34"/>
        <v>260627.83900000001</v>
      </c>
      <c r="V130" s="196"/>
      <c r="W130" s="170">
        <f>O130+U130</f>
        <v>299272.75800000003</v>
      </c>
      <c r="X130" s="170">
        <f>X110+X129</f>
        <v>3581585.9210000001</v>
      </c>
      <c r="Y130" s="29"/>
      <c r="Z130" s="29"/>
      <c r="AA130" s="29"/>
    </row>
    <row r="131" spans="1:27" ht="24.95" customHeight="1" x14ac:dyDescent="0.2">
      <c r="A131" s="617"/>
      <c r="B131" s="460"/>
      <c r="C131" s="24" t="s">
        <v>18</v>
      </c>
      <c r="D131" s="25">
        <f t="shared" ref="D131:O131" si="35">D130</f>
        <v>0</v>
      </c>
      <c r="E131" s="25">
        <f t="shared" si="35"/>
        <v>0</v>
      </c>
      <c r="F131" s="25">
        <f t="shared" si="35"/>
        <v>20203.919000000002</v>
      </c>
      <c r="G131" s="25">
        <f t="shared" si="35"/>
        <v>4500</v>
      </c>
      <c r="H131" s="25">
        <f t="shared" si="35"/>
        <v>10681</v>
      </c>
      <c r="I131" s="25">
        <f t="shared" si="35"/>
        <v>0</v>
      </c>
      <c r="J131" s="25">
        <f t="shared" si="35"/>
        <v>0</v>
      </c>
      <c r="K131" s="25">
        <f t="shared" si="35"/>
        <v>0</v>
      </c>
      <c r="L131" s="25">
        <f t="shared" si="35"/>
        <v>2060</v>
      </c>
      <c r="M131" s="25">
        <f t="shared" si="35"/>
        <v>1200</v>
      </c>
      <c r="N131" s="25">
        <f t="shared" si="35"/>
        <v>0</v>
      </c>
      <c r="O131" s="25">
        <f t="shared" si="35"/>
        <v>38644.918999999994</v>
      </c>
      <c r="P131" s="25"/>
      <c r="Q131" s="25">
        <f>Q130</f>
        <v>0</v>
      </c>
      <c r="R131" s="25">
        <f>R130</f>
        <v>260627.83900000001</v>
      </c>
      <c r="S131" s="25">
        <f>S130</f>
        <v>0</v>
      </c>
      <c r="T131" s="25">
        <f>T130</f>
        <v>0</v>
      </c>
      <c r="U131" s="25">
        <f>U130</f>
        <v>260627.83900000001</v>
      </c>
      <c r="V131" s="25"/>
      <c r="W131" s="233">
        <f>O131+U131</f>
        <v>299272.75800000003</v>
      </c>
      <c r="X131" s="240">
        <f>X130</f>
        <v>3581585.9210000001</v>
      </c>
      <c r="Y131" s="29"/>
      <c r="Z131" s="29"/>
      <c r="AA131" s="29"/>
    </row>
    <row r="132" spans="1:27" ht="24.95" customHeight="1" x14ac:dyDescent="0.2">
      <c r="A132" s="199"/>
      <c r="B132" s="503"/>
      <c r="C132" s="448"/>
      <c r="D132" s="288"/>
      <c r="E132" s="288"/>
      <c r="F132" s="288"/>
      <c r="G132" s="288"/>
      <c r="H132" s="288"/>
      <c r="I132" s="288"/>
      <c r="J132" s="288"/>
      <c r="K132" s="288"/>
      <c r="L132" s="288"/>
      <c r="M132" s="288"/>
      <c r="N132" s="288"/>
      <c r="O132" s="288"/>
      <c r="P132" s="288"/>
      <c r="Q132" s="288"/>
      <c r="R132" s="288"/>
      <c r="S132" s="288"/>
      <c r="T132" s="288"/>
      <c r="U132" s="288"/>
      <c r="V132" s="289"/>
      <c r="W132" s="449"/>
      <c r="X132" s="504"/>
      <c r="Y132" s="29"/>
      <c r="Z132" s="29"/>
      <c r="AA132" s="29"/>
    </row>
    <row r="133" spans="1:27" ht="34.5" customHeight="1" x14ac:dyDescent="0.2">
      <c r="A133" s="173">
        <v>1</v>
      </c>
      <c r="B133" s="502" t="s">
        <v>473</v>
      </c>
      <c r="C133" s="28" t="s">
        <v>472</v>
      </c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>
        <f>SUM(D133:N133)</f>
        <v>0</v>
      </c>
      <c r="P133" s="165"/>
      <c r="Q133" s="165"/>
      <c r="R133" s="165"/>
      <c r="S133" s="165"/>
      <c r="T133" s="165"/>
      <c r="U133" s="165">
        <f>SUM(Q133:T133)</f>
        <v>0</v>
      </c>
      <c r="V133" s="166"/>
      <c r="W133" s="167">
        <f t="shared" ref="W133:W136" si="36">O133+U133</f>
        <v>0</v>
      </c>
      <c r="X133" s="347">
        <f>635</f>
        <v>635</v>
      </c>
      <c r="Y133" s="29"/>
      <c r="Z133" s="29"/>
      <c r="AA133" s="29"/>
    </row>
    <row r="134" spans="1:27" ht="34.5" customHeight="1" x14ac:dyDescent="0.2">
      <c r="A134" s="173">
        <v>2</v>
      </c>
      <c r="B134" s="502" t="s">
        <v>486</v>
      </c>
      <c r="C134" s="28" t="s">
        <v>485</v>
      </c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>
        <f>SUM(D134:N134)</f>
        <v>0</v>
      </c>
      <c r="P134" s="165"/>
      <c r="Q134" s="165"/>
      <c r="R134" s="165"/>
      <c r="S134" s="165"/>
      <c r="T134" s="165"/>
      <c r="U134" s="165">
        <f>SUM(Q134:T134)</f>
        <v>0</v>
      </c>
      <c r="V134" s="166"/>
      <c r="W134" s="167">
        <f t="shared" si="36"/>
        <v>0</v>
      </c>
      <c r="X134" s="347">
        <f>18669</f>
        <v>18669</v>
      </c>
      <c r="Y134" s="29"/>
      <c r="Z134" s="29"/>
      <c r="AA134" s="29"/>
    </row>
    <row r="135" spans="1:27" ht="34.5" customHeight="1" x14ac:dyDescent="0.2">
      <c r="A135" s="173">
        <v>3</v>
      </c>
      <c r="B135" s="502" t="s">
        <v>494</v>
      </c>
      <c r="C135" s="28" t="s">
        <v>492</v>
      </c>
      <c r="D135" s="165"/>
      <c r="E135" s="165"/>
      <c r="F135" s="165"/>
      <c r="G135" s="165"/>
      <c r="H135" s="165">
        <f>6+109+900+3</f>
        <v>1018</v>
      </c>
      <c r="I135" s="165"/>
      <c r="J135" s="165"/>
      <c r="K135" s="165"/>
      <c r="L135" s="165"/>
      <c r="M135" s="165">
        <f>300</f>
        <v>300</v>
      </c>
      <c r="N135" s="165"/>
      <c r="O135" s="165">
        <f>SUM(D135:N135)</f>
        <v>1318</v>
      </c>
      <c r="P135" s="165"/>
      <c r="Q135" s="165"/>
      <c r="R135" s="165"/>
      <c r="S135" s="165"/>
      <c r="T135" s="165"/>
      <c r="U135" s="165">
        <f>SUM(Q135:T135)</f>
        <v>0</v>
      </c>
      <c r="V135" s="166"/>
      <c r="W135" s="167">
        <f t="shared" si="36"/>
        <v>1318</v>
      </c>
      <c r="X135" s="347">
        <f>-1318</f>
        <v>-1318</v>
      </c>
      <c r="Y135" s="29"/>
      <c r="Z135" s="29"/>
      <c r="AA135" s="29"/>
    </row>
    <row r="136" spans="1:27" ht="34.5" customHeight="1" x14ac:dyDescent="0.2">
      <c r="A136" s="173">
        <v>4</v>
      </c>
      <c r="B136" s="620" t="s">
        <v>532</v>
      </c>
      <c r="C136" s="28" t="s">
        <v>533</v>
      </c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>
        <f>SUM(D136:N136)</f>
        <v>0</v>
      </c>
      <c r="P136" s="165"/>
      <c r="Q136" s="165"/>
      <c r="R136" s="165"/>
      <c r="S136" s="165"/>
      <c r="T136" s="165"/>
      <c r="U136" s="165">
        <f>SUM(Q136:T136)</f>
        <v>0</v>
      </c>
      <c r="V136" s="166"/>
      <c r="W136" s="167">
        <f t="shared" si="36"/>
        <v>0</v>
      </c>
      <c r="X136" s="347">
        <v>184.98599999999999</v>
      </c>
      <c r="Y136" s="29"/>
      <c r="Z136" s="29"/>
      <c r="AA136" s="29"/>
    </row>
    <row r="137" spans="1:27" ht="24.95" customHeight="1" x14ac:dyDescent="0.2">
      <c r="A137" s="40"/>
      <c r="B137" s="31"/>
      <c r="C137" s="41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6"/>
      <c r="W137" s="167"/>
      <c r="X137" s="347"/>
      <c r="Y137" s="29"/>
      <c r="Z137" s="29"/>
      <c r="AA137" s="29"/>
    </row>
    <row r="138" spans="1:27" ht="24.95" customHeight="1" x14ac:dyDescent="0.2">
      <c r="A138" s="40"/>
      <c r="B138" s="120"/>
      <c r="C138" s="41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6"/>
      <c r="W138" s="167"/>
      <c r="X138" s="242"/>
      <c r="Y138" s="29"/>
      <c r="Z138" s="29"/>
      <c r="AA138" s="29"/>
    </row>
    <row r="139" spans="1:27" ht="24.95" customHeight="1" x14ac:dyDescent="0.2">
      <c r="A139" s="202" t="s">
        <v>62</v>
      </c>
      <c r="B139" s="198"/>
      <c r="C139" s="203" t="s">
        <v>60</v>
      </c>
      <c r="D139" s="165">
        <f t="shared" ref="D139:O139" si="37">SUM(D133:D138)</f>
        <v>0</v>
      </c>
      <c r="E139" s="165">
        <f t="shared" si="37"/>
        <v>0</v>
      </c>
      <c r="F139" s="165">
        <f t="shared" si="37"/>
        <v>0</v>
      </c>
      <c r="G139" s="165">
        <f t="shared" si="37"/>
        <v>0</v>
      </c>
      <c r="H139" s="165">
        <f t="shared" si="37"/>
        <v>1018</v>
      </c>
      <c r="I139" s="165">
        <f t="shared" si="37"/>
        <v>0</v>
      </c>
      <c r="J139" s="165">
        <f t="shared" si="37"/>
        <v>0</v>
      </c>
      <c r="K139" s="165">
        <f t="shared" si="37"/>
        <v>0</v>
      </c>
      <c r="L139" s="165">
        <f t="shared" si="37"/>
        <v>0</v>
      </c>
      <c r="M139" s="165">
        <f t="shared" si="37"/>
        <v>300</v>
      </c>
      <c r="N139" s="165">
        <f t="shared" si="37"/>
        <v>0</v>
      </c>
      <c r="O139" s="165">
        <f t="shared" si="37"/>
        <v>1318</v>
      </c>
      <c r="P139" s="165"/>
      <c r="Q139" s="165">
        <f>SUM(Q133:Q138)</f>
        <v>0</v>
      </c>
      <c r="R139" s="165">
        <f>SUM(R133:R138)</f>
        <v>0</v>
      </c>
      <c r="S139" s="165">
        <f>SUM(S133:S138)</f>
        <v>0</v>
      </c>
      <c r="T139" s="165">
        <f>SUM(T133:T138)</f>
        <v>0</v>
      </c>
      <c r="U139" s="165">
        <f>SUM(U133:U138)</f>
        <v>0</v>
      </c>
      <c r="V139" s="165"/>
      <c r="W139" s="255">
        <f>SUM(W133:W138)</f>
        <v>1318</v>
      </c>
      <c r="X139" s="347">
        <f>SUM(X133:X138)</f>
        <v>18170.986000000001</v>
      </c>
      <c r="Y139" s="29"/>
      <c r="Z139" s="29"/>
      <c r="AA139" s="29"/>
    </row>
    <row r="140" spans="1:27" ht="24.95" customHeight="1" x14ac:dyDescent="0.25">
      <c r="A140" s="40"/>
      <c r="C140" s="392"/>
      <c r="D140" s="392"/>
      <c r="E140" s="392"/>
      <c r="F140" s="392"/>
      <c r="G140" s="165"/>
      <c r="H140" s="165"/>
      <c r="I140" s="165"/>
      <c r="J140" s="165"/>
      <c r="K140" s="165"/>
      <c r="L140" s="165"/>
      <c r="M140" s="165"/>
      <c r="N140" s="165"/>
      <c r="O140" s="165">
        <f>SUM(D140:N140)</f>
        <v>0</v>
      </c>
      <c r="P140" s="165"/>
      <c r="Q140" s="165"/>
      <c r="R140" s="165"/>
      <c r="S140" s="165"/>
      <c r="T140" s="165"/>
      <c r="U140" s="165"/>
      <c r="V140" s="165"/>
      <c r="W140" s="167"/>
      <c r="X140" s="242"/>
      <c r="Y140" s="29"/>
      <c r="Z140" s="29"/>
      <c r="AA140" s="29"/>
    </row>
    <row r="141" spans="1:27" ht="24.95" hidden="1" customHeight="1" x14ac:dyDescent="0.2">
      <c r="A141" s="173" t="s">
        <v>83</v>
      </c>
      <c r="B141" s="219"/>
      <c r="C141" s="41"/>
      <c r="D141" s="165"/>
      <c r="E141" s="165"/>
      <c r="F141" s="165"/>
      <c r="G141" s="165"/>
      <c r="H141" s="165"/>
      <c r="I141" s="165"/>
      <c r="J141" s="165"/>
      <c r="K141" s="165"/>
      <c r="M141" s="165"/>
      <c r="N141" s="165"/>
      <c r="O141" s="165">
        <f>SUM(D141:N141)</f>
        <v>0</v>
      </c>
      <c r="P141" s="165"/>
      <c r="Q141" s="165"/>
      <c r="R141" s="165"/>
      <c r="S141" s="165"/>
      <c r="T141" s="165"/>
      <c r="U141" s="165">
        <f>SUM(Q141:T141)</f>
        <v>0</v>
      </c>
      <c r="V141" s="165"/>
      <c r="W141" s="167">
        <f>O141+U141</f>
        <v>0</v>
      </c>
      <c r="X141" s="242"/>
      <c r="Y141" s="29"/>
      <c r="Z141" s="29"/>
      <c r="AA141" s="29"/>
    </row>
    <row r="142" spans="1:27" ht="24.95" hidden="1" customHeight="1" x14ac:dyDescent="0.2">
      <c r="A142" s="173" t="s">
        <v>83</v>
      </c>
      <c r="B142" s="219"/>
      <c r="C142" s="41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>
        <f>SUM(D142:N142)</f>
        <v>0</v>
      </c>
      <c r="P142" s="165"/>
      <c r="Q142" s="165"/>
      <c r="R142" s="165"/>
      <c r="S142" s="165"/>
      <c r="T142" s="165"/>
      <c r="U142" s="165">
        <f>SUM(Q142:T142)</f>
        <v>0</v>
      </c>
      <c r="V142" s="165"/>
      <c r="W142" s="167">
        <f>O142+U142</f>
        <v>0</v>
      </c>
      <c r="X142" s="242"/>
      <c r="Y142" s="29"/>
      <c r="Z142" s="29"/>
      <c r="AA142" s="29"/>
    </row>
    <row r="143" spans="1:27" ht="24.95" hidden="1" customHeight="1" x14ac:dyDescent="0.2">
      <c r="A143" s="40"/>
      <c r="B143" s="117"/>
      <c r="C143" s="41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>
        <f>SUM(D143:N143)</f>
        <v>0</v>
      </c>
      <c r="P143" s="165"/>
      <c r="Q143" s="165"/>
      <c r="R143" s="165"/>
      <c r="S143" s="165"/>
      <c r="T143" s="165"/>
      <c r="U143" s="165">
        <f>SUM(Q143:T143)</f>
        <v>0</v>
      </c>
      <c r="V143" s="165"/>
      <c r="W143" s="167">
        <f>O143+U143</f>
        <v>0</v>
      </c>
      <c r="X143" s="242"/>
      <c r="Y143" s="29"/>
      <c r="Z143" s="29"/>
      <c r="AA143" s="29"/>
    </row>
    <row r="144" spans="1:27" ht="24.95" customHeight="1" x14ac:dyDescent="0.2">
      <c r="A144" s="40"/>
      <c r="B144" s="117"/>
      <c r="C144" s="41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7"/>
      <c r="X144" s="238"/>
      <c r="Y144" s="29"/>
      <c r="Z144" s="29"/>
      <c r="AA144" s="29"/>
    </row>
    <row r="145" spans="1:27" ht="24.95" customHeight="1" x14ac:dyDescent="0.2">
      <c r="A145" s="202" t="s">
        <v>63</v>
      </c>
      <c r="B145" s="198"/>
      <c r="C145" s="203" t="s">
        <v>61</v>
      </c>
      <c r="D145" s="165">
        <f t="shared" ref="D145:O145" si="38">SUM(D141:D144)</f>
        <v>0</v>
      </c>
      <c r="E145" s="165">
        <f t="shared" si="38"/>
        <v>0</v>
      </c>
      <c r="F145" s="165">
        <f t="shared" si="38"/>
        <v>0</v>
      </c>
      <c r="G145" s="165">
        <f t="shared" si="38"/>
        <v>0</v>
      </c>
      <c r="H145" s="165">
        <f t="shared" si="38"/>
        <v>0</v>
      </c>
      <c r="I145" s="165">
        <f t="shared" si="38"/>
        <v>0</v>
      </c>
      <c r="J145" s="165">
        <f t="shared" si="38"/>
        <v>0</v>
      </c>
      <c r="K145" s="165">
        <f t="shared" si="38"/>
        <v>0</v>
      </c>
      <c r="L145" s="165">
        <f t="shared" si="38"/>
        <v>0</v>
      </c>
      <c r="M145" s="165">
        <f t="shared" si="38"/>
        <v>0</v>
      </c>
      <c r="N145" s="165">
        <f t="shared" si="38"/>
        <v>0</v>
      </c>
      <c r="O145" s="165">
        <f t="shared" si="38"/>
        <v>0</v>
      </c>
      <c r="P145" s="165"/>
      <c r="Q145" s="165">
        <f>SUM(Q141:Q144)</f>
        <v>0</v>
      </c>
      <c r="R145" s="165">
        <f>SUM(R141:R144)</f>
        <v>0</v>
      </c>
      <c r="S145" s="165">
        <f>SUM(S141:S144)</f>
        <v>0</v>
      </c>
      <c r="T145" s="165">
        <f>SUM(T141:T144)</f>
        <v>0</v>
      </c>
      <c r="U145" s="165">
        <f>SUM(U141:U144)</f>
        <v>0</v>
      </c>
      <c r="V145" s="165"/>
      <c r="W145" s="255">
        <f>SUM(W141:W144)</f>
        <v>0</v>
      </c>
      <c r="X145" s="255">
        <f>SUM(X141:X144)</f>
        <v>0</v>
      </c>
      <c r="Y145" s="29"/>
      <c r="Z145" s="29"/>
      <c r="AA145" s="29"/>
    </row>
    <row r="146" spans="1:27" ht="24.95" customHeight="1" x14ac:dyDescent="0.2">
      <c r="A146" s="40"/>
      <c r="B146" s="31"/>
      <c r="C146" s="41"/>
      <c r="D146" s="165"/>
      <c r="E146" s="165"/>
      <c r="F146" s="165"/>
      <c r="G146" s="165"/>
      <c r="H146" s="165"/>
      <c r="I146" s="165"/>
      <c r="J146" s="165"/>
      <c r="K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7"/>
      <c r="X146" s="242"/>
      <c r="Y146" s="29"/>
      <c r="Z146" s="29"/>
      <c r="AA146" s="29"/>
    </row>
    <row r="147" spans="1:27" ht="24.95" customHeight="1" thickBot="1" x14ac:dyDescent="0.25">
      <c r="A147" s="40"/>
      <c r="B147" s="32"/>
      <c r="C147" s="34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7"/>
      <c r="X147" s="242"/>
      <c r="Y147" s="29"/>
      <c r="Z147" s="29"/>
      <c r="AA147" s="29"/>
    </row>
    <row r="148" spans="1:27" ht="24.95" customHeight="1" thickTop="1" thickBot="1" x14ac:dyDescent="0.25">
      <c r="A148" s="46"/>
      <c r="B148" s="254"/>
      <c r="C148" s="44" t="s">
        <v>64</v>
      </c>
      <c r="D148" s="169">
        <f t="shared" ref="D148:O148" si="39">D139+D145</f>
        <v>0</v>
      </c>
      <c r="E148" s="169">
        <f t="shared" si="39"/>
        <v>0</v>
      </c>
      <c r="F148" s="169">
        <f t="shared" si="39"/>
        <v>0</v>
      </c>
      <c r="G148" s="169">
        <f t="shared" si="39"/>
        <v>0</v>
      </c>
      <c r="H148" s="169">
        <f t="shared" si="39"/>
        <v>1018</v>
      </c>
      <c r="I148" s="169">
        <f t="shared" si="39"/>
        <v>0</v>
      </c>
      <c r="J148" s="169">
        <f t="shared" si="39"/>
        <v>0</v>
      </c>
      <c r="K148" s="169">
        <f t="shared" si="39"/>
        <v>0</v>
      </c>
      <c r="L148" s="169">
        <f t="shared" si="39"/>
        <v>0</v>
      </c>
      <c r="M148" s="169">
        <f t="shared" si="39"/>
        <v>300</v>
      </c>
      <c r="N148" s="169">
        <f t="shared" si="39"/>
        <v>0</v>
      </c>
      <c r="O148" s="169">
        <f t="shared" si="39"/>
        <v>1318</v>
      </c>
      <c r="P148" s="169"/>
      <c r="Q148" s="169">
        <f>Q139+Q145</f>
        <v>0</v>
      </c>
      <c r="R148" s="169">
        <f>R139+R145</f>
        <v>0</v>
      </c>
      <c r="S148" s="169">
        <f>S139+S145</f>
        <v>0</v>
      </c>
      <c r="T148" s="169">
        <f>T139+T145</f>
        <v>0</v>
      </c>
      <c r="U148" s="169">
        <f>U139+U145</f>
        <v>0</v>
      </c>
      <c r="V148" s="169"/>
      <c r="W148" s="170">
        <f>W139+W145</f>
        <v>1318</v>
      </c>
      <c r="X148" s="170">
        <f>X139+X145</f>
        <v>18170.986000000001</v>
      </c>
      <c r="Y148" s="29"/>
      <c r="Z148" s="29"/>
      <c r="AA148" s="29"/>
    </row>
    <row r="149" spans="1:27" ht="24.95" customHeight="1" thickTop="1" thickBot="1" x14ac:dyDescent="0.25">
      <c r="A149" s="42"/>
      <c r="B149" s="43" t="s">
        <v>143</v>
      </c>
      <c r="C149" s="44" t="s">
        <v>118</v>
      </c>
      <c r="D149" s="196">
        <f t="shared" ref="D149:O149" si="40">D131+D148</f>
        <v>0</v>
      </c>
      <c r="E149" s="196">
        <f t="shared" si="40"/>
        <v>0</v>
      </c>
      <c r="F149" s="196">
        <f t="shared" si="40"/>
        <v>20203.919000000002</v>
      </c>
      <c r="G149" s="196">
        <f t="shared" si="40"/>
        <v>4500</v>
      </c>
      <c r="H149" s="196">
        <f t="shared" si="40"/>
        <v>11699</v>
      </c>
      <c r="I149" s="196">
        <f t="shared" si="40"/>
        <v>0</v>
      </c>
      <c r="J149" s="196">
        <f t="shared" si="40"/>
        <v>0</v>
      </c>
      <c r="K149" s="196">
        <f t="shared" si="40"/>
        <v>0</v>
      </c>
      <c r="L149" s="196">
        <f t="shared" si="40"/>
        <v>2060</v>
      </c>
      <c r="M149" s="196">
        <f t="shared" si="40"/>
        <v>1500</v>
      </c>
      <c r="N149" s="196">
        <f t="shared" si="40"/>
        <v>0</v>
      </c>
      <c r="O149" s="196">
        <f t="shared" si="40"/>
        <v>39962.918999999994</v>
      </c>
      <c r="P149" s="196"/>
      <c r="Q149" s="196">
        <f>Q131+Q148</f>
        <v>0</v>
      </c>
      <c r="R149" s="196">
        <f>R131+R148</f>
        <v>260627.83900000001</v>
      </c>
      <c r="S149" s="196">
        <f>S131+S148</f>
        <v>0</v>
      </c>
      <c r="T149" s="196">
        <f>T131+T148</f>
        <v>0</v>
      </c>
      <c r="U149" s="196">
        <f>U131+U148</f>
        <v>260627.83900000001</v>
      </c>
      <c r="V149" s="196"/>
      <c r="W149" s="170">
        <f>W131+W148</f>
        <v>300590.75800000003</v>
      </c>
      <c r="X149" s="170">
        <f>X131+X148</f>
        <v>3599756.9070000001</v>
      </c>
      <c r="Y149" s="29">
        <f>SUM(W149:X149)</f>
        <v>3900347.665</v>
      </c>
      <c r="Z149" s="29"/>
      <c r="AA149" s="29"/>
    </row>
    <row r="150" spans="1:27" ht="24.95" customHeight="1" thickTop="1" x14ac:dyDescent="0.2">
      <c r="A150" s="199"/>
      <c r="B150" s="214"/>
      <c r="C150" s="215"/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  <c r="R150" s="252"/>
      <c r="S150" s="252"/>
      <c r="T150" s="252"/>
      <c r="U150" s="252"/>
      <c r="V150" s="253"/>
      <c r="W150" s="300"/>
      <c r="X150" s="628"/>
      <c r="Y150" s="29"/>
      <c r="Z150" s="29"/>
      <c r="AA150" s="29"/>
    </row>
    <row r="151" spans="1:27" ht="24.95" hidden="1" customHeight="1" x14ac:dyDescent="0.2">
      <c r="A151" s="199"/>
      <c r="B151" s="214"/>
      <c r="C151" s="215"/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>
        <f t="shared" ref="O151:O156" si="41">SUM(D151:N151)</f>
        <v>0</v>
      </c>
      <c r="P151" s="252"/>
      <c r="Q151" s="252"/>
      <c r="R151" s="252"/>
      <c r="S151" s="252"/>
      <c r="T151" s="252"/>
      <c r="U151" s="252">
        <f t="shared" ref="U151:U156" si="42">SUM(Q151:T151)</f>
        <v>0</v>
      </c>
      <c r="V151" s="253"/>
      <c r="W151" s="300">
        <f t="shared" ref="W151:W156" si="43">O151+U151</f>
        <v>0</v>
      </c>
      <c r="X151" s="300"/>
      <c r="Y151" s="29"/>
      <c r="Z151" s="29"/>
      <c r="AA151" s="29"/>
    </row>
    <row r="152" spans="1:27" ht="24.95" hidden="1" customHeight="1" x14ac:dyDescent="0.2">
      <c r="A152" s="199"/>
      <c r="B152" s="214"/>
      <c r="C152" s="215"/>
      <c r="D152" s="252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>
        <f t="shared" si="41"/>
        <v>0</v>
      </c>
      <c r="P152" s="252"/>
      <c r="Q152" s="252"/>
      <c r="R152" s="252"/>
      <c r="S152" s="252"/>
      <c r="T152" s="252"/>
      <c r="U152" s="252">
        <f t="shared" si="42"/>
        <v>0</v>
      </c>
      <c r="V152" s="253"/>
      <c r="W152" s="300">
        <f t="shared" si="43"/>
        <v>0</v>
      </c>
      <c r="X152" s="300"/>
      <c r="Y152" s="29"/>
      <c r="Z152" s="29"/>
      <c r="AA152" s="29"/>
    </row>
    <row r="153" spans="1:27" ht="24.95" hidden="1" customHeight="1" x14ac:dyDescent="0.2">
      <c r="A153" s="40"/>
      <c r="B153" s="48"/>
      <c r="C153" s="49" t="s">
        <v>20</v>
      </c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>
        <f t="shared" si="41"/>
        <v>0</v>
      </c>
      <c r="P153" s="150"/>
      <c r="Q153" s="150"/>
      <c r="R153" s="150"/>
      <c r="S153" s="150"/>
      <c r="T153" s="150"/>
      <c r="U153" s="150">
        <f t="shared" si="42"/>
        <v>0</v>
      </c>
      <c r="V153" s="156"/>
      <c r="W153" s="167">
        <f t="shared" si="43"/>
        <v>0</v>
      </c>
      <c r="X153" s="242"/>
    </row>
    <row r="154" spans="1:27" ht="24.95" hidden="1" customHeight="1" x14ac:dyDescent="0.2">
      <c r="A154" s="40"/>
      <c r="B154" s="48"/>
      <c r="C154" s="49" t="s">
        <v>20</v>
      </c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>
        <f t="shared" si="41"/>
        <v>0</v>
      </c>
      <c r="P154" s="150"/>
      <c r="Q154" s="150"/>
      <c r="R154" s="150"/>
      <c r="S154" s="150"/>
      <c r="T154" s="150"/>
      <c r="U154" s="150">
        <f t="shared" si="42"/>
        <v>0</v>
      </c>
      <c r="V154" s="156"/>
      <c r="W154" s="167">
        <f t="shared" si="43"/>
        <v>0</v>
      </c>
      <c r="X154" s="242"/>
    </row>
    <row r="155" spans="1:27" ht="24.95" customHeight="1" x14ac:dyDescent="0.2">
      <c r="A155" s="40"/>
      <c r="B155" s="48" t="s">
        <v>298</v>
      </c>
      <c r="C155" s="49" t="s">
        <v>20</v>
      </c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>
        <f t="shared" si="41"/>
        <v>0</v>
      </c>
      <c r="P155" s="150"/>
      <c r="Q155" s="150"/>
      <c r="R155" s="150"/>
      <c r="S155" s="150"/>
      <c r="T155" s="150"/>
      <c r="U155" s="150">
        <f t="shared" si="42"/>
        <v>0</v>
      </c>
      <c r="V155" s="156"/>
      <c r="W155" s="167">
        <f t="shared" si="43"/>
        <v>0</v>
      </c>
      <c r="X155" s="242">
        <v>-38078</v>
      </c>
    </row>
    <row r="156" spans="1:27" ht="24.95" hidden="1" customHeight="1" x14ac:dyDescent="0.2">
      <c r="A156" s="40"/>
      <c r="B156" s="48"/>
      <c r="C156" s="41" t="s">
        <v>50</v>
      </c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>
        <f t="shared" si="41"/>
        <v>0</v>
      </c>
      <c r="P156" s="150"/>
      <c r="Q156" s="150"/>
      <c r="R156" s="150"/>
      <c r="S156" s="150"/>
      <c r="T156" s="150"/>
      <c r="U156" s="150">
        <f t="shared" si="42"/>
        <v>0</v>
      </c>
      <c r="V156" s="156"/>
      <c r="W156" s="167">
        <f t="shared" si="43"/>
        <v>0</v>
      </c>
      <c r="X156" s="242"/>
    </row>
    <row r="157" spans="1:27" ht="24.95" customHeight="1" thickBot="1" x14ac:dyDescent="0.25">
      <c r="A157" s="40"/>
      <c r="B157" s="48"/>
      <c r="C157" s="49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6"/>
      <c r="W157" s="167"/>
      <c r="X157" s="242"/>
    </row>
    <row r="158" spans="1:27" ht="24.95" customHeight="1" thickTop="1" thickBot="1" x14ac:dyDescent="0.25">
      <c r="A158" s="47"/>
      <c r="B158" s="43" t="s">
        <v>449</v>
      </c>
      <c r="C158" s="44" t="s">
        <v>23</v>
      </c>
      <c r="D158" s="158">
        <f t="shared" ref="D158:M158" si="44">SUM(D153:D157)</f>
        <v>0</v>
      </c>
      <c r="E158" s="158">
        <f t="shared" si="44"/>
        <v>0</v>
      </c>
      <c r="F158" s="158">
        <f t="shared" si="44"/>
        <v>0</v>
      </c>
      <c r="G158" s="158">
        <f t="shared" si="44"/>
        <v>0</v>
      </c>
      <c r="H158" s="158">
        <f t="shared" si="44"/>
        <v>0</v>
      </c>
      <c r="I158" s="158">
        <f t="shared" si="44"/>
        <v>0</v>
      </c>
      <c r="J158" s="158">
        <f t="shared" si="44"/>
        <v>0</v>
      </c>
      <c r="K158" s="158">
        <f t="shared" si="44"/>
        <v>0</v>
      </c>
      <c r="L158" s="158">
        <f t="shared" si="44"/>
        <v>0</v>
      </c>
      <c r="M158" s="158">
        <f t="shared" si="44"/>
        <v>0</v>
      </c>
      <c r="N158" s="158">
        <f t="shared" ref="N158:U158" si="45">SUM(N153:N157)</f>
        <v>0</v>
      </c>
      <c r="O158" s="158">
        <f t="shared" si="45"/>
        <v>0</v>
      </c>
      <c r="P158" s="158"/>
      <c r="Q158" s="158">
        <f>SUM(Q153:Q157)</f>
        <v>0</v>
      </c>
      <c r="R158" s="158">
        <f>SUM(R153:R157)</f>
        <v>0</v>
      </c>
      <c r="S158" s="158">
        <f t="shared" si="45"/>
        <v>0</v>
      </c>
      <c r="T158" s="158">
        <f t="shared" si="45"/>
        <v>0</v>
      </c>
      <c r="U158" s="158">
        <f t="shared" si="45"/>
        <v>0</v>
      </c>
      <c r="V158" s="267"/>
      <c r="W158" s="171">
        <f>O158+U158</f>
        <v>0</v>
      </c>
      <c r="X158" s="171">
        <f>SUM(X153:X157)</f>
        <v>-38078</v>
      </c>
    </row>
    <row r="159" spans="1:27" ht="9.9499999999999993" customHeight="1" thickTop="1" thickBot="1" x14ac:dyDescent="0.25">
      <c r="A159" s="179"/>
      <c r="B159" s="180"/>
      <c r="C159" s="181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3"/>
      <c r="W159" s="263"/>
      <c r="X159" s="263"/>
    </row>
    <row r="160" spans="1:27" ht="24.95" hidden="1" customHeight="1" x14ac:dyDescent="0.2">
      <c r="A160" s="184"/>
      <c r="B160" s="185"/>
      <c r="C160" s="193" t="s">
        <v>50</v>
      </c>
      <c r="D160" s="186"/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>
        <f>SUM(D160:N160)</f>
        <v>0</v>
      </c>
      <c r="P160" s="186"/>
      <c r="Q160" s="186"/>
      <c r="R160" s="186"/>
      <c r="S160" s="186"/>
      <c r="T160" s="186"/>
      <c r="U160" s="186">
        <f>SUM(Q160:T160)</f>
        <v>0</v>
      </c>
      <c r="V160" s="187"/>
      <c r="W160" s="264">
        <f>O160+U160</f>
        <v>0</v>
      </c>
      <c r="X160" s="264"/>
    </row>
    <row r="161" spans="1:27" ht="9.9499999999999993" hidden="1" customHeight="1" thickBot="1" x14ac:dyDescent="0.25">
      <c r="A161" s="188"/>
      <c r="B161" s="189"/>
      <c r="C161" s="190"/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91"/>
      <c r="Q161" s="191"/>
      <c r="R161" s="191"/>
      <c r="S161" s="191"/>
      <c r="T161" s="191"/>
      <c r="U161" s="191"/>
      <c r="V161" s="192"/>
      <c r="W161" s="265"/>
      <c r="X161" s="265"/>
    </row>
    <row r="162" spans="1:27" ht="24.95" customHeight="1" thickTop="1" thickBot="1" x14ac:dyDescent="0.25">
      <c r="A162" s="88"/>
      <c r="B162" s="88" t="s">
        <v>450</v>
      </c>
      <c r="C162" s="44" t="s">
        <v>118</v>
      </c>
      <c r="D162" s="196">
        <f t="shared" ref="D162:O162" si="46">D130+D158</f>
        <v>0</v>
      </c>
      <c r="E162" s="196">
        <f t="shared" si="46"/>
        <v>0</v>
      </c>
      <c r="F162" s="196">
        <f t="shared" si="46"/>
        <v>20203.919000000002</v>
      </c>
      <c r="G162" s="196">
        <f t="shared" si="46"/>
        <v>4500</v>
      </c>
      <c r="H162" s="196">
        <f t="shared" si="46"/>
        <v>10681</v>
      </c>
      <c r="I162" s="196">
        <f t="shared" si="46"/>
        <v>0</v>
      </c>
      <c r="J162" s="196">
        <f t="shared" si="46"/>
        <v>0</v>
      </c>
      <c r="K162" s="196">
        <f t="shared" si="46"/>
        <v>0</v>
      </c>
      <c r="L162" s="196">
        <f t="shared" si="46"/>
        <v>2060</v>
      </c>
      <c r="M162" s="196">
        <f t="shared" si="46"/>
        <v>1200</v>
      </c>
      <c r="N162" s="196">
        <f t="shared" si="46"/>
        <v>0</v>
      </c>
      <c r="O162" s="196">
        <f t="shared" si="46"/>
        <v>38644.918999999994</v>
      </c>
      <c r="P162" s="196"/>
      <c r="Q162" s="196">
        <f>Q130+Q158</f>
        <v>0</v>
      </c>
      <c r="R162" s="196">
        <f>R130+R158</f>
        <v>260627.83900000001</v>
      </c>
      <c r="S162" s="196">
        <f>S130+S158</f>
        <v>0</v>
      </c>
      <c r="T162" s="196">
        <f>T130+T158</f>
        <v>0</v>
      </c>
      <c r="U162" s="196">
        <f>U130+U158</f>
        <v>260627.83900000001</v>
      </c>
      <c r="V162" s="268"/>
      <c r="W162" s="170">
        <f>W149+W158+W160</f>
        <v>300590.75800000003</v>
      </c>
      <c r="X162" s="629">
        <f>X149+X158+X160</f>
        <v>3561678.9070000001</v>
      </c>
      <c r="Y162" s="29">
        <f>SUM(W162:X162)</f>
        <v>3862269.665</v>
      </c>
      <c r="AA162" s="29"/>
    </row>
    <row r="163" spans="1:27" ht="24.95" customHeight="1" thickTop="1" x14ac:dyDescent="0.25"/>
    <row r="164" spans="1:27" ht="24.95" customHeight="1" x14ac:dyDescent="0.25"/>
    <row r="165" spans="1:27" ht="24.95" customHeight="1" x14ac:dyDescent="0.25"/>
    <row r="166" spans="1:27" ht="24.95" customHeight="1" x14ac:dyDescent="0.25"/>
    <row r="167" spans="1:27" ht="24.95" customHeight="1" x14ac:dyDescent="0.25"/>
    <row r="168" spans="1:27" ht="24.95" customHeight="1" x14ac:dyDescent="0.25"/>
    <row r="169" spans="1:27" ht="24.95" customHeight="1" x14ac:dyDescent="0.25"/>
    <row r="170" spans="1:27" ht="24.95" customHeight="1" x14ac:dyDescent="0.25"/>
    <row r="171" spans="1:27" ht="24.95" customHeight="1" x14ac:dyDescent="0.25"/>
    <row r="172" spans="1:27" ht="24.95" customHeight="1" x14ac:dyDescent="0.25"/>
    <row r="173" spans="1:27" ht="24.95" customHeight="1" x14ac:dyDescent="0.25"/>
    <row r="174" spans="1:27" ht="24.95" customHeight="1" x14ac:dyDescent="0.25"/>
    <row r="175" spans="1:27" ht="24.95" customHeight="1" x14ac:dyDescent="0.25"/>
    <row r="176" spans="1:27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  <row r="264" ht="24.95" customHeight="1" x14ac:dyDescent="0.25"/>
    <row r="265" ht="24.95" customHeight="1" x14ac:dyDescent="0.25"/>
    <row r="449" spans="9:9" x14ac:dyDescent="0.25">
      <c r="I449" s="50">
        <f>-10437-1367-86-236+13-6357-200+31+71-310-1500-799-55-443-3970</f>
        <v>-25645</v>
      </c>
    </row>
  </sheetData>
  <mergeCells count="5">
    <mergeCell ref="A2:X2"/>
    <mergeCell ref="A4:X4"/>
    <mergeCell ref="D7:F7"/>
    <mergeCell ref="J7:K7"/>
    <mergeCell ref="Q7:T7"/>
  </mergeCells>
  <phoneticPr fontId="3" type="noConversion"/>
  <printOptions horizontalCentered="1" verticalCentered="1"/>
  <pageMargins left="0" right="0" top="0.31496062992125984" bottom="0.73" header="7.874015748031496E-2" footer="7.874015748031496E-2"/>
  <pageSetup paperSize="9" scale="44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95"/>
  <sheetViews>
    <sheetView zoomScale="75" zoomScaleNormal="75" workbookViewId="0">
      <selection activeCell="Y1" sqref="Y1"/>
    </sheetView>
  </sheetViews>
  <sheetFormatPr defaultRowHeight="16.5" x14ac:dyDescent="0.25"/>
  <cols>
    <col min="1" max="1" width="4.7109375" style="89" customWidth="1"/>
    <col min="2" max="2" width="12.42578125" style="1" hidden="1" customWidth="1"/>
    <col min="3" max="3" width="58.7109375" style="2" customWidth="1"/>
    <col min="4" max="4" width="13.28515625" style="2" customWidth="1"/>
    <col min="5" max="5" width="13.85546875" style="2" customWidth="1"/>
    <col min="6" max="6" width="12.7109375" style="2" customWidth="1"/>
    <col min="7" max="7" width="13.85546875" style="2" customWidth="1"/>
    <col min="8" max="8" width="12.28515625" style="2" customWidth="1"/>
    <col min="9" max="9" width="12.7109375" style="2" customWidth="1"/>
    <col min="10" max="11" width="12.28515625" style="2" customWidth="1"/>
    <col min="12" max="12" width="13.28515625" style="2" customWidth="1"/>
    <col min="13" max="17" width="12.7109375" style="2" customWidth="1"/>
    <col min="18" max="18" width="14" style="2" customWidth="1"/>
    <col min="19" max="19" width="1.7109375" style="2" customWidth="1"/>
    <col min="20" max="24" width="12.7109375" style="2" customWidth="1"/>
    <col min="25" max="25" width="18.28515625" style="51" customWidth="1"/>
    <col min="26" max="26" width="16.28515625" style="51" customWidth="1"/>
    <col min="27" max="29" width="10.42578125" style="51" customWidth="1"/>
    <col min="30" max="30" width="12.28515625" style="51" customWidth="1"/>
    <col min="31" max="31" width="14" style="51" customWidth="1"/>
    <col min="32" max="32" width="12.28515625" style="51" customWidth="1"/>
    <col min="33" max="34" width="10.42578125" style="51" customWidth="1"/>
    <col min="35" max="35" width="12.28515625" style="51" customWidth="1"/>
    <col min="36" max="36" width="9.140625" style="51"/>
    <col min="37" max="38" width="10.42578125" style="51" customWidth="1"/>
    <col min="39" max="39" width="12.28515625" style="51" customWidth="1"/>
    <col min="40" max="40" width="12.7109375" style="51" customWidth="1"/>
    <col min="41" max="16384" width="9.140625" style="2"/>
  </cols>
  <sheetData>
    <row r="1" spans="1:40" x14ac:dyDescent="0.25">
      <c r="Y1" s="178" t="s">
        <v>69</v>
      </c>
    </row>
    <row r="2" spans="1:40" ht="18.75" x14ac:dyDescent="0.2">
      <c r="A2" s="647" t="s">
        <v>0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</row>
    <row r="3" spans="1:40" ht="18.75" x14ac:dyDescent="0.2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</row>
    <row r="4" spans="1:40" ht="42" customHeight="1" x14ac:dyDescent="0.2">
      <c r="A4" s="648" t="s">
        <v>454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7"/>
      <c r="X4" s="647"/>
      <c r="Y4" s="647"/>
    </row>
    <row r="5" spans="1:40" ht="24.95" customHeight="1" x14ac:dyDescent="0.2">
      <c r="A5" s="403"/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</row>
    <row r="6" spans="1:40" ht="17.25" customHeight="1" thickBo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6" t="s">
        <v>1</v>
      </c>
    </row>
    <row r="7" spans="1:40" ht="17.25" thickBot="1" x14ac:dyDescent="0.3">
      <c r="A7" s="53"/>
      <c r="B7" s="8"/>
      <c r="C7" s="428"/>
      <c r="D7" s="657" t="s">
        <v>24</v>
      </c>
      <c r="E7" s="658"/>
      <c r="F7" s="658"/>
      <c r="G7" s="658"/>
      <c r="H7" s="658"/>
      <c r="I7" s="658"/>
      <c r="J7" s="658"/>
      <c r="K7" s="658"/>
      <c r="L7" s="658"/>
      <c r="M7" s="658"/>
      <c r="N7" s="658"/>
      <c r="O7" s="658"/>
      <c r="P7" s="658"/>
      <c r="Q7" s="658"/>
      <c r="R7" s="658"/>
      <c r="S7" s="658"/>
      <c r="T7" s="658"/>
      <c r="U7" s="658"/>
      <c r="V7" s="658"/>
      <c r="W7" s="658"/>
      <c r="X7" s="649"/>
      <c r="Y7" s="396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</row>
    <row r="8" spans="1:40" ht="17.25" customHeight="1" thickTop="1" x14ac:dyDescent="0.25">
      <c r="A8" s="55"/>
      <c r="B8" s="12"/>
      <c r="C8" s="13"/>
      <c r="D8" s="650" t="s">
        <v>134</v>
      </c>
      <c r="E8" s="651"/>
      <c r="F8" s="651"/>
      <c r="G8" s="651"/>
      <c r="H8" s="651"/>
      <c r="I8" s="651"/>
      <c r="J8" s="651"/>
      <c r="K8" s="652"/>
      <c r="L8" s="653" t="s">
        <v>135</v>
      </c>
      <c r="M8" s="654"/>
      <c r="N8" s="654"/>
      <c r="O8" s="654"/>
      <c r="P8" s="654"/>
      <c r="Q8" s="652"/>
      <c r="R8" s="417" t="s">
        <v>103</v>
      </c>
      <c r="S8" s="445"/>
      <c r="T8" s="653" t="s">
        <v>136</v>
      </c>
      <c r="U8" s="654"/>
      <c r="V8" s="654"/>
      <c r="W8" s="655"/>
      <c r="X8" s="630" t="s">
        <v>114</v>
      </c>
      <c r="Y8" s="631" t="s">
        <v>2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54"/>
    </row>
    <row r="9" spans="1:40" x14ac:dyDescent="0.25">
      <c r="A9" s="18" t="s">
        <v>8</v>
      </c>
      <c r="B9" s="12"/>
      <c r="C9" s="13" t="s">
        <v>3</v>
      </c>
      <c r="D9" s="56"/>
      <c r="E9" s="194" t="s">
        <v>29</v>
      </c>
      <c r="F9" s="57"/>
      <c r="G9" s="57" t="s">
        <v>25</v>
      </c>
      <c r="H9" s="57" t="s">
        <v>89</v>
      </c>
      <c r="I9" s="57" t="s">
        <v>90</v>
      </c>
      <c r="J9" s="57" t="s">
        <v>90</v>
      </c>
      <c r="K9" s="194"/>
      <c r="L9" s="57"/>
      <c r="M9" s="57"/>
      <c r="N9" s="57" t="s">
        <v>4</v>
      </c>
      <c r="O9" s="57" t="s">
        <v>119</v>
      </c>
      <c r="P9" s="58" t="s">
        <v>120</v>
      </c>
      <c r="Q9" s="194" t="s">
        <v>4</v>
      </c>
      <c r="R9" s="418" t="s">
        <v>104</v>
      </c>
      <c r="S9" s="418"/>
      <c r="T9" s="17" t="s">
        <v>121</v>
      </c>
      <c r="U9" s="17" t="s">
        <v>122</v>
      </c>
      <c r="V9" s="17" t="s">
        <v>192</v>
      </c>
      <c r="W9" s="17" t="s">
        <v>4</v>
      </c>
      <c r="X9" s="632" t="s">
        <v>115</v>
      </c>
      <c r="Y9" s="15" t="s">
        <v>27</v>
      </c>
      <c r="Z9" s="4"/>
      <c r="AA9" s="4"/>
      <c r="AB9" s="4"/>
      <c r="AC9" s="4"/>
      <c r="AD9" s="4"/>
      <c r="AE9" s="4"/>
      <c r="AF9" s="4"/>
      <c r="AG9" s="4"/>
      <c r="AH9" s="646"/>
      <c r="AI9" s="646"/>
      <c r="AJ9" s="4"/>
      <c r="AK9" s="4"/>
      <c r="AL9" s="4"/>
      <c r="AM9" s="4"/>
      <c r="AN9" s="54"/>
    </row>
    <row r="10" spans="1:40" ht="16.5" customHeight="1" x14ac:dyDescent="0.25">
      <c r="A10" s="11"/>
      <c r="B10" s="12"/>
      <c r="C10" s="13" t="s">
        <v>9</v>
      </c>
      <c r="D10" s="57" t="s">
        <v>28</v>
      </c>
      <c r="E10" s="57" t="s">
        <v>54</v>
      </c>
      <c r="F10" s="57" t="s">
        <v>30</v>
      </c>
      <c r="G10" s="57" t="s">
        <v>31</v>
      </c>
      <c r="H10" s="57" t="s">
        <v>91</v>
      </c>
      <c r="I10" s="57" t="s">
        <v>56</v>
      </c>
      <c r="J10" s="57" t="s">
        <v>56</v>
      </c>
      <c r="K10" s="57" t="s">
        <v>34</v>
      </c>
      <c r="L10" s="57" t="s">
        <v>123</v>
      </c>
      <c r="M10" s="57" t="s">
        <v>124</v>
      </c>
      <c r="N10" s="57" t="s">
        <v>125</v>
      </c>
      <c r="O10" s="57" t="s">
        <v>126</v>
      </c>
      <c r="P10" s="57" t="s">
        <v>42</v>
      </c>
      <c r="Q10" s="57" t="s">
        <v>125</v>
      </c>
      <c r="R10" s="419" t="s">
        <v>32</v>
      </c>
      <c r="S10" s="419"/>
      <c r="T10" s="13" t="s">
        <v>127</v>
      </c>
      <c r="U10" s="13" t="s">
        <v>108</v>
      </c>
      <c r="V10" s="13" t="s">
        <v>193</v>
      </c>
      <c r="W10" s="17" t="s">
        <v>152</v>
      </c>
      <c r="X10" s="632" t="s">
        <v>32</v>
      </c>
      <c r="Y10" s="15" t="s">
        <v>12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54"/>
    </row>
    <row r="11" spans="1:40" x14ac:dyDescent="0.25">
      <c r="A11" s="55"/>
      <c r="B11" s="12"/>
      <c r="C11" s="13" t="s">
        <v>13</v>
      </c>
      <c r="D11" s="57" t="s">
        <v>36</v>
      </c>
      <c r="E11" s="57" t="s">
        <v>41</v>
      </c>
      <c r="F11" s="57" t="s">
        <v>32</v>
      </c>
      <c r="G11" s="57" t="s">
        <v>37</v>
      </c>
      <c r="H11" s="57" t="s">
        <v>93</v>
      </c>
      <c r="I11" s="57" t="s">
        <v>94</v>
      </c>
      <c r="J11" s="57" t="s">
        <v>94</v>
      </c>
      <c r="K11" s="57"/>
      <c r="L11" s="57"/>
      <c r="M11" s="57"/>
      <c r="N11" s="57" t="s">
        <v>56</v>
      </c>
      <c r="O11" s="57" t="s">
        <v>38</v>
      </c>
      <c r="P11" s="57"/>
      <c r="Q11" s="57" t="s">
        <v>56</v>
      </c>
      <c r="R11" s="419" t="s">
        <v>12</v>
      </c>
      <c r="S11" s="419"/>
      <c r="T11" s="13" t="s">
        <v>128</v>
      </c>
      <c r="U11" s="13" t="s">
        <v>110</v>
      </c>
      <c r="V11" s="13" t="s">
        <v>196</v>
      </c>
      <c r="W11" s="17" t="s">
        <v>153</v>
      </c>
      <c r="X11" s="632" t="s">
        <v>12</v>
      </c>
      <c r="Y11" s="19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54"/>
    </row>
    <row r="12" spans="1:40" x14ac:dyDescent="0.25">
      <c r="A12" s="55"/>
      <c r="B12" s="12"/>
      <c r="C12" s="13"/>
      <c r="D12" s="59"/>
      <c r="E12" s="57" t="s">
        <v>55</v>
      </c>
      <c r="F12" s="57"/>
      <c r="G12" s="123"/>
      <c r="H12" s="60"/>
      <c r="I12" s="123" t="s">
        <v>129</v>
      </c>
      <c r="J12" s="123" t="s">
        <v>130</v>
      </c>
      <c r="K12" s="57"/>
      <c r="L12" s="60"/>
      <c r="M12" s="57"/>
      <c r="N12" s="57" t="s">
        <v>131</v>
      </c>
      <c r="O12" s="57" t="s">
        <v>132</v>
      </c>
      <c r="P12" s="57"/>
      <c r="Q12" s="57" t="s">
        <v>132</v>
      </c>
      <c r="R12" s="420" t="s">
        <v>138</v>
      </c>
      <c r="S12" s="420"/>
      <c r="T12" s="13" t="s">
        <v>133</v>
      </c>
      <c r="U12" s="13" t="s">
        <v>39</v>
      </c>
      <c r="V12" s="13" t="s">
        <v>197</v>
      </c>
      <c r="W12" s="13" t="s">
        <v>32</v>
      </c>
      <c r="X12" s="97" t="s">
        <v>139</v>
      </c>
      <c r="Y12" s="19" t="s">
        <v>140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54"/>
    </row>
    <row r="13" spans="1:40" hidden="1" x14ac:dyDescent="0.25">
      <c r="A13" s="113"/>
      <c r="B13" s="106"/>
      <c r="C13" s="107"/>
      <c r="D13" s="108" t="s">
        <v>155</v>
      </c>
      <c r="E13" s="16" t="s">
        <v>156</v>
      </c>
      <c r="F13" s="16" t="s">
        <v>157</v>
      </c>
      <c r="G13" s="17" t="s">
        <v>158</v>
      </c>
      <c r="H13" s="114" t="s">
        <v>159</v>
      </c>
      <c r="I13" s="13" t="s">
        <v>160</v>
      </c>
      <c r="J13" s="17" t="s">
        <v>161</v>
      </c>
      <c r="K13" s="107" t="s">
        <v>162</v>
      </c>
      <c r="L13" s="114" t="s">
        <v>163</v>
      </c>
      <c r="M13" s="114" t="s">
        <v>164</v>
      </c>
      <c r="N13" s="114" t="s">
        <v>165</v>
      </c>
      <c r="O13" s="115" t="s">
        <v>166</v>
      </c>
      <c r="P13" s="107" t="s">
        <v>167</v>
      </c>
      <c r="Q13" s="107" t="s">
        <v>168</v>
      </c>
      <c r="R13" s="107"/>
      <c r="S13" s="107"/>
      <c r="T13" s="107" t="s">
        <v>169</v>
      </c>
      <c r="U13" s="107" t="s">
        <v>170</v>
      </c>
      <c r="V13" s="107" t="s">
        <v>171</v>
      </c>
      <c r="W13" s="116" t="s">
        <v>172</v>
      </c>
      <c r="X13" s="633"/>
      <c r="Y13" s="63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54"/>
    </row>
    <row r="14" spans="1:40" ht="18" customHeight="1" x14ac:dyDescent="0.25">
      <c r="A14" s="184">
        <v>1</v>
      </c>
      <c r="B14" s="210"/>
      <c r="C14" s="207">
        <v>2</v>
      </c>
      <c r="D14" s="207">
        <v>3</v>
      </c>
      <c r="E14" s="207">
        <v>4</v>
      </c>
      <c r="F14" s="207">
        <v>5</v>
      </c>
      <c r="G14" s="207">
        <v>6</v>
      </c>
      <c r="H14" s="207">
        <v>7</v>
      </c>
      <c r="I14" s="207">
        <v>8</v>
      </c>
      <c r="J14" s="207">
        <v>9</v>
      </c>
      <c r="K14" s="207">
        <v>10</v>
      </c>
      <c r="L14" s="207">
        <v>11</v>
      </c>
      <c r="M14" s="207">
        <v>12</v>
      </c>
      <c r="N14" s="207">
        <v>13</v>
      </c>
      <c r="O14" s="207">
        <v>14</v>
      </c>
      <c r="P14" s="207">
        <v>15</v>
      </c>
      <c r="Q14" s="207">
        <v>16</v>
      </c>
      <c r="R14" s="207">
        <v>17</v>
      </c>
      <c r="S14" s="207"/>
      <c r="T14" s="207">
        <v>18</v>
      </c>
      <c r="U14" s="207">
        <v>19</v>
      </c>
      <c r="V14" s="425">
        <v>20</v>
      </c>
      <c r="W14" s="207">
        <v>21</v>
      </c>
      <c r="X14" s="208">
        <v>22</v>
      </c>
      <c r="Y14" s="236">
        <v>23</v>
      </c>
      <c r="Z14" s="4"/>
      <c r="AA14" s="4"/>
      <c r="AB14" s="4"/>
      <c r="AC14" s="4"/>
      <c r="AD14" s="4"/>
      <c r="AE14" s="4"/>
      <c r="AF14" s="4"/>
      <c r="AG14" s="4"/>
      <c r="AH14" s="646"/>
      <c r="AI14" s="646"/>
      <c r="AJ14" s="4"/>
      <c r="AK14" s="4"/>
      <c r="AL14" s="4"/>
      <c r="AM14" s="4"/>
      <c r="AN14" s="4"/>
    </row>
    <row r="15" spans="1:40" s="65" customFormat="1" ht="19.5" hidden="1" customHeight="1" x14ac:dyDescent="0.3">
      <c r="A15" s="61"/>
      <c r="B15" s="145"/>
      <c r="C15" s="62" t="s">
        <v>49</v>
      </c>
      <c r="D15" s="146">
        <v>2187728</v>
      </c>
      <c r="E15" s="146">
        <v>506193</v>
      </c>
      <c r="F15" s="146">
        <v>632867</v>
      </c>
      <c r="G15" s="146">
        <v>185</v>
      </c>
      <c r="H15" s="146">
        <v>0</v>
      </c>
      <c r="I15" s="146">
        <v>0</v>
      </c>
      <c r="J15" s="146">
        <v>0</v>
      </c>
      <c r="K15" s="146">
        <v>0</v>
      </c>
      <c r="L15" s="146">
        <v>123256</v>
      </c>
      <c r="M15" s="146">
        <v>0</v>
      </c>
      <c r="N15" s="146">
        <v>0</v>
      </c>
      <c r="O15" s="146">
        <v>5000</v>
      </c>
      <c r="P15" s="146">
        <v>0</v>
      </c>
      <c r="Q15" s="146">
        <v>0</v>
      </c>
      <c r="R15" s="146">
        <f>SUM(D15:Q15)</f>
        <v>3455229</v>
      </c>
      <c r="S15" s="146"/>
      <c r="T15" s="146">
        <v>0</v>
      </c>
      <c r="U15" s="146">
        <v>0</v>
      </c>
      <c r="V15" s="147">
        <v>0</v>
      </c>
      <c r="W15" s="146">
        <v>0</v>
      </c>
      <c r="X15" s="147">
        <f>SUM(T15:W15)</f>
        <v>0</v>
      </c>
      <c r="Y15" s="148">
        <f>R15+X15</f>
        <v>3455229</v>
      </c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4"/>
    </row>
    <row r="16" spans="1:40" ht="20.100000000000001" hidden="1" customHeight="1" x14ac:dyDescent="0.25">
      <c r="A16" s="66"/>
      <c r="B16" s="131" t="s">
        <v>57</v>
      </c>
      <c r="C16" s="41" t="s">
        <v>76</v>
      </c>
      <c r="D16" s="69"/>
      <c r="E16" s="69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1"/>
      <c r="W16" s="70"/>
      <c r="X16" s="71"/>
      <c r="Y16" s="79">
        <f>SUM(D16:W16)</f>
        <v>0</v>
      </c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8"/>
    </row>
    <row r="17" spans="1:40" ht="20.100000000000001" hidden="1" customHeight="1" x14ac:dyDescent="0.25">
      <c r="A17" s="151"/>
      <c r="B17" s="27"/>
      <c r="C17" s="24" t="s">
        <v>18</v>
      </c>
      <c r="D17" s="146">
        <f t="shared" ref="D17:Y17" si="0">SUM(D15:D16)</f>
        <v>2187728</v>
      </c>
      <c r="E17" s="146">
        <f t="shared" si="0"/>
        <v>506193</v>
      </c>
      <c r="F17" s="146">
        <f t="shared" si="0"/>
        <v>632867</v>
      </c>
      <c r="G17" s="146">
        <f t="shared" si="0"/>
        <v>185</v>
      </c>
      <c r="H17" s="146">
        <f t="shared" si="0"/>
        <v>0</v>
      </c>
      <c r="I17" s="146">
        <f t="shared" si="0"/>
        <v>0</v>
      </c>
      <c r="J17" s="146">
        <f t="shared" si="0"/>
        <v>0</v>
      </c>
      <c r="K17" s="146">
        <f t="shared" si="0"/>
        <v>0</v>
      </c>
      <c r="L17" s="146">
        <f t="shared" si="0"/>
        <v>123256</v>
      </c>
      <c r="M17" s="146">
        <f t="shared" si="0"/>
        <v>0</v>
      </c>
      <c r="N17" s="146">
        <f t="shared" si="0"/>
        <v>0</v>
      </c>
      <c r="O17" s="146">
        <f t="shared" si="0"/>
        <v>5000</v>
      </c>
      <c r="P17" s="146">
        <f t="shared" si="0"/>
        <v>0</v>
      </c>
      <c r="Q17" s="146">
        <f t="shared" si="0"/>
        <v>0</v>
      </c>
      <c r="R17" s="146">
        <f>SUM(D17:Q17)</f>
        <v>3455229</v>
      </c>
      <c r="S17" s="146"/>
      <c r="T17" s="146">
        <f t="shared" si="0"/>
        <v>0</v>
      </c>
      <c r="U17" s="146">
        <f t="shared" si="0"/>
        <v>0</v>
      </c>
      <c r="V17" s="147">
        <f t="shared" si="0"/>
        <v>0</v>
      </c>
      <c r="W17" s="146">
        <f t="shared" si="0"/>
        <v>0</v>
      </c>
      <c r="X17" s="147">
        <f>SUM(T17:W17)</f>
        <v>0</v>
      </c>
      <c r="Y17" s="148">
        <f t="shared" si="0"/>
        <v>3455229</v>
      </c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8"/>
    </row>
    <row r="18" spans="1:40" ht="30" hidden="1" customHeight="1" x14ac:dyDescent="0.25">
      <c r="A18" s="78"/>
      <c r="B18" s="131"/>
      <c r="C18" s="28"/>
      <c r="D18" s="70"/>
      <c r="E18" s="70"/>
      <c r="F18" s="71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>
        <f t="shared" ref="R18:R90" si="1">SUM(D18:Q18)</f>
        <v>0</v>
      </c>
      <c r="S18" s="70"/>
      <c r="T18" s="70"/>
      <c r="U18" s="70"/>
      <c r="V18" s="71"/>
      <c r="W18" s="70"/>
      <c r="X18" s="71">
        <f t="shared" ref="X18:X90" si="2">SUM(T18:W18)</f>
        <v>0</v>
      </c>
      <c r="Y18" s="79">
        <f t="shared" ref="Y18:Y90" si="3">R18+X18</f>
        <v>0</v>
      </c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8"/>
    </row>
    <row r="19" spans="1:40" ht="30" hidden="1" customHeight="1" x14ac:dyDescent="0.25">
      <c r="A19" s="78">
        <v>1</v>
      </c>
      <c r="B19" s="515" t="s">
        <v>198</v>
      </c>
      <c r="C19" s="28" t="s">
        <v>321</v>
      </c>
      <c r="D19" s="150"/>
      <c r="E19" s="150"/>
      <c r="F19" s="150">
        <f>-1492-403</f>
        <v>-1895</v>
      </c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>
        <f t="shared" si="1"/>
        <v>-1895</v>
      </c>
      <c r="S19" s="150"/>
      <c r="T19" s="150"/>
      <c r="U19" s="150"/>
      <c r="V19" s="156"/>
      <c r="W19" s="150"/>
      <c r="X19" s="156">
        <f t="shared" si="2"/>
        <v>0</v>
      </c>
      <c r="Y19" s="513">
        <f t="shared" si="3"/>
        <v>-1895</v>
      </c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8"/>
    </row>
    <row r="20" spans="1:40" ht="30" hidden="1" customHeight="1" x14ac:dyDescent="0.25">
      <c r="A20" s="78">
        <v>2</v>
      </c>
      <c r="B20" s="218" t="s">
        <v>199</v>
      </c>
      <c r="C20" s="28" t="s">
        <v>206</v>
      </c>
      <c r="D20" s="150">
        <f>12219</f>
        <v>12219</v>
      </c>
      <c r="E20" s="150">
        <f>2383</f>
        <v>2383</v>
      </c>
      <c r="F20" s="150">
        <f>179+28+189+441+39+1600+2311+861</f>
        <v>5648</v>
      </c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>
        <f t="shared" si="1"/>
        <v>20250</v>
      </c>
      <c r="S20" s="150"/>
      <c r="T20" s="150"/>
      <c r="U20" s="150"/>
      <c r="V20" s="156"/>
      <c r="W20" s="150"/>
      <c r="X20" s="156">
        <f t="shared" si="2"/>
        <v>0</v>
      </c>
      <c r="Y20" s="513">
        <f t="shared" si="3"/>
        <v>20250</v>
      </c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8"/>
    </row>
    <row r="21" spans="1:40" ht="30" hidden="1" customHeight="1" x14ac:dyDescent="0.25">
      <c r="A21" s="78">
        <v>3</v>
      </c>
      <c r="B21" s="218" t="s">
        <v>230</v>
      </c>
      <c r="C21" s="33" t="s">
        <v>229</v>
      </c>
      <c r="D21" s="150"/>
      <c r="E21" s="150"/>
      <c r="F21" s="150">
        <f>780+1021</f>
        <v>1801</v>
      </c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>
        <f t="shared" si="1"/>
        <v>1801</v>
      </c>
      <c r="S21" s="150"/>
      <c r="T21" s="150"/>
      <c r="U21" s="150"/>
      <c r="V21" s="156"/>
      <c r="W21" s="150"/>
      <c r="X21" s="156">
        <f t="shared" si="2"/>
        <v>0</v>
      </c>
      <c r="Y21" s="513">
        <f t="shared" si="3"/>
        <v>1801</v>
      </c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8"/>
    </row>
    <row r="22" spans="1:40" ht="30" hidden="1" customHeight="1" x14ac:dyDescent="0.25">
      <c r="A22" s="78">
        <v>4</v>
      </c>
      <c r="B22" s="218" t="s">
        <v>231</v>
      </c>
      <c r="C22" s="28" t="s">
        <v>232</v>
      </c>
      <c r="D22" s="150">
        <f>-91</f>
        <v>-91</v>
      </c>
      <c r="E22" s="150">
        <f>-16</f>
        <v>-16</v>
      </c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>
        <f t="shared" si="1"/>
        <v>-107</v>
      </c>
      <c r="S22" s="150"/>
      <c r="T22" s="150"/>
      <c r="U22" s="150"/>
      <c r="V22" s="156"/>
      <c r="W22" s="150"/>
      <c r="X22" s="156">
        <f t="shared" si="2"/>
        <v>0</v>
      </c>
      <c r="Y22" s="513">
        <f t="shared" si="3"/>
        <v>-107</v>
      </c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8"/>
    </row>
    <row r="23" spans="1:40" ht="30" hidden="1" customHeight="1" x14ac:dyDescent="0.25">
      <c r="A23" s="78">
        <v>5</v>
      </c>
      <c r="B23" s="218" t="s">
        <v>237</v>
      </c>
      <c r="C23" s="28" t="s">
        <v>236</v>
      </c>
      <c r="D23" s="150">
        <f>193.4</f>
        <v>193.4</v>
      </c>
      <c r="E23" s="150">
        <f>42.548</f>
        <v>42.548000000000002</v>
      </c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>
        <f t="shared" si="1"/>
        <v>235.94800000000001</v>
      </c>
      <c r="S23" s="150"/>
      <c r="T23" s="150"/>
      <c r="U23" s="150"/>
      <c r="V23" s="156"/>
      <c r="W23" s="150"/>
      <c r="X23" s="156">
        <f t="shared" si="2"/>
        <v>0</v>
      </c>
      <c r="Y23" s="513">
        <f t="shared" si="3"/>
        <v>235.94800000000001</v>
      </c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8"/>
    </row>
    <row r="24" spans="1:40" ht="30" hidden="1" customHeight="1" x14ac:dyDescent="0.25">
      <c r="A24" s="78">
        <v>6</v>
      </c>
      <c r="B24" s="218" t="s">
        <v>238</v>
      </c>
      <c r="C24" s="28" t="s">
        <v>239</v>
      </c>
      <c r="D24" s="150">
        <f>505.261</f>
        <v>505.26100000000002</v>
      </c>
      <c r="E24" s="150">
        <f>73.359</f>
        <v>73.358999999999995</v>
      </c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>
        <f t="shared" si="1"/>
        <v>578.62</v>
      </c>
      <c r="S24" s="150"/>
      <c r="T24" s="150"/>
      <c r="U24" s="150"/>
      <c r="V24" s="156"/>
      <c r="W24" s="150"/>
      <c r="X24" s="156">
        <f t="shared" si="2"/>
        <v>0</v>
      </c>
      <c r="Y24" s="513">
        <f t="shared" si="3"/>
        <v>578.62</v>
      </c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8"/>
    </row>
    <row r="25" spans="1:40" ht="30" hidden="1" customHeight="1" x14ac:dyDescent="0.25">
      <c r="A25" s="217">
        <v>7</v>
      </c>
      <c r="B25" s="218" t="s">
        <v>257</v>
      </c>
      <c r="C25" s="599" t="s">
        <v>256</v>
      </c>
      <c r="D25" s="150"/>
      <c r="E25" s="150"/>
      <c r="F25" s="150"/>
      <c r="G25" s="150"/>
      <c r="H25" s="150"/>
      <c r="I25" s="150"/>
      <c r="J25" s="150"/>
      <c r="K25" s="150"/>
      <c r="L25" s="150">
        <f>8000+2160</f>
        <v>10160</v>
      </c>
      <c r="M25" s="150"/>
      <c r="N25" s="150"/>
      <c r="O25" s="150"/>
      <c r="P25" s="150"/>
      <c r="Q25" s="150"/>
      <c r="R25" s="150">
        <f t="shared" si="1"/>
        <v>10160</v>
      </c>
      <c r="S25" s="150"/>
      <c r="T25" s="150"/>
      <c r="U25" s="150"/>
      <c r="V25" s="156"/>
      <c r="W25" s="150"/>
      <c r="X25" s="156">
        <f t="shared" si="2"/>
        <v>0</v>
      </c>
      <c r="Y25" s="513">
        <f t="shared" si="3"/>
        <v>10160</v>
      </c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8"/>
    </row>
    <row r="26" spans="1:40" ht="30" hidden="1" customHeight="1" x14ac:dyDescent="0.25">
      <c r="A26" s="78">
        <v>8</v>
      </c>
      <c r="B26" s="218" t="s">
        <v>280</v>
      </c>
      <c r="C26" s="33" t="s">
        <v>278</v>
      </c>
      <c r="D26" s="150"/>
      <c r="E26" s="150"/>
      <c r="F26" s="150"/>
      <c r="G26" s="150"/>
      <c r="H26" s="150"/>
      <c r="I26" s="150"/>
      <c r="J26" s="150"/>
      <c r="K26" s="150"/>
      <c r="L26" s="150">
        <f>8863+2393</f>
        <v>11256</v>
      </c>
      <c r="M26" s="150"/>
      <c r="N26" s="150"/>
      <c r="O26" s="150"/>
      <c r="P26" s="150"/>
      <c r="Q26" s="150"/>
      <c r="R26" s="150">
        <f t="shared" si="1"/>
        <v>11256</v>
      </c>
      <c r="S26" s="150"/>
      <c r="T26" s="150"/>
      <c r="U26" s="150"/>
      <c r="V26" s="156"/>
      <c r="W26" s="150"/>
      <c r="X26" s="156">
        <f t="shared" si="2"/>
        <v>0</v>
      </c>
      <c r="Y26" s="513">
        <f t="shared" si="3"/>
        <v>11256</v>
      </c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8"/>
    </row>
    <row r="27" spans="1:40" ht="30" hidden="1" customHeight="1" x14ac:dyDescent="0.25">
      <c r="A27" s="217"/>
      <c r="B27" s="218"/>
      <c r="C27" s="394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>
        <f t="shared" si="1"/>
        <v>0</v>
      </c>
      <c r="S27" s="150"/>
      <c r="T27" s="150"/>
      <c r="U27" s="150"/>
      <c r="V27" s="156"/>
      <c r="W27" s="150"/>
      <c r="X27" s="156">
        <f t="shared" si="2"/>
        <v>0</v>
      </c>
      <c r="Y27" s="513">
        <f t="shared" si="3"/>
        <v>0</v>
      </c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8"/>
    </row>
    <row r="28" spans="1:40" ht="30" hidden="1" customHeight="1" x14ac:dyDescent="0.25">
      <c r="A28" s="78"/>
      <c r="B28" s="132"/>
      <c r="C28" s="28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>
        <f t="shared" si="1"/>
        <v>0</v>
      </c>
      <c r="S28" s="150"/>
      <c r="T28" s="150"/>
      <c r="U28" s="150"/>
      <c r="V28" s="156"/>
      <c r="W28" s="150"/>
      <c r="X28" s="156">
        <f t="shared" si="2"/>
        <v>0</v>
      </c>
      <c r="Y28" s="513">
        <f t="shared" si="3"/>
        <v>0</v>
      </c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8"/>
    </row>
    <row r="29" spans="1:40" ht="9.9499999999999993" hidden="1" customHeight="1" x14ac:dyDescent="0.25">
      <c r="A29" s="78"/>
      <c r="B29" s="132"/>
      <c r="C29" s="28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6"/>
      <c r="W29" s="150"/>
      <c r="X29" s="156"/>
      <c r="Y29" s="513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8"/>
    </row>
    <row r="30" spans="1:40" ht="30" hidden="1" customHeight="1" x14ac:dyDescent="0.25">
      <c r="A30" s="202" t="s">
        <v>62</v>
      </c>
      <c r="B30" s="198"/>
      <c r="C30" s="203" t="s">
        <v>60</v>
      </c>
      <c r="D30" s="150">
        <f t="shared" ref="D30:I30" si="4">SUM(D18:D28)</f>
        <v>12826.661</v>
      </c>
      <c r="E30" s="150">
        <f t="shared" si="4"/>
        <v>2482.9069999999997</v>
      </c>
      <c r="F30" s="150">
        <f t="shared" si="4"/>
        <v>5554</v>
      </c>
      <c r="G30" s="150">
        <f t="shared" si="4"/>
        <v>0</v>
      </c>
      <c r="H30" s="150">
        <f t="shared" si="4"/>
        <v>0</v>
      </c>
      <c r="I30" s="150">
        <f t="shared" si="4"/>
        <v>0</v>
      </c>
      <c r="J30" s="150"/>
      <c r="K30" s="150">
        <f t="shared" ref="K30:Q30" si="5">SUM(K18:K28)</f>
        <v>0</v>
      </c>
      <c r="L30" s="150">
        <f t="shared" si="5"/>
        <v>21416</v>
      </c>
      <c r="M30" s="150">
        <f t="shared" si="5"/>
        <v>0</v>
      </c>
      <c r="N30" s="150">
        <f t="shared" si="5"/>
        <v>0</v>
      </c>
      <c r="O30" s="150">
        <f t="shared" si="5"/>
        <v>0</v>
      </c>
      <c r="P30" s="150">
        <f t="shared" si="5"/>
        <v>0</v>
      </c>
      <c r="Q30" s="150">
        <f t="shared" si="5"/>
        <v>0</v>
      </c>
      <c r="R30" s="150">
        <f t="shared" si="1"/>
        <v>42279.567999999999</v>
      </c>
      <c r="S30" s="150"/>
      <c r="T30" s="150">
        <f>SUM(T18:T28)</f>
        <v>0</v>
      </c>
      <c r="U30" s="150">
        <f>SUM(U18:U28)</f>
        <v>0</v>
      </c>
      <c r="V30" s="156">
        <f>SUM(V18:V28)</f>
        <v>0</v>
      </c>
      <c r="W30" s="150">
        <f>SUM(W18:W28)</f>
        <v>0</v>
      </c>
      <c r="X30" s="156">
        <f t="shared" si="2"/>
        <v>0</v>
      </c>
      <c r="Y30" s="514">
        <f t="shared" si="3"/>
        <v>42279.567999999999</v>
      </c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8"/>
    </row>
    <row r="31" spans="1:40" ht="30" hidden="1" customHeight="1" x14ac:dyDescent="0.25">
      <c r="A31" s="78"/>
      <c r="B31" s="132"/>
      <c r="C31" s="28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6"/>
      <c r="W31" s="150"/>
      <c r="X31" s="156"/>
      <c r="Y31" s="513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8"/>
    </row>
    <row r="32" spans="1:40" ht="30" hidden="1" customHeight="1" x14ac:dyDescent="0.25">
      <c r="A32" s="78">
        <v>9</v>
      </c>
      <c r="B32" s="218" t="s">
        <v>207</v>
      </c>
      <c r="C32" s="599" t="s">
        <v>208</v>
      </c>
      <c r="D32" s="150">
        <f>12118.6+482+150</f>
        <v>12750.6</v>
      </c>
      <c r="E32" s="150">
        <f>2392.377+140.592+108.147</f>
        <v>2641.116</v>
      </c>
      <c r="F32" s="150">
        <f>735.405+10+90+300+299.213+300+10+200+400.047</f>
        <v>2344.665</v>
      </c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>
        <f t="shared" si="1"/>
        <v>17736.381000000001</v>
      </c>
      <c r="S32" s="150"/>
      <c r="T32" s="150"/>
      <c r="U32" s="150"/>
      <c r="V32" s="156"/>
      <c r="W32" s="150"/>
      <c r="X32" s="156">
        <f t="shared" si="2"/>
        <v>0</v>
      </c>
      <c r="Y32" s="513">
        <f t="shared" si="3"/>
        <v>17736.381000000001</v>
      </c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8"/>
    </row>
    <row r="33" spans="1:40" ht="30" hidden="1" customHeight="1" x14ac:dyDescent="0.25">
      <c r="A33" s="78">
        <v>10</v>
      </c>
      <c r="B33" s="218" t="s">
        <v>290</v>
      </c>
      <c r="C33" s="118" t="s">
        <v>291</v>
      </c>
      <c r="D33" s="150"/>
      <c r="E33" s="150"/>
      <c r="F33" s="150">
        <f>267+72</f>
        <v>339</v>
      </c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>
        <f t="shared" si="1"/>
        <v>339</v>
      </c>
      <c r="S33" s="150"/>
      <c r="T33" s="150"/>
      <c r="U33" s="150"/>
      <c r="V33" s="156"/>
      <c r="W33" s="150"/>
      <c r="X33" s="156">
        <f t="shared" si="2"/>
        <v>0</v>
      </c>
      <c r="Y33" s="513">
        <f t="shared" si="3"/>
        <v>339</v>
      </c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8"/>
    </row>
    <row r="34" spans="1:40" ht="30" hidden="1" customHeight="1" x14ac:dyDescent="0.25">
      <c r="A34" s="78">
        <v>11</v>
      </c>
      <c r="B34" s="515" t="s">
        <v>288</v>
      </c>
      <c r="C34" s="118" t="s">
        <v>289</v>
      </c>
      <c r="D34" s="150">
        <f>1553.847</f>
        <v>1553.847</v>
      </c>
      <c r="E34" s="150">
        <f>155.385</f>
        <v>155.38499999999999</v>
      </c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>
        <f t="shared" si="1"/>
        <v>1709.232</v>
      </c>
      <c r="S34" s="150"/>
      <c r="T34" s="150"/>
      <c r="U34" s="150"/>
      <c r="V34" s="156"/>
      <c r="W34" s="150"/>
      <c r="X34" s="156">
        <f t="shared" si="2"/>
        <v>0</v>
      </c>
      <c r="Y34" s="513">
        <f t="shared" si="3"/>
        <v>1709.232</v>
      </c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8"/>
    </row>
    <row r="35" spans="1:40" ht="30" hidden="1" customHeight="1" x14ac:dyDescent="0.25">
      <c r="A35" s="78" t="s">
        <v>83</v>
      </c>
      <c r="B35" s="515" t="s">
        <v>283</v>
      </c>
      <c r="C35" s="41" t="s">
        <v>278</v>
      </c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>
        <f t="shared" si="1"/>
        <v>0</v>
      </c>
      <c r="S35" s="150"/>
      <c r="T35" s="150"/>
      <c r="U35" s="150"/>
      <c r="V35" s="156"/>
      <c r="W35" s="150"/>
      <c r="X35" s="156">
        <f t="shared" si="2"/>
        <v>0</v>
      </c>
      <c r="Y35" s="513">
        <f t="shared" si="3"/>
        <v>0</v>
      </c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8"/>
    </row>
    <row r="36" spans="1:40" ht="30" hidden="1" customHeight="1" x14ac:dyDescent="0.25">
      <c r="A36" s="78">
        <v>12</v>
      </c>
      <c r="B36" s="515" t="s">
        <v>284</v>
      </c>
      <c r="C36" s="41" t="s">
        <v>285</v>
      </c>
      <c r="D36" s="150"/>
      <c r="E36" s="150"/>
      <c r="F36" s="150">
        <f>302+81</f>
        <v>383</v>
      </c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>
        <f t="shared" si="1"/>
        <v>383</v>
      </c>
      <c r="S36" s="150"/>
      <c r="T36" s="150"/>
      <c r="U36" s="150"/>
      <c r="V36" s="156"/>
      <c r="W36" s="150"/>
      <c r="X36" s="156">
        <f t="shared" si="2"/>
        <v>0</v>
      </c>
      <c r="Y36" s="513">
        <f t="shared" si="3"/>
        <v>383</v>
      </c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8"/>
    </row>
    <row r="37" spans="1:40" ht="30" hidden="1" customHeight="1" x14ac:dyDescent="0.25">
      <c r="A37" s="78">
        <v>13</v>
      </c>
      <c r="B37" s="515" t="s">
        <v>286</v>
      </c>
      <c r="C37" s="41" t="s">
        <v>287</v>
      </c>
      <c r="D37" s="150"/>
      <c r="E37" s="150"/>
      <c r="F37" s="150">
        <f>-406.976</f>
        <v>-406.976</v>
      </c>
      <c r="G37" s="150"/>
      <c r="H37" s="150"/>
      <c r="I37" s="150">
        <f>129.883</f>
        <v>129.88300000000001</v>
      </c>
      <c r="J37" s="150">
        <f>19.807+257.286</f>
        <v>277.09300000000002</v>
      </c>
      <c r="K37" s="150"/>
      <c r="L37" s="150"/>
      <c r="M37" s="150"/>
      <c r="N37" s="150"/>
      <c r="O37" s="150"/>
      <c r="P37" s="150"/>
      <c r="Q37" s="150"/>
      <c r="R37" s="150">
        <f t="shared" si="1"/>
        <v>0</v>
      </c>
      <c r="S37" s="150"/>
      <c r="T37" s="150"/>
      <c r="U37" s="150"/>
      <c r="V37" s="156"/>
      <c r="W37" s="150"/>
      <c r="X37" s="156">
        <f t="shared" si="2"/>
        <v>0</v>
      </c>
      <c r="Y37" s="513">
        <f t="shared" si="3"/>
        <v>0</v>
      </c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8"/>
    </row>
    <row r="38" spans="1:40" ht="30" hidden="1" customHeight="1" x14ac:dyDescent="0.25">
      <c r="A38" s="78" t="s">
        <v>83</v>
      </c>
      <c r="B38" s="515"/>
      <c r="C38" s="41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>
        <f t="shared" si="1"/>
        <v>0</v>
      </c>
      <c r="S38" s="150"/>
      <c r="T38" s="150"/>
      <c r="U38" s="150"/>
      <c r="V38" s="156"/>
      <c r="W38" s="150"/>
      <c r="X38" s="156">
        <f t="shared" si="2"/>
        <v>0</v>
      </c>
      <c r="Y38" s="513">
        <f t="shared" si="3"/>
        <v>0</v>
      </c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8"/>
    </row>
    <row r="39" spans="1:40" ht="30" hidden="1" customHeight="1" x14ac:dyDescent="0.25">
      <c r="A39" s="78" t="s">
        <v>83</v>
      </c>
      <c r="B39" s="515"/>
      <c r="C39" s="41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>
        <f t="shared" si="1"/>
        <v>0</v>
      </c>
      <c r="S39" s="150"/>
      <c r="T39" s="150"/>
      <c r="U39" s="150"/>
      <c r="V39" s="156"/>
      <c r="W39" s="150"/>
      <c r="X39" s="156">
        <f t="shared" si="2"/>
        <v>0</v>
      </c>
      <c r="Y39" s="513">
        <f t="shared" si="3"/>
        <v>0</v>
      </c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8"/>
    </row>
    <row r="40" spans="1:40" ht="30" hidden="1" customHeight="1" x14ac:dyDescent="0.25">
      <c r="A40" s="78" t="s">
        <v>83</v>
      </c>
      <c r="B40" s="515"/>
      <c r="C40" s="41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>
        <f t="shared" si="1"/>
        <v>0</v>
      </c>
      <c r="S40" s="150"/>
      <c r="T40" s="150"/>
      <c r="U40" s="150"/>
      <c r="V40" s="156"/>
      <c r="W40" s="150"/>
      <c r="X40" s="156">
        <f t="shared" si="2"/>
        <v>0</v>
      </c>
      <c r="Y40" s="513">
        <f t="shared" si="3"/>
        <v>0</v>
      </c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8"/>
    </row>
    <row r="41" spans="1:40" ht="30" hidden="1" customHeight="1" x14ac:dyDescent="0.25">
      <c r="A41" s="78" t="s">
        <v>83</v>
      </c>
      <c r="B41" s="515"/>
      <c r="C41" s="41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>
        <f t="shared" si="1"/>
        <v>0</v>
      </c>
      <c r="S41" s="150"/>
      <c r="T41" s="150"/>
      <c r="U41" s="150"/>
      <c r="V41" s="156"/>
      <c r="W41" s="150"/>
      <c r="X41" s="156">
        <f t="shared" si="2"/>
        <v>0</v>
      </c>
      <c r="Y41" s="513">
        <f t="shared" si="3"/>
        <v>0</v>
      </c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8"/>
    </row>
    <row r="42" spans="1:40" ht="30" hidden="1" customHeight="1" x14ac:dyDescent="0.25">
      <c r="A42" s="78" t="s">
        <v>83</v>
      </c>
      <c r="B42" s="218"/>
      <c r="C42" s="28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>
        <f t="shared" si="1"/>
        <v>0</v>
      </c>
      <c r="S42" s="150"/>
      <c r="T42" s="150"/>
      <c r="U42" s="150"/>
      <c r="V42" s="156"/>
      <c r="W42" s="150"/>
      <c r="X42" s="156">
        <f t="shared" si="2"/>
        <v>0</v>
      </c>
      <c r="Y42" s="513">
        <f t="shared" si="3"/>
        <v>0</v>
      </c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8"/>
    </row>
    <row r="43" spans="1:40" ht="30" hidden="1" customHeight="1" x14ac:dyDescent="0.25">
      <c r="A43" s="78" t="s">
        <v>83</v>
      </c>
      <c r="B43" s="218"/>
      <c r="C43" s="28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>
        <f t="shared" si="1"/>
        <v>0</v>
      </c>
      <c r="S43" s="150"/>
      <c r="T43" s="150"/>
      <c r="U43" s="150"/>
      <c r="V43" s="156"/>
      <c r="W43" s="150"/>
      <c r="X43" s="156">
        <f t="shared" si="2"/>
        <v>0</v>
      </c>
      <c r="Y43" s="513">
        <f t="shared" si="3"/>
        <v>0</v>
      </c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8"/>
    </row>
    <row r="44" spans="1:40" ht="30" hidden="1" customHeight="1" x14ac:dyDescent="0.25">
      <c r="A44" s="78" t="s">
        <v>83</v>
      </c>
      <c r="B44" s="218"/>
      <c r="C44" s="28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>
        <f t="shared" si="1"/>
        <v>0</v>
      </c>
      <c r="S44" s="150"/>
      <c r="T44" s="150"/>
      <c r="U44" s="150"/>
      <c r="V44" s="156"/>
      <c r="W44" s="150"/>
      <c r="X44" s="156">
        <f t="shared" si="2"/>
        <v>0</v>
      </c>
      <c r="Y44" s="513">
        <f t="shared" si="3"/>
        <v>0</v>
      </c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8"/>
    </row>
    <row r="45" spans="1:40" ht="30" hidden="1" customHeight="1" x14ac:dyDescent="0.25">
      <c r="A45" s="78"/>
      <c r="B45" s="132"/>
      <c r="C45" s="28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6"/>
      <c r="W45" s="150"/>
      <c r="X45" s="156"/>
      <c r="Y45" s="513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8"/>
    </row>
    <row r="46" spans="1:40" ht="30" hidden="1" customHeight="1" x14ac:dyDescent="0.25">
      <c r="A46" s="202" t="s">
        <v>63</v>
      </c>
      <c r="B46" s="198"/>
      <c r="C46" s="203" t="s">
        <v>61</v>
      </c>
      <c r="D46" s="150">
        <f t="shared" ref="D46:Q46" si="6">SUM(D32:D44)</f>
        <v>14304.447</v>
      </c>
      <c r="E46" s="150">
        <f t="shared" si="6"/>
        <v>2796.5010000000002</v>
      </c>
      <c r="F46" s="150">
        <f t="shared" si="6"/>
        <v>2659.6889999999999</v>
      </c>
      <c r="G46" s="150">
        <f t="shared" si="6"/>
        <v>0</v>
      </c>
      <c r="H46" s="150">
        <f t="shared" si="6"/>
        <v>0</v>
      </c>
      <c r="I46" s="150">
        <f t="shared" si="6"/>
        <v>129.88300000000001</v>
      </c>
      <c r="J46" s="150">
        <f t="shared" si="6"/>
        <v>277.09300000000002</v>
      </c>
      <c r="K46" s="150">
        <f t="shared" si="6"/>
        <v>0</v>
      </c>
      <c r="L46" s="150">
        <f t="shared" si="6"/>
        <v>0</v>
      </c>
      <c r="M46" s="150">
        <f t="shared" si="6"/>
        <v>0</v>
      </c>
      <c r="N46" s="150">
        <f t="shared" si="6"/>
        <v>0</v>
      </c>
      <c r="O46" s="150">
        <f t="shared" si="6"/>
        <v>0</v>
      </c>
      <c r="P46" s="150">
        <f t="shared" si="6"/>
        <v>0</v>
      </c>
      <c r="Q46" s="150">
        <f t="shared" si="6"/>
        <v>0</v>
      </c>
      <c r="R46" s="150">
        <f t="shared" si="1"/>
        <v>20167.613000000001</v>
      </c>
      <c r="S46" s="150"/>
      <c r="T46" s="150">
        <f>SUM(T32:T44)</f>
        <v>0</v>
      </c>
      <c r="U46" s="150">
        <f>SUM(U32:U44)</f>
        <v>0</v>
      </c>
      <c r="V46" s="150">
        <f>SUM(V32:V44)</f>
        <v>0</v>
      </c>
      <c r="W46" s="150">
        <f>SUM(W32:W44)</f>
        <v>0</v>
      </c>
      <c r="X46" s="156">
        <f t="shared" si="2"/>
        <v>0</v>
      </c>
      <c r="Y46" s="514">
        <f t="shared" si="3"/>
        <v>20167.613000000001</v>
      </c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8"/>
    </row>
    <row r="47" spans="1:40" ht="30" hidden="1" customHeight="1" x14ac:dyDescent="0.25">
      <c r="A47" s="78"/>
      <c r="B47" s="132"/>
      <c r="C47" s="28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1"/>
      <c r="W47" s="70"/>
      <c r="X47" s="71"/>
      <c r="Y47" s="79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8"/>
    </row>
    <row r="48" spans="1:40" ht="17.25" hidden="1" thickBot="1" x14ac:dyDescent="0.25">
      <c r="A48" s="78"/>
      <c r="B48" s="120"/>
      <c r="C48" s="154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1"/>
      <c r="W48" s="70"/>
      <c r="X48" s="71"/>
      <c r="Y48" s="79"/>
    </row>
    <row r="49" spans="1:72" ht="30" hidden="1" customHeight="1" thickTop="1" thickBot="1" x14ac:dyDescent="0.25">
      <c r="A49" s="129"/>
      <c r="B49" s="86"/>
      <c r="C49" s="44" t="s">
        <v>64</v>
      </c>
      <c r="D49" s="82">
        <f t="shared" ref="D49:W49" si="7">D30+D46</f>
        <v>27131.108</v>
      </c>
      <c r="E49" s="82">
        <f t="shared" si="7"/>
        <v>5279.4079999999994</v>
      </c>
      <c r="F49" s="82">
        <f t="shared" si="7"/>
        <v>8213.6890000000003</v>
      </c>
      <c r="G49" s="82">
        <f t="shared" si="7"/>
        <v>0</v>
      </c>
      <c r="H49" s="82">
        <f t="shared" si="7"/>
        <v>0</v>
      </c>
      <c r="I49" s="82">
        <f t="shared" si="7"/>
        <v>129.88300000000001</v>
      </c>
      <c r="J49" s="82">
        <f t="shared" si="7"/>
        <v>277.09300000000002</v>
      </c>
      <c r="K49" s="82">
        <f t="shared" si="7"/>
        <v>0</v>
      </c>
      <c r="L49" s="82">
        <f t="shared" si="7"/>
        <v>21416</v>
      </c>
      <c r="M49" s="82">
        <f t="shared" si="7"/>
        <v>0</v>
      </c>
      <c r="N49" s="82">
        <f t="shared" si="7"/>
        <v>0</v>
      </c>
      <c r="O49" s="82">
        <f t="shared" si="7"/>
        <v>0</v>
      </c>
      <c r="P49" s="82">
        <f t="shared" si="7"/>
        <v>0</v>
      </c>
      <c r="Q49" s="82">
        <f t="shared" si="7"/>
        <v>0</v>
      </c>
      <c r="R49" s="82">
        <f t="shared" si="1"/>
        <v>62447.181000000004</v>
      </c>
      <c r="S49" s="82"/>
      <c r="T49" s="82">
        <f t="shared" si="7"/>
        <v>0</v>
      </c>
      <c r="U49" s="82">
        <f t="shared" si="7"/>
        <v>0</v>
      </c>
      <c r="V49" s="83">
        <f t="shared" si="7"/>
        <v>0</v>
      </c>
      <c r="W49" s="82">
        <f t="shared" si="7"/>
        <v>0</v>
      </c>
      <c r="X49" s="82">
        <f t="shared" si="2"/>
        <v>0</v>
      </c>
      <c r="Y49" s="76">
        <f t="shared" si="3"/>
        <v>62447.181000000004</v>
      </c>
    </row>
    <row r="50" spans="1:72" ht="9.9499999999999993" hidden="1" customHeight="1" thickTop="1" x14ac:dyDescent="0.2">
      <c r="A50" s="544"/>
      <c r="B50" s="180"/>
      <c r="C50" s="181"/>
      <c r="D50" s="558"/>
      <c r="E50" s="558"/>
      <c r="F50" s="558"/>
      <c r="G50" s="558"/>
      <c r="H50" s="558"/>
      <c r="I50" s="558"/>
      <c r="J50" s="558"/>
      <c r="K50" s="558"/>
      <c r="L50" s="558"/>
      <c r="M50" s="558"/>
      <c r="N50" s="558"/>
      <c r="O50" s="558"/>
      <c r="P50" s="558"/>
      <c r="Q50" s="558"/>
      <c r="R50" s="558"/>
      <c r="S50" s="558"/>
      <c r="T50" s="558"/>
      <c r="U50" s="558"/>
      <c r="V50" s="495"/>
      <c r="W50" s="558"/>
      <c r="X50" s="495"/>
      <c r="Y50" s="559"/>
    </row>
    <row r="51" spans="1:72" ht="30" hidden="1" customHeight="1" x14ac:dyDescent="0.2">
      <c r="A51" s="560"/>
      <c r="B51" s="30"/>
      <c r="C51" s="561"/>
      <c r="D51" s="562"/>
      <c r="E51" s="562"/>
      <c r="F51" s="562"/>
      <c r="G51" s="562"/>
      <c r="H51" s="562"/>
      <c r="I51" s="562"/>
      <c r="J51" s="562"/>
      <c r="K51" s="562"/>
      <c r="L51" s="562"/>
      <c r="M51" s="562"/>
      <c r="N51" s="562"/>
      <c r="O51" s="562"/>
      <c r="P51" s="562"/>
      <c r="Q51" s="562"/>
      <c r="R51" s="562">
        <f>SUM(D51:Q51)</f>
        <v>0</v>
      </c>
      <c r="S51" s="562"/>
      <c r="T51" s="562"/>
      <c r="U51" s="562"/>
      <c r="V51" s="563"/>
      <c r="W51" s="562"/>
      <c r="X51" s="563">
        <f>SUM(T51:W51)</f>
        <v>0</v>
      </c>
      <c r="Y51" s="564">
        <f>R51+X51</f>
        <v>0</v>
      </c>
    </row>
    <row r="52" spans="1:72" ht="9.9499999999999993" hidden="1" customHeight="1" thickBot="1" x14ac:dyDescent="0.25">
      <c r="A52" s="554"/>
      <c r="B52" s="189"/>
      <c r="C52" s="190"/>
      <c r="D52" s="565"/>
      <c r="E52" s="565"/>
      <c r="F52" s="565"/>
      <c r="G52" s="565"/>
      <c r="H52" s="565"/>
      <c r="I52" s="565"/>
      <c r="J52" s="565"/>
      <c r="K52" s="565"/>
      <c r="L52" s="565"/>
      <c r="M52" s="565"/>
      <c r="N52" s="565"/>
      <c r="O52" s="565"/>
      <c r="P52" s="565"/>
      <c r="Q52" s="565"/>
      <c r="R52" s="565"/>
      <c r="S52" s="565"/>
      <c r="T52" s="565"/>
      <c r="U52" s="565"/>
      <c r="V52" s="566"/>
      <c r="W52" s="565"/>
      <c r="X52" s="566"/>
      <c r="Y52" s="567"/>
    </row>
    <row r="53" spans="1:72" ht="30" hidden="1" customHeight="1" thickTop="1" thickBot="1" x14ac:dyDescent="0.25">
      <c r="A53" s="129"/>
      <c r="B53" s="86"/>
      <c r="C53" s="44" t="s">
        <v>118</v>
      </c>
      <c r="D53" s="122">
        <f t="shared" ref="D53:K53" si="8">D17+D49</f>
        <v>2214859.108</v>
      </c>
      <c r="E53" s="122">
        <f t="shared" si="8"/>
        <v>511472.408</v>
      </c>
      <c r="F53" s="122">
        <f t="shared" si="8"/>
        <v>641080.68900000001</v>
      </c>
      <c r="G53" s="122">
        <f t="shared" si="8"/>
        <v>185</v>
      </c>
      <c r="H53" s="122">
        <f t="shared" si="8"/>
        <v>0</v>
      </c>
      <c r="I53" s="122">
        <f t="shared" si="8"/>
        <v>129.88300000000001</v>
      </c>
      <c r="J53" s="122">
        <f t="shared" si="8"/>
        <v>277.09300000000002</v>
      </c>
      <c r="K53" s="122">
        <f t="shared" si="8"/>
        <v>0</v>
      </c>
      <c r="L53" s="122">
        <f>L17+L49+L51</f>
        <v>144672</v>
      </c>
      <c r="M53" s="122">
        <f>M17+M49</f>
        <v>0</v>
      </c>
      <c r="N53" s="122">
        <f>N17+N49</f>
        <v>0</v>
      </c>
      <c r="O53" s="122">
        <f>O17+O49</f>
        <v>5000</v>
      </c>
      <c r="P53" s="122">
        <f>P17+P49</f>
        <v>0</v>
      </c>
      <c r="Q53" s="122">
        <f>Q17+Q49</f>
        <v>0</v>
      </c>
      <c r="R53" s="122">
        <f>SUM(D53:Q53)</f>
        <v>3517676.1809999999</v>
      </c>
      <c r="S53" s="122"/>
      <c r="T53" s="122">
        <f>T17+T49</f>
        <v>0</v>
      </c>
      <c r="U53" s="122">
        <f>U17+U49</f>
        <v>0</v>
      </c>
      <c r="V53" s="320">
        <f>V17+V49</f>
        <v>0</v>
      </c>
      <c r="W53" s="122">
        <f>W17+W49</f>
        <v>0</v>
      </c>
      <c r="X53" s="320">
        <f t="shared" si="2"/>
        <v>0</v>
      </c>
      <c r="Y53" s="152">
        <f>R53+X53+Y51</f>
        <v>3517676.1809999999</v>
      </c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</row>
    <row r="54" spans="1:72" ht="17.25" hidden="1" thickTop="1" x14ac:dyDescent="0.2">
      <c r="A54" s="26"/>
      <c r="B54" s="130" t="s">
        <v>48</v>
      </c>
      <c r="C54" s="90" t="s">
        <v>111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>
        <f t="shared" si="1"/>
        <v>0</v>
      </c>
      <c r="S54" s="91"/>
      <c r="T54" s="91"/>
      <c r="U54" s="91"/>
      <c r="V54" s="95"/>
      <c r="W54" s="91"/>
      <c r="X54" s="95">
        <f t="shared" si="2"/>
        <v>0</v>
      </c>
      <c r="Y54" s="577">
        <f t="shared" si="3"/>
        <v>0</v>
      </c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</row>
    <row r="55" spans="1:72" hidden="1" x14ac:dyDescent="0.2">
      <c r="A55" s="26"/>
      <c r="B55" s="72" t="s">
        <v>51</v>
      </c>
      <c r="C55" s="92" t="s">
        <v>111</v>
      </c>
      <c r="D55" s="575"/>
      <c r="E55" s="575"/>
      <c r="F55" s="575"/>
      <c r="G55" s="575"/>
      <c r="H55" s="575"/>
      <c r="I55" s="575"/>
      <c r="J55" s="575"/>
      <c r="K55" s="575"/>
      <c r="L55" s="575"/>
      <c r="M55" s="575"/>
      <c r="N55" s="575"/>
      <c r="O55" s="575"/>
      <c r="P55" s="575"/>
      <c r="Q55" s="575"/>
      <c r="R55" s="575">
        <f t="shared" si="1"/>
        <v>0</v>
      </c>
      <c r="S55" s="93"/>
      <c r="T55" s="93"/>
      <c r="U55" s="93"/>
      <c r="V55" s="96"/>
      <c r="W55" s="93"/>
      <c r="X55" s="96">
        <f t="shared" si="2"/>
        <v>0</v>
      </c>
      <c r="Y55" s="578">
        <f t="shared" si="3"/>
        <v>0</v>
      </c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</row>
    <row r="56" spans="1:72" hidden="1" x14ac:dyDescent="0.2">
      <c r="A56" s="26"/>
      <c r="B56" s="72" t="s">
        <v>58</v>
      </c>
      <c r="C56" s="92" t="s">
        <v>111</v>
      </c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  <c r="O56" s="575"/>
      <c r="P56" s="575"/>
      <c r="Q56" s="575"/>
      <c r="R56" s="575">
        <f t="shared" si="1"/>
        <v>0</v>
      </c>
      <c r="S56" s="93"/>
      <c r="T56" s="93"/>
      <c r="U56" s="93"/>
      <c r="V56" s="96"/>
      <c r="W56" s="93"/>
      <c r="X56" s="96">
        <f t="shared" si="2"/>
        <v>0</v>
      </c>
      <c r="Y56" s="578">
        <f t="shared" si="3"/>
        <v>0</v>
      </c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</row>
    <row r="57" spans="1:72" ht="16.5" hidden="1" customHeight="1" x14ac:dyDescent="0.2">
      <c r="A57" s="26"/>
      <c r="B57" s="72" t="s">
        <v>298</v>
      </c>
      <c r="C57" s="92" t="s">
        <v>111</v>
      </c>
      <c r="D57" s="575"/>
      <c r="E57" s="575"/>
      <c r="F57" s="575">
        <f>3061</f>
        <v>3061</v>
      </c>
      <c r="G57" s="575"/>
      <c r="H57" s="575"/>
      <c r="I57" s="575"/>
      <c r="J57" s="575"/>
      <c r="K57" s="575"/>
      <c r="L57" s="575"/>
      <c r="M57" s="575"/>
      <c r="N57" s="575"/>
      <c r="O57" s="575">
        <f>1000</f>
        <v>1000</v>
      </c>
      <c r="P57" s="575"/>
      <c r="Q57" s="575"/>
      <c r="R57" s="575">
        <f t="shared" si="1"/>
        <v>4061</v>
      </c>
      <c r="S57" s="93"/>
      <c r="T57" s="93"/>
      <c r="U57" s="93"/>
      <c r="V57" s="96"/>
      <c r="W57" s="93"/>
      <c r="X57" s="96">
        <f t="shared" si="2"/>
        <v>0</v>
      </c>
      <c r="Y57" s="578">
        <f t="shared" si="3"/>
        <v>4061</v>
      </c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</row>
    <row r="58" spans="1:72" hidden="1" x14ac:dyDescent="0.2">
      <c r="A58" s="26"/>
      <c r="B58" s="72" t="s">
        <v>299</v>
      </c>
      <c r="C58" s="92" t="s">
        <v>111</v>
      </c>
      <c r="D58" s="575"/>
      <c r="E58" s="575"/>
      <c r="F58" s="575">
        <f>12270+3240+24</f>
        <v>15534</v>
      </c>
      <c r="G58" s="575"/>
      <c r="H58" s="575"/>
      <c r="I58" s="575"/>
      <c r="J58" s="575"/>
      <c r="K58" s="575"/>
      <c r="L58" s="575"/>
      <c r="M58" s="575"/>
      <c r="N58" s="575"/>
      <c r="O58" s="575"/>
      <c r="P58" s="575"/>
      <c r="Q58" s="575"/>
      <c r="R58" s="575">
        <f t="shared" si="1"/>
        <v>15534</v>
      </c>
      <c r="S58" s="93"/>
      <c r="T58" s="93"/>
      <c r="U58" s="93"/>
      <c r="V58" s="96"/>
      <c r="W58" s="93"/>
      <c r="X58" s="96">
        <f t="shared" si="2"/>
        <v>0</v>
      </c>
      <c r="Y58" s="578">
        <f t="shared" si="3"/>
        <v>15534</v>
      </c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</row>
    <row r="59" spans="1:72" hidden="1" x14ac:dyDescent="0.2">
      <c r="A59" s="26"/>
      <c r="B59" s="72" t="s">
        <v>300</v>
      </c>
      <c r="C59" s="92" t="s">
        <v>111</v>
      </c>
      <c r="D59" s="575">
        <f>77820+546.153+98+12</f>
        <v>78476.153000000006</v>
      </c>
      <c r="E59" s="575">
        <f>17120.071+69.615</f>
        <v>17189.686000000002</v>
      </c>
      <c r="F59" s="575">
        <f>1180+48</f>
        <v>1228</v>
      </c>
      <c r="G59" s="575"/>
      <c r="H59" s="575"/>
      <c r="I59" s="575"/>
      <c r="J59" s="575"/>
      <c r="K59" s="575"/>
      <c r="L59" s="575"/>
      <c r="M59" s="575"/>
      <c r="N59" s="575"/>
      <c r="O59" s="575"/>
      <c r="P59" s="575"/>
      <c r="Q59" s="575"/>
      <c r="R59" s="575">
        <f t="shared" si="1"/>
        <v>96893.839000000007</v>
      </c>
      <c r="S59" s="93"/>
      <c r="T59" s="93"/>
      <c r="U59" s="93"/>
      <c r="V59" s="96"/>
      <c r="W59" s="93"/>
      <c r="X59" s="96">
        <f t="shared" si="2"/>
        <v>0</v>
      </c>
      <c r="Y59" s="578">
        <f t="shared" si="3"/>
        <v>96893.839000000007</v>
      </c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</row>
    <row r="60" spans="1:72" hidden="1" x14ac:dyDescent="0.2">
      <c r="A60" s="26"/>
      <c r="B60" s="72" t="s">
        <v>301</v>
      </c>
      <c r="C60" s="92" t="s">
        <v>111</v>
      </c>
      <c r="D60" s="575">
        <f>172</f>
        <v>172</v>
      </c>
      <c r="E60" s="575">
        <f>875+937</f>
        <v>1812</v>
      </c>
      <c r="F60" s="575"/>
      <c r="G60" s="575"/>
      <c r="H60" s="575"/>
      <c r="I60" s="575"/>
      <c r="J60" s="575"/>
      <c r="K60" s="575"/>
      <c r="L60" s="575"/>
      <c r="M60" s="575"/>
      <c r="N60" s="575"/>
      <c r="O60" s="575"/>
      <c r="P60" s="575"/>
      <c r="Q60" s="575"/>
      <c r="R60" s="575">
        <f t="shared" si="1"/>
        <v>1984</v>
      </c>
      <c r="S60" s="93"/>
      <c r="T60" s="93"/>
      <c r="U60" s="93"/>
      <c r="V60" s="96"/>
      <c r="W60" s="93"/>
      <c r="X60" s="96">
        <f t="shared" si="2"/>
        <v>0</v>
      </c>
      <c r="Y60" s="578">
        <f t="shared" si="3"/>
        <v>1984</v>
      </c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</row>
    <row r="61" spans="1:72" hidden="1" x14ac:dyDescent="0.2">
      <c r="A61" s="26"/>
      <c r="B61" s="72" t="s">
        <v>43</v>
      </c>
      <c r="C61" s="92" t="s">
        <v>111</v>
      </c>
      <c r="D61" s="575"/>
      <c r="E61" s="575"/>
      <c r="F61" s="575"/>
      <c r="G61" s="575"/>
      <c r="H61" s="575"/>
      <c r="I61" s="575"/>
      <c r="J61" s="575"/>
      <c r="K61" s="575"/>
      <c r="L61" s="575"/>
      <c r="M61" s="575"/>
      <c r="N61" s="575"/>
      <c r="O61" s="575"/>
      <c r="P61" s="575"/>
      <c r="Q61" s="575"/>
      <c r="R61" s="575">
        <f t="shared" si="1"/>
        <v>0</v>
      </c>
      <c r="S61" s="93"/>
      <c r="T61" s="93"/>
      <c r="U61" s="93"/>
      <c r="V61" s="96"/>
      <c r="W61" s="93"/>
      <c r="X61" s="96">
        <f t="shared" si="2"/>
        <v>0</v>
      </c>
      <c r="Y61" s="578">
        <f t="shared" si="3"/>
        <v>0</v>
      </c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</row>
    <row r="62" spans="1:72" hidden="1" x14ac:dyDescent="0.2">
      <c r="A62" s="26"/>
      <c r="B62" s="72" t="s">
        <v>302</v>
      </c>
      <c r="C62" s="92" t="s">
        <v>111</v>
      </c>
      <c r="D62" s="575">
        <f>1586</f>
        <v>1586</v>
      </c>
      <c r="E62" s="575">
        <f>349</f>
        <v>349</v>
      </c>
      <c r="F62" s="575"/>
      <c r="G62" s="575"/>
      <c r="H62" s="575"/>
      <c r="I62" s="575"/>
      <c r="J62" s="575"/>
      <c r="K62" s="575"/>
      <c r="L62" s="575"/>
      <c r="M62" s="575"/>
      <c r="N62" s="575"/>
      <c r="O62" s="575"/>
      <c r="P62" s="575"/>
      <c r="Q62" s="575"/>
      <c r="R62" s="575">
        <f t="shared" si="1"/>
        <v>1935</v>
      </c>
      <c r="S62" s="93"/>
      <c r="T62" s="93"/>
      <c r="U62" s="93"/>
      <c r="V62" s="96"/>
      <c r="W62" s="93"/>
      <c r="X62" s="96">
        <f t="shared" si="2"/>
        <v>0</v>
      </c>
      <c r="Y62" s="578">
        <f t="shared" si="3"/>
        <v>1935</v>
      </c>
      <c r="Z62" s="8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</row>
    <row r="63" spans="1:72" hidden="1" x14ac:dyDescent="0.2">
      <c r="A63" s="26"/>
      <c r="B63" s="72" t="s">
        <v>303</v>
      </c>
      <c r="C63" s="92" t="s">
        <v>111</v>
      </c>
      <c r="D63" s="575"/>
      <c r="E63" s="575"/>
      <c r="F63" s="575">
        <f>30</f>
        <v>30</v>
      </c>
      <c r="G63" s="575"/>
      <c r="H63" s="575"/>
      <c r="I63" s="575"/>
      <c r="J63" s="575"/>
      <c r="K63" s="575"/>
      <c r="L63" s="575"/>
      <c r="M63" s="575"/>
      <c r="N63" s="575"/>
      <c r="O63" s="575"/>
      <c r="P63" s="575"/>
      <c r="Q63" s="575"/>
      <c r="R63" s="575">
        <f t="shared" si="1"/>
        <v>30</v>
      </c>
      <c r="S63" s="93"/>
      <c r="T63" s="93"/>
      <c r="U63" s="93"/>
      <c r="V63" s="96"/>
      <c r="W63" s="93"/>
      <c r="X63" s="96">
        <f t="shared" si="2"/>
        <v>0</v>
      </c>
      <c r="Y63" s="578">
        <f t="shared" si="3"/>
        <v>30</v>
      </c>
      <c r="Z63" s="8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</row>
    <row r="64" spans="1:72" hidden="1" x14ac:dyDescent="0.2">
      <c r="A64" s="26"/>
      <c r="B64" s="72" t="s">
        <v>81</v>
      </c>
      <c r="C64" s="92" t="s">
        <v>111</v>
      </c>
      <c r="D64" s="575"/>
      <c r="E64" s="575"/>
      <c r="F64" s="575"/>
      <c r="G64" s="575"/>
      <c r="H64" s="575"/>
      <c r="I64" s="575"/>
      <c r="J64" s="575"/>
      <c r="K64" s="575"/>
      <c r="L64" s="575"/>
      <c r="M64" s="575"/>
      <c r="N64" s="575"/>
      <c r="O64" s="575"/>
      <c r="P64" s="575"/>
      <c r="Q64" s="575"/>
      <c r="R64" s="575">
        <f t="shared" si="1"/>
        <v>0</v>
      </c>
      <c r="S64" s="93"/>
      <c r="T64" s="93"/>
      <c r="U64" s="93"/>
      <c r="V64" s="96"/>
      <c r="W64" s="93"/>
      <c r="X64" s="96">
        <f t="shared" si="2"/>
        <v>0</v>
      </c>
      <c r="Y64" s="578">
        <f t="shared" si="3"/>
        <v>0</v>
      </c>
      <c r="Z64" s="8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</row>
    <row r="65" spans="1:72" hidden="1" x14ac:dyDescent="0.2">
      <c r="A65" s="26"/>
      <c r="B65" s="72" t="s">
        <v>304</v>
      </c>
      <c r="C65" s="92" t="s">
        <v>111</v>
      </c>
      <c r="D65" s="575">
        <f>400</f>
        <v>400</v>
      </c>
      <c r="E65" s="575"/>
      <c r="F65" s="575">
        <f>3154+851+190+51+1847+499+1012+273+1956+528+1692+457+730+197+300+78+3277+885+788+39+2060+556+5001+1350+362+98+3938+1062+1000+270+1000+270+172+46+986+266+630+170</f>
        <v>38041</v>
      </c>
      <c r="G65" s="575"/>
      <c r="H65" s="575"/>
      <c r="I65" s="575"/>
      <c r="J65" s="575"/>
      <c r="K65" s="575"/>
      <c r="L65" s="575">
        <f>985+266+15228+4111+727+196+1071+289+14803+3997</f>
        <v>41673</v>
      </c>
      <c r="M65" s="575">
        <f>5827+1573</f>
        <v>7400</v>
      </c>
      <c r="N65" s="575"/>
      <c r="O65" s="575"/>
      <c r="P65" s="575"/>
      <c r="Q65" s="575"/>
      <c r="R65" s="575">
        <f t="shared" si="1"/>
        <v>87514</v>
      </c>
      <c r="S65" s="93"/>
      <c r="T65" s="93"/>
      <c r="U65" s="93"/>
      <c r="V65" s="96"/>
      <c r="W65" s="93"/>
      <c r="X65" s="96">
        <f t="shared" si="2"/>
        <v>0</v>
      </c>
      <c r="Y65" s="578">
        <f t="shared" si="3"/>
        <v>87514</v>
      </c>
      <c r="Z65" s="8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</row>
    <row r="66" spans="1:72" hidden="1" x14ac:dyDescent="0.2">
      <c r="A66" s="26"/>
      <c r="B66" s="72" t="s">
        <v>305</v>
      </c>
      <c r="C66" s="92" t="s">
        <v>111</v>
      </c>
      <c r="D66" s="575"/>
      <c r="E66" s="575"/>
      <c r="F66" s="575"/>
      <c r="G66" s="575"/>
      <c r="H66" s="575"/>
      <c r="I66" s="575"/>
      <c r="J66" s="575"/>
      <c r="K66" s="575"/>
      <c r="L66" s="575">
        <f>40955+11057</f>
        <v>52012</v>
      </c>
      <c r="M66" s="575"/>
      <c r="N66" s="575"/>
      <c r="O66" s="575"/>
      <c r="P66" s="575"/>
      <c r="Q66" s="575"/>
      <c r="R66" s="575">
        <f t="shared" si="1"/>
        <v>52012</v>
      </c>
      <c r="S66" s="93"/>
      <c r="T66" s="93"/>
      <c r="U66" s="93"/>
      <c r="V66" s="96"/>
      <c r="W66" s="93"/>
      <c r="X66" s="96">
        <f t="shared" si="2"/>
        <v>0</v>
      </c>
      <c r="Y66" s="578">
        <f t="shared" si="3"/>
        <v>52012</v>
      </c>
      <c r="Z66" s="8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</row>
    <row r="67" spans="1:72" hidden="1" x14ac:dyDescent="0.2">
      <c r="A67" s="26"/>
      <c r="B67" s="269" t="s">
        <v>306</v>
      </c>
      <c r="C67" s="92" t="s">
        <v>111</v>
      </c>
      <c r="D67" s="576"/>
      <c r="E67" s="576"/>
      <c r="F67" s="576">
        <f>170+47</f>
        <v>217</v>
      </c>
      <c r="G67" s="576"/>
      <c r="H67" s="576"/>
      <c r="I67" s="576"/>
      <c r="J67" s="576"/>
      <c r="K67" s="576"/>
      <c r="L67" s="576">
        <f>13496+3644+5617+1516+39+11+8+2+1998+540</f>
        <v>26871</v>
      </c>
      <c r="M67" s="576"/>
      <c r="N67" s="576"/>
      <c r="O67" s="576"/>
      <c r="P67" s="576"/>
      <c r="Q67" s="576"/>
      <c r="R67" s="576">
        <f t="shared" si="1"/>
        <v>27088</v>
      </c>
      <c r="S67" s="273"/>
      <c r="T67" s="273"/>
      <c r="U67" s="273"/>
      <c r="V67" s="274"/>
      <c r="W67" s="273"/>
      <c r="X67" s="274">
        <f t="shared" si="2"/>
        <v>0</v>
      </c>
      <c r="Y67" s="578">
        <f t="shared" si="3"/>
        <v>27088</v>
      </c>
      <c r="Z67" s="8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</row>
    <row r="68" spans="1:72" hidden="1" x14ac:dyDescent="0.2">
      <c r="A68" s="26"/>
      <c r="B68" s="269" t="s">
        <v>65</v>
      </c>
      <c r="C68" s="92" t="s">
        <v>111</v>
      </c>
      <c r="D68" s="576"/>
      <c r="E68" s="576"/>
      <c r="F68" s="576"/>
      <c r="G68" s="576"/>
      <c r="H68" s="576"/>
      <c r="I68" s="576"/>
      <c r="J68" s="576"/>
      <c r="K68" s="576"/>
      <c r="L68" s="576"/>
      <c r="M68" s="576"/>
      <c r="N68" s="576"/>
      <c r="O68" s="576"/>
      <c r="P68" s="576"/>
      <c r="Q68" s="576"/>
      <c r="R68" s="576">
        <f t="shared" si="1"/>
        <v>0</v>
      </c>
      <c r="S68" s="273"/>
      <c r="T68" s="273"/>
      <c r="U68" s="273"/>
      <c r="V68" s="274"/>
      <c r="W68" s="273"/>
      <c r="X68" s="274">
        <f t="shared" si="2"/>
        <v>0</v>
      </c>
      <c r="Y68" s="578">
        <f t="shared" si="3"/>
        <v>0</v>
      </c>
      <c r="Z68" s="8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</row>
    <row r="69" spans="1:72" hidden="1" x14ac:dyDescent="0.2">
      <c r="A69" s="26"/>
      <c r="B69" s="271" t="s">
        <v>82</v>
      </c>
      <c r="C69" s="272" t="s">
        <v>111</v>
      </c>
      <c r="D69" s="576"/>
      <c r="E69" s="576"/>
      <c r="F69" s="576"/>
      <c r="G69" s="576"/>
      <c r="H69" s="576"/>
      <c r="I69" s="576"/>
      <c r="J69" s="576"/>
      <c r="K69" s="576"/>
      <c r="L69" s="576"/>
      <c r="M69" s="576"/>
      <c r="N69" s="576"/>
      <c r="O69" s="576"/>
      <c r="P69" s="576"/>
      <c r="Q69" s="576"/>
      <c r="R69" s="576">
        <f t="shared" si="1"/>
        <v>0</v>
      </c>
      <c r="S69" s="273"/>
      <c r="T69" s="273"/>
      <c r="U69" s="273"/>
      <c r="V69" s="274"/>
      <c r="W69" s="273"/>
      <c r="X69" s="274">
        <f t="shared" si="2"/>
        <v>0</v>
      </c>
      <c r="Y69" s="579">
        <f t="shared" si="3"/>
        <v>0</v>
      </c>
      <c r="Z69" s="8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</row>
    <row r="70" spans="1:72" ht="17.25" hidden="1" thickBot="1" x14ac:dyDescent="0.25">
      <c r="A70" s="26"/>
      <c r="B70" s="404"/>
      <c r="C70" s="405"/>
      <c r="D70" s="406"/>
      <c r="E70" s="406"/>
      <c r="F70" s="406"/>
      <c r="G70" s="406"/>
      <c r="H70" s="406"/>
      <c r="I70" s="406"/>
      <c r="J70" s="406"/>
      <c r="K70" s="406"/>
      <c r="L70" s="406"/>
      <c r="M70" s="406"/>
      <c r="N70" s="406"/>
      <c r="O70" s="406"/>
      <c r="P70" s="406"/>
      <c r="Q70" s="406"/>
      <c r="R70" s="406"/>
      <c r="S70" s="406"/>
      <c r="T70" s="406"/>
      <c r="U70" s="406"/>
      <c r="V70" s="407"/>
      <c r="W70" s="406"/>
      <c r="X70" s="407"/>
      <c r="Y70" s="408"/>
      <c r="Z70" s="8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</row>
    <row r="71" spans="1:72" s="77" customFormat="1" ht="30" hidden="1" customHeight="1" thickTop="1" thickBot="1" x14ac:dyDescent="0.25">
      <c r="A71" s="129"/>
      <c r="B71" s="275"/>
      <c r="C71" s="276" t="s">
        <v>189</v>
      </c>
      <c r="D71" s="583">
        <f t="shared" ref="D71:I71" si="9">SUM(D54:D69)</f>
        <v>80634.153000000006</v>
      </c>
      <c r="E71" s="583">
        <f t="shared" si="9"/>
        <v>19350.686000000002</v>
      </c>
      <c r="F71" s="583">
        <f t="shared" si="9"/>
        <v>58111</v>
      </c>
      <c r="G71" s="583">
        <f t="shared" si="9"/>
        <v>0</v>
      </c>
      <c r="H71" s="583">
        <f t="shared" si="9"/>
        <v>0</v>
      </c>
      <c r="I71" s="583">
        <f t="shared" si="9"/>
        <v>0</v>
      </c>
      <c r="J71" s="583"/>
      <c r="K71" s="583">
        <f t="shared" ref="K71:W71" si="10">SUM(K54:K69)</f>
        <v>0</v>
      </c>
      <c r="L71" s="583">
        <f t="shared" si="10"/>
        <v>120556</v>
      </c>
      <c r="M71" s="583">
        <f t="shared" si="10"/>
        <v>7400</v>
      </c>
      <c r="N71" s="583">
        <f t="shared" si="10"/>
        <v>0</v>
      </c>
      <c r="O71" s="583">
        <f t="shared" si="10"/>
        <v>1000</v>
      </c>
      <c r="P71" s="583">
        <f t="shared" si="10"/>
        <v>0</v>
      </c>
      <c r="Q71" s="583">
        <f t="shared" si="10"/>
        <v>0</v>
      </c>
      <c r="R71" s="583">
        <f t="shared" si="1"/>
        <v>287051.83900000004</v>
      </c>
      <c r="S71" s="277"/>
      <c r="T71" s="277">
        <f t="shared" si="10"/>
        <v>0</v>
      </c>
      <c r="U71" s="277">
        <f t="shared" si="10"/>
        <v>0</v>
      </c>
      <c r="V71" s="426">
        <f t="shared" si="10"/>
        <v>0</v>
      </c>
      <c r="W71" s="277">
        <f t="shared" si="10"/>
        <v>0</v>
      </c>
      <c r="X71" s="426">
        <f t="shared" si="2"/>
        <v>0</v>
      </c>
      <c r="Y71" s="580">
        <f t="shared" si="3"/>
        <v>287051.83900000004</v>
      </c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</row>
    <row r="72" spans="1:72" s="51" customFormat="1" ht="16.5" hidden="1" customHeight="1" thickTop="1" thickBot="1" x14ac:dyDescent="0.25">
      <c r="A72" s="143"/>
      <c r="B72" s="280"/>
      <c r="C72" s="281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427"/>
      <c r="W72" s="282"/>
      <c r="X72" s="427"/>
      <c r="Y72" s="283"/>
    </row>
    <row r="73" spans="1:72" ht="30" hidden="1" customHeight="1" thickTop="1" thickBot="1" x14ac:dyDescent="0.35">
      <c r="A73" s="128"/>
      <c r="B73" s="409" t="s">
        <v>137</v>
      </c>
      <c r="C73" s="44" t="s">
        <v>191</v>
      </c>
      <c r="D73" s="82">
        <f>D53+D71</f>
        <v>2295493.2609999999</v>
      </c>
      <c r="E73" s="82">
        <f t="shared" ref="E73:Q73" si="11">E53+E71</f>
        <v>530823.09400000004</v>
      </c>
      <c r="F73" s="82">
        <f t="shared" si="11"/>
        <v>699191.68900000001</v>
      </c>
      <c r="G73" s="82">
        <f t="shared" si="11"/>
        <v>185</v>
      </c>
      <c r="H73" s="82">
        <f t="shared" si="11"/>
        <v>0</v>
      </c>
      <c r="I73" s="82">
        <f t="shared" si="11"/>
        <v>129.88300000000001</v>
      </c>
      <c r="J73" s="82">
        <f t="shared" si="11"/>
        <v>277.09300000000002</v>
      </c>
      <c r="K73" s="82">
        <f t="shared" si="11"/>
        <v>0</v>
      </c>
      <c r="L73" s="82">
        <f>L53+L71</f>
        <v>265228</v>
      </c>
      <c r="M73" s="82">
        <f t="shared" si="11"/>
        <v>7400</v>
      </c>
      <c r="N73" s="82">
        <f t="shared" si="11"/>
        <v>0</v>
      </c>
      <c r="O73" s="82">
        <f t="shared" si="11"/>
        <v>6000</v>
      </c>
      <c r="P73" s="82">
        <f t="shared" si="11"/>
        <v>0</v>
      </c>
      <c r="Q73" s="82">
        <f t="shared" si="11"/>
        <v>0</v>
      </c>
      <c r="R73" s="82">
        <f t="shared" si="1"/>
        <v>3804728.0199999996</v>
      </c>
      <c r="S73" s="82"/>
      <c r="T73" s="82">
        <f>T53+T71</f>
        <v>0</v>
      </c>
      <c r="U73" s="82">
        <f>U53+U71</f>
        <v>0</v>
      </c>
      <c r="V73" s="82">
        <f>V53+V71</f>
        <v>0</v>
      </c>
      <c r="W73" s="82">
        <f>W53+W71</f>
        <v>0</v>
      </c>
      <c r="X73" s="82">
        <f t="shared" si="2"/>
        <v>0</v>
      </c>
      <c r="Y73" s="82">
        <f t="shared" si="3"/>
        <v>3804728.0199999996</v>
      </c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</row>
    <row r="74" spans="1:72" ht="24" hidden="1" customHeight="1" x14ac:dyDescent="0.25">
      <c r="A74" s="126"/>
      <c r="B74" s="266"/>
      <c r="C74" s="127" t="s">
        <v>18</v>
      </c>
      <c r="D74" s="213">
        <f t="shared" ref="D74:L74" si="12">D73</f>
        <v>2295493.2609999999</v>
      </c>
      <c r="E74" s="213">
        <f t="shared" si="12"/>
        <v>530823.09400000004</v>
      </c>
      <c r="F74" s="213">
        <f t="shared" si="12"/>
        <v>699191.68900000001</v>
      </c>
      <c r="G74" s="213">
        <f t="shared" si="12"/>
        <v>185</v>
      </c>
      <c r="H74" s="213">
        <f t="shared" si="12"/>
        <v>0</v>
      </c>
      <c r="I74" s="213">
        <f t="shared" si="12"/>
        <v>129.88300000000001</v>
      </c>
      <c r="J74" s="213">
        <f t="shared" si="12"/>
        <v>277.09300000000002</v>
      </c>
      <c r="K74" s="213">
        <f t="shared" si="12"/>
        <v>0</v>
      </c>
      <c r="L74" s="213">
        <f t="shared" si="12"/>
        <v>265228</v>
      </c>
      <c r="M74" s="213">
        <f t="shared" ref="M74:W74" si="13">M73</f>
        <v>7400</v>
      </c>
      <c r="N74" s="213">
        <f t="shared" si="13"/>
        <v>0</v>
      </c>
      <c r="O74" s="213">
        <f t="shared" si="13"/>
        <v>6000</v>
      </c>
      <c r="P74" s="213">
        <f t="shared" si="13"/>
        <v>0</v>
      </c>
      <c r="Q74" s="213">
        <f t="shared" si="13"/>
        <v>0</v>
      </c>
      <c r="R74" s="213">
        <f t="shared" si="1"/>
        <v>3804728.0199999996</v>
      </c>
      <c r="S74" s="213"/>
      <c r="T74" s="213">
        <f>T73</f>
        <v>0</v>
      </c>
      <c r="U74" s="213">
        <f>U73</f>
        <v>0</v>
      </c>
      <c r="V74" s="256">
        <f t="shared" si="13"/>
        <v>0</v>
      </c>
      <c r="W74" s="146">
        <f t="shared" si="13"/>
        <v>0</v>
      </c>
      <c r="X74" s="380">
        <f t="shared" si="2"/>
        <v>0</v>
      </c>
      <c r="Y74" s="292">
        <f t="shared" si="3"/>
        <v>3804728.0199999996</v>
      </c>
    </row>
    <row r="75" spans="1:72" ht="24" hidden="1" customHeight="1" x14ac:dyDescent="0.25">
      <c r="A75" s="18"/>
      <c r="B75" s="443"/>
      <c r="C75" s="41"/>
      <c r="D75" s="442"/>
      <c r="E75" s="442"/>
      <c r="F75" s="442"/>
      <c r="G75" s="441"/>
      <c r="H75" s="441"/>
      <c r="I75" s="441"/>
      <c r="J75" s="441"/>
      <c r="K75" s="441"/>
      <c r="L75" s="441"/>
      <c r="M75" s="441"/>
      <c r="N75" s="441"/>
      <c r="O75" s="441"/>
      <c r="P75" s="441"/>
      <c r="Q75" s="441"/>
      <c r="R75" s="441"/>
      <c r="S75" s="441"/>
      <c r="T75" s="441"/>
      <c r="U75" s="441"/>
      <c r="V75" s="461"/>
      <c r="W75" s="441"/>
      <c r="X75" s="454"/>
      <c r="Y75" s="261"/>
    </row>
    <row r="76" spans="1:72" ht="30.75" hidden="1" customHeight="1" x14ac:dyDescent="0.2">
      <c r="A76" s="78">
        <v>1</v>
      </c>
      <c r="B76" s="220" t="s">
        <v>330</v>
      </c>
      <c r="C76" s="33" t="s">
        <v>328</v>
      </c>
      <c r="D76" s="150"/>
      <c r="E76" s="150"/>
      <c r="F76" s="150">
        <f>-358-97</f>
        <v>-455</v>
      </c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>
        <f t="shared" si="1"/>
        <v>-455</v>
      </c>
      <c r="S76" s="150"/>
      <c r="T76" s="150"/>
      <c r="U76" s="150"/>
      <c r="V76" s="156"/>
      <c r="W76" s="150"/>
      <c r="X76" s="387">
        <f t="shared" si="2"/>
        <v>0</v>
      </c>
      <c r="Y76" s="261">
        <f t="shared" si="3"/>
        <v>-455</v>
      </c>
    </row>
    <row r="77" spans="1:72" ht="30.75" hidden="1" customHeight="1" x14ac:dyDescent="0.2">
      <c r="A77" s="78">
        <v>2</v>
      </c>
      <c r="B77" s="220" t="s">
        <v>360</v>
      </c>
      <c r="C77" s="33" t="s">
        <v>361</v>
      </c>
      <c r="D77" s="150">
        <v>518.9</v>
      </c>
      <c r="E77" s="150">
        <v>101.185</v>
      </c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>
        <f t="shared" si="1"/>
        <v>620.08500000000004</v>
      </c>
      <c r="S77" s="150"/>
      <c r="T77" s="150"/>
      <c r="U77" s="150"/>
      <c r="V77" s="156"/>
      <c r="W77" s="150"/>
      <c r="X77" s="387">
        <f t="shared" si="2"/>
        <v>0</v>
      </c>
      <c r="Y77" s="261">
        <f t="shared" si="3"/>
        <v>620.08500000000004</v>
      </c>
    </row>
    <row r="78" spans="1:72" ht="30.75" hidden="1" customHeight="1" x14ac:dyDescent="0.2">
      <c r="A78" s="78">
        <v>3</v>
      </c>
      <c r="B78" s="607" t="s">
        <v>365</v>
      </c>
      <c r="C78" s="33" t="s">
        <v>364</v>
      </c>
      <c r="D78" s="150">
        <f>1394-898+830+68</f>
        <v>1394</v>
      </c>
      <c r="E78" s="150">
        <f>100</f>
        <v>100</v>
      </c>
      <c r="F78" s="150">
        <f>198+240+20+1102+438+350+778+160-126+145+44+113+115-571+120</f>
        <v>3126</v>
      </c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>
        <f t="shared" si="1"/>
        <v>4620</v>
      </c>
      <c r="S78" s="150"/>
      <c r="T78" s="150"/>
      <c r="U78" s="150"/>
      <c r="V78" s="156"/>
      <c r="W78" s="150"/>
      <c r="X78" s="387">
        <f t="shared" si="2"/>
        <v>0</v>
      </c>
      <c r="Y78" s="261">
        <f t="shared" si="3"/>
        <v>4620</v>
      </c>
    </row>
    <row r="79" spans="1:72" ht="30.75" hidden="1" customHeight="1" x14ac:dyDescent="0.2">
      <c r="A79" s="78">
        <v>4</v>
      </c>
      <c r="B79" s="220" t="s">
        <v>380</v>
      </c>
      <c r="C79" s="33" t="s">
        <v>379</v>
      </c>
      <c r="D79" s="150"/>
      <c r="E79" s="150"/>
      <c r="F79" s="150"/>
      <c r="G79" s="150"/>
      <c r="H79" s="150"/>
      <c r="I79" s="150"/>
      <c r="J79" s="150"/>
      <c r="K79" s="150"/>
      <c r="L79" s="150">
        <f>14936+4033</f>
        <v>18969</v>
      </c>
      <c r="M79" s="150"/>
      <c r="N79" s="150"/>
      <c r="O79" s="150"/>
      <c r="P79" s="150"/>
      <c r="Q79" s="150"/>
      <c r="R79" s="150">
        <f t="shared" si="1"/>
        <v>18969</v>
      </c>
      <c r="S79" s="150"/>
      <c r="T79" s="150"/>
      <c r="U79" s="150"/>
      <c r="V79" s="156"/>
      <c r="W79" s="150"/>
      <c r="X79" s="387">
        <f t="shared" si="2"/>
        <v>0</v>
      </c>
      <c r="Y79" s="261">
        <f t="shared" si="3"/>
        <v>18969</v>
      </c>
    </row>
    <row r="80" spans="1:72" ht="30.75" hidden="1" customHeight="1" x14ac:dyDescent="0.2">
      <c r="A80" s="78">
        <v>5</v>
      </c>
      <c r="B80" s="220" t="s">
        <v>385</v>
      </c>
      <c r="C80" s="33" t="s">
        <v>384</v>
      </c>
      <c r="D80" s="150"/>
      <c r="E80" s="150"/>
      <c r="F80" s="150">
        <f>14500+3915</f>
        <v>18415</v>
      </c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>
        <f t="shared" si="1"/>
        <v>18415</v>
      </c>
      <c r="S80" s="150"/>
      <c r="T80" s="150"/>
      <c r="U80" s="150"/>
      <c r="V80" s="156"/>
      <c r="W80" s="150"/>
      <c r="X80" s="387">
        <f t="shared" si="2"/>
        <v>0</v>
      </c>
      <c r="Y80" s="261">
        <f t="shared" si="3"/>
        <v>18415</v>
      </c>
    </row>
    <row r="81" spans="1:25" ht="30.75" hidden="1" customHeight="1" x14ac:dyDescent="0.2">
      <c r="A81" s="78">
        <v>6</v>
      </c>
      <c r="B81" s="220" t="s">
        <v>388</v>
      </c>
      <c r="C81" s="33" t="s">
        <v>387</v>
      </c>
      <c r="D81" s="150"/>
      <c r="E81" s="150"/>
      <c r="F81" s="150">
        <f>9801+2646</f>
        <v>12447</v>
      </c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>
        <f t="shared" si="1"/>
        <v>12447</v>
      </c>
      <c r="S81" s="150"/>
      <c r="T81" s="150"/>
      <c r="U81" s="150"/>
      <c r="V81" s="156"/>
      <c r="W81" s="150"/>
      <c r="X81" s="387">
        <f t="shared" si="2"/>
        <v>0</v>
      </c>
      <c r="Y81" s="261">
        <f t="shared" si="3"/>
        <v>12447</v>
      </c>
    </row>
    <row r="82" spans="1:25" ht="30.75" hidden="1" customHeight="1" x14ac:dyDescent="0.2">
      <c r="A82" s="78">
        <v>7</v>
      </c>
      <c r="B82" s="220" t="s">
        <v>422</v>
      </c>
      <c r="C82" s="33" t="s">
        <v>421</v>
      </c>
      <c r="D82" s="150"/>
      <c r="E82" s="150"/>
      <c r="F82" s="150">
        <f>13420+3624</f>
        <v>17044</v>
      </c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>
        <f t="shared" si="1"/>
        <v>17044</v>
      </c>
      <c r="S82" s="150"/>
      <c r="T82" s="150"/>
      <c r="U82" s="150"/>
      <c r="V82" s="156"/>
      <c r="W82" s="150"/>
      <c r="X82" s="387">
        <f t="shared" si="2"/>
        <v>0</v>
      </c>
      <c r="Y82" s="261">
        <f t="shared" si="3"/>
        <v>17044</v>
      </c>
    </row>
    <row r="83" spans="1:25" ht="30.75" hidden="1" customHeight="1" x14ac:dyDescent="0.2">
      <c r="A83" s="78">
        <v>8</v>
      </c>
      <c r="B83" s="220" t="s">
        <v>424</v>
      </c>
      <c r="C83" s="33" t="s">
        <v>423</v>
      </c>
      <c r="D83" s="150"/>
      <c r="E83" s="150"/>
      <c r="F83" s="150"/>
      <c r="G83" s="150"/>
      <c r="H83" s="150"/>
      <c r="I83" s="150"/>
      <c r="J83" s="150"/>
      <c r="K83" s="150"/>
      <c r="L83" s="150">
        <f>2461+665</f>
        <v>3126</v>
      </c>
      <c r="M83" s="150"/>
      <c r="N83" s="150"/>
      <c r="O83" s="150"/>
      <c r="P83" s="150"/>
      <c r="Q83" s="150"/>
      <c r="R83" s="150">
        <f t="shared" si="1"/>
        <v>3126</v>
      </c>
      <c r="S83" s="150"/>
      <c r="T83" s="150"/>
      <c r="U83" s="150"/>
      <c r="V83" s="156"/>
      <c r="W83" s="150"/>
      <c r="X83" s="387">
        <f t="shared" si="2"/>
        <v>0</v>
      </c>
      <c r="Y83" s="261">
        <f t="shared" si="3"/>
        <v>3126</v>
      </c>
    </row>
    <row r="84" spans="1:25" ht="30.75" hidden="1" customHeight="1" x14ac:dyDescent="0.2">
      <c r="A84" s="78">
        <v>9</v>
      </c>
      <c r="B84" s="610" t="s">
        <v>437</v>
      </c>
      <c r="C84" s="33" t="s">
        <v>436</v>
      </c>
      <c r="D84" s="150">
        <f>490.601</f>
        <v>490.601</v>
      </c>
      <c r="E84" s="150">
        <f>95.667</f>
        <v>95.667000000000002</v>
      </c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>
        <f t="shared" si="1"/>
        <v>586.26800000000003</v>
      </c>
      <c r="S84" s="150"/>
      <c r="T84" s="150"/>
      <c r="U84" s="150"/>
      <c r="V84" s="156"/>
      <c r="W84" s="150"/>
      <c r="X84" s="387">
        <f t="shared" si="2"/>
        <v>0</v>
      </c>
      <c r="Y84" s="261">
        <f t="shared" si="3"/>
        <v>586.26800000000003</v>
      </c>
    </row>
    <row r="85" spans="1:25" ht="24" hidden="1" customHeight="1" x14ac:dyDescent="0.2">
      <c r="A85" s="78"/>
      <c r="B85" s="443"/>
      <c r="C85" s="41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>
        <f t="shared" si="1"/>
        <v>0</v>
      </c>
      <c r="S85" s="150"/>
      <c r="T85" s="150"/>
      <c r="U85" s="150"/>
      <c r="V85" s="156"/>
      <c r="W85" s="150"/>
      <c r="X85" s="387">
        <f t="shared" si="2"/>
        <v>0</v>
      </c>
      <c r="Y85" s="261">
        <f t="shared" si="3"/>
        <v>0</v>
      </c>
    </row>
    <row r="86" spans="1:25" ht="24" hidden="1" customHeight="1" x14ac:dyDescent="0.2">
      <c r="A86" s="78"/>
      <c r="B86" s="443"/>
      <c r="C86" s="33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>
        <f t="shared" si="1"/>
        <v>0</v>
      </c>
      <c r="S86" s="150"/>
      <c r="T86" s="150"/>
      <c r="U86" s="150"/>
      <c r="V86" s="156"/>
      <c r="W86" s="150"/>
      <c r="X86" s="387">
        <f t="shared" si="2"/>
        <v>0</v>
      </c>
      <c r="Y86" s="261">
        <f t="shared" si="3"/>
        <v>0</v>
      </c>
    </row>
    <row r="87" spans="1:25" ht="24" hidden="1" customHeight="1" x14ac:dyDescent="0.2">
      <c r="A87" s="78"/>
      <c r="B87" s="443"/>
      <c r="C87" s="28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>
        <f t="shared" si="1"/>
        <v>0</v>
      </c>
      <c r="S87" s="150"/>
      <c r="T87" s="150"/>
      <c r="U87" s="150"/>
      <c r="V87" s="156"/>
      <c r="W87" s="150"/>
      <c r="X87" s="387">
        <f t="shared" si="2"/>
        <v>0</v>
      </c>
      <c r="Y87" s="261">
        <f t="shared" si="3"/>
        <v>0</v>
      </c>
    </row>
    <row r="88" spans="1:25" ht="24" hidden="1" customHeight="1" x14ac:dyDescent="0.2">
      <c r="A88" s="78"/>
      <c r="B88" s="443"/>
      <c r="C88" s="28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>
        <f t="shared" si="1"/>
        <v>0</v>
      </c>
      <c r="S88" s="150"/>
      <c r="T88" s="150"/>
      <c r="U88" s="150"/>
      <c r="V88" s="156"/>
      <c r="W88" s="150"/>
      <c r="X88" s="387">
        <f t="shared" si="2"/>
        <v>0</v>
      </c>
      <c r="Y88" s="261">
        <f t="shared" si="3"/>
        <v>0</v>
      </c>
    </row>
    <row r="89" spans="1:25" ht="24" hidden="1" customHeight="1" x14ac:dyDescent="0.2">
      <c r="A89" s="78"/>
      <c r="B89" s="443"/>
      <c r="C89" s="41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>
        <f t="shared" si="1"/>
        <v>0</v>
      </c>
      <c r="S89" s="150"/>
      <c r="T89" s="150"/>
      <c r="U89" s="150"/>
      <c r="V89" s="156"/>
      <c r="W89" s="150"/>
      <c r="X89" s="387">
        <f t="shared" si="2"/>
        <v>0</v>
      </c>
      <c r="Y89" s="261">
        <f t="shared" si="3"/>
        <v>0</v>
      </c>
    </row>
    <row r="90" spans="1:25" ht="24" hidden="1" customHeight="1" x14ac:dyDescent="0.2">
      <c r="A90" s="78"/>
      <c r="B90" s="443"/>
      <c r="C90" s="28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>
        <f t="shared" si="1"/>
        <v>0</v>
      </c>
      <c r="S90" s="150"/>
      <c r="T90" s="150"/>
      <c r="U90" s="150"/>
      <c r="V90" s="156"/>
      <c r="W90" s="150"/>
      <c r="X90" s="387">
        <f t="shared" si="2"/>
        <v>0</v>
      </c>
      <c r="Y90" s="261">
        <f t="shared" si="3"/>
        <v>0</v>
      </c>
    </row>
    <row r="91" spans="1:25" ht="24" hidden="1" customHeight="1" x14ac:dyDescent="0.2">
      <c r="A91" s="78"/>
      <c r="B91" s="443"/>
      <c r="C91" s="28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6"/>
      <c r="W91" s="150"/>
      <c r="X91" s="387"/>
      <c r="Y91" s="261"/>
    </row>
    <row r="92" spans="1:25" ht="24" hidden="1" customHeight="1" x14ac:dyDescent="0.2">
      <c r="A92" s="78"/>
      <c r="B92" s="443"/>
      <c r="C92" s="28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6"/>
      <c r="W92" s="150"/>
      <c r="X92" s="387"/>
      <c r="Y92" s="261"/>
    </row>
    <row r="93" spans="1:25" ht="9.9499999999999993" hidden="1" customHeight="1" x14ac:dyDescent="0.2">
      <c r="A93" s="78"/>
      <c r="B93" s="30"/>
      <c r="C93" s="28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6"/>
      <c r="W93" s="150"/>
      <c r="X93" s="387"/>
      <c r="Y93" s="261"/>
    </row>
    <row r="94" spans="1:25" ht="30" hidden="1" customHeight="1" x14ac:dyDescent="0.2">
      <c r="A94" s="202" t="s">
        <v>62</v>
      </c>
      <c r="B94" s="198"/>
      <c r="C94" s="203" t="s">
        <v>60</v>
      </c>
      <c r="D94" s="150">
        <f t="shared" ref="D94:Q94" si="14">SUM(D75:D93)</f>
        <v>2403.5010000000002</v>
      </c>
      <c r="E94" s="150">
        <f t="shared" si="14"/>
        <v>296.85199999999998</v>
      </c>
      <c r="F94" s="150">
        <f t="shared" si="14"/>
        <v>50577</v>
      </c>
      <c r="G94" s="150">
        <f t="shared" si="14"/>
        <v>0</v>
      </c>
      <c r="H94" s="150">
        <f t="shared" si="14"/>
        <v>0</v>
      </c>
      <c r="I94" s="150">
        <f t="shared" si="14"/>
        <v>0</v>
      </c>
      <c r="J94" s="150">
        <f t="shared" si="14"/>
        <v>0</v>
      </c>
      <c r="K94" s="150">
        <f t="shared" si="14"/>
        <v>0</v>
      </c>
      <c r="L94" s="150">
        <f t="shared" si="14"/>
        <v>22095</v>
      </c>
      <c r="M94" s="150">
        <f t="shared" si="14"/>
        <v>0</v>
      </c>
      <c r="N94" s="150">
        <f t="shared" si="14"/>
        <v>0</v>
      </c>
      <c r="O94" s="150">
        <f t="shared" si="14"/>
        <v>0</v>
      </c>
      <c r="P94" s="150">
        <f t="shared" si="14"/>
        <v>0</v>
      </c>
      <c r="Q94" s="150">
        <f t="shared" si="14"/>
        <v>0</v>
      </c>
      <c r="R94" s="150">
        <f t="shared" ref="R94:R159" si="15">SUM(D94:Q94)</f>
        <v>75372.353000000003</v>
      </c>
      <c r="S94" s="150"/>
      <c r="T94" s="150">
        <f>SUM(T75:T93)</f>
        <v>0</v>
      </c>
      <c r="U94" s="150">
        <f>SUM(U75:U93)</f>
        <v>0</v>
      </c>
      <c r="V94" s="156">
        <f>SUM(V75:V93)</f>
        <v>0</v>
      </c>
      <c r="W94" s="150">
        <f>SUM(W75:W93)</f>
        <v>0</v>
      </c>
      <c r="X94" s="387">
        <f t="shared" ref="X94:X159" si="16">SUM(T94:W94)</f>
        <v>0</v>
      </c>
      <c r="Y94" s="294">
        <f t="shared" ref="Y94:Y161" si="17">R94+X94</f>
        <v>75372.353000000003</v>
      </c>
    </row>
    <row r="95" spans="1:25" ht="9.9499999999999993" hidden="1" customHeight="1" x14ac:dyDescent="0.2">
      <c r="A95" s="78"/>
      <c r="B95" s="452"/>
      <c r="C95" s="28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6"/>
      <c r="W95" s="150"/>
      <c r="X95" s="387"/>
      <c r="Y95" s="261"/>
    </row>
    <row r="96" spans="1:25" ht="24" hidden="1" customHeight="1" x14ac:dyDescent="0.25">
      <c r="A96" s="18" t="s">
        <v>83</v>
      </c>
      <c r="B96" s="608" t="s">
        <v>358</v>
      </c>
      <c r="C96" s="290" t="s">
        <v>359</v>
      </c>
      <c r="D96" s="150">
        <f>700.126-7414.224-0.85+7415.074</f>
        <v>700.12599999999929</v>
      </c>
      <c r="E96" s="150">
        <f>57.33-168.597+71.485+97.112</f>
        <v>57.329999999999984</v>
      </c>
      <c r="F96" s="150">
        <f>0.85-735.405+225.957-90-176.378+931.433-10-300+22+132.393</f>
        <v>0.850000000000108</v>
      </c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>
        <f t="shared" si="15"/>
        <v>758.30599999999936</v>
      </c>
      <c r="S96" s="453"/>
      <c r="T96" s="453"/>
      <c r="U96" s="453"/>
      <c r="V96" s="462"/>
      <c r="W96" s="453"/>
      <c r="X96" s="454">
        <f t="shared" si="16"/>
        <v>0</v>
      </c>
      <c r="Y96" s="261">
        <f t="shared" si="17"/>
        <v>758.30599999999936</v>
      </c>
    </row>
    <row r="97" spans="1:25" ht="24" hidden="1" customHeight="1" x14ac:dyDescent="0.2">
      <c r="A97" s="217" t="s">
        <v>83</v>
      </c>
      <c r="B97" s="30"/>
      <c r="C97" s="41"/>
      <c r="D97" s="150"/>
      <c r="E97" s="150"/>
      <c r="F97" s="602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>
        <f t="shared" si="15"/>
        <v>0</v>
      </c>
      <c r="S97" s="150"/>
      <c r="T97" s="150"/>
      <c r="U97" s="150"/>
      <c r="V97" s="156"/>
      <c r="W97" s="150"/>
      <c r="X97" s="387">
        <f t="shared" si="16"/>
        <v>0</v>
      </c>
      <c r="Y97" s="261">
        <f t="shared" si="17"/>
        <v>0</v>
      </c>
    </row>
    <row r="98" spans="1:25" ht="24" hidden="1" customHeight="1" x14ac:dyDescent="0.2">
      <c r="A98" s="78" t="s">
        <v>83</v>
      </c>
      <c r="B98" s="30"/>
      <c r="C98" s="41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>
        <f t="shared" si="15"/>
        <v>0</v>
      </c>
      <c r="S98" s="150"/>
      <c r="T98" s="150"/>
      <c r="U98" s="150"/>
      <c r="V98" s="156"/>
      <c r="W98" s="150"/>
      <c r="X98" s="387">
        <f t="shared" si="16"/>
        <v>0</v>
      </c>
      <c r="Y98" s="261">
        <f t="shared" si="17"/>
        <v>0</v>
      </c>
    </row>
    <row r="99" spans="1:25" ht="24" hidden="1" customHeight="1" x14ac:dyDescent="0.2">
      <c r="A99" s="217"/>
      <c r="B99" s="174"/>
      <c r="C99" s="41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>
        <f t="shared" si="15"/>
        <v>0</v>
      </c>
      <c r="S99" s="150"/>
      <c r="T99" s="150"/>
      <c r="U99" s="150"/>
      <c r="V99" s="156"/>
      <c r="W99" s="150"/>
      <c r="X99" s="387">
        <f t="shared" si="16"/>
        <v>0</v>
      </c>
      <c r="Y99" s="261">
        <f t="shared" si="17"/>
        <v>0</v>
      </c>
    </row>
    <row r="100" spans="1:25" ht="24" hidden="1" customHeight="1" x14ac:dyDescent="0.2">
      <c r="A100" s="78"/>
      <c r="B100" s="30"/>
      <c r="C100" s="28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>
        <f t="shared" si="15"/>
        <v>0</v>
      </c>
      <c r="S100" s="150"/>
      <c r="T100" s="150"/>
      <c r="U100" s="150"/>
      <c r="V100" s="156"/>
      <c r="W100" s="150"/>
      <c r="X100" s="387">
        <f t="shared" si="16"/>
        <v>0</v>
      </c>
      <c r="Y100" s="261">
        <f t="shared" si="17"/>
        <v>0</v>
      </c>
    </row>
    <row r="101" spans="1:25" ht="24" hidden="1" customHeight="1" x14ac:dyDescent="0.2">
      <c r="A101" s="217"/>
      <c r="B101" s="30"/>
      <c r="C101" s="28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>
        <f t="shared" si="15"/>
        <v>0</v>
      </c>
      <c r="S101" s="150"/>
      <c r="T101" s="150"/>
      <c r="U101" s="150"/>
      <c r="V101" s="156"/>
      <c r="W101" s="150"/>
      <c r="X101" s="387">
        <f t="shared" si="16"/>
        <v>0</v>
      </c>
      <c r="Y101" s="261">
        <f t="shared" si="17"/>
        <v>0</v>
      </c>
    </row>
    <row r="102" spans="1:25" ht="24" hidden="1" customHeight="1" x14ac:dyDescent="0.2">
      <c r="A102" s="78"/>
      <c r="B102" s="443"/>
      <c r="C102" s="41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>
        <f t="shared" si="15"/>
        <v>0</v>
      </c>
      <c r="S102" s="150"/>
      <c r="T102" s="150"/>
      <c r="U102" s="150"/>
      <c r="V102" s="156"/>
      <c r="W102" s="150"/>
      <c r="X102" s="387">
        <f t="shared" si="16"/>
        <v>0</v>
      </c>
      <c r="Y102" s="261">
        <f t="shared" si="17"/>
        <v>0</v>
      </c>
    </row>
    <row r="103" spans="1:25" ht="24" hidden="1" customHeight="1" x14ac:dyDescent="0.2">
      <c r="A103" s="78"/>
      <c r="B103" s="32"/>
      <c r="C103" s="34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>
        <f t="shared" si="15"/>
        <v>0</v>
      </c>
      <c r="S103" s="150"/>
      <c r="T103" s="150"/>
      <c r="U103" s="150"/>
      <c r="V103" s="156"/>
      <c r="W103" s="150"/>
      <c r="X103" s="387">
        <f t="shared" si="16"/>
        <v>0</v>
      </c>
      <c r="Y103" s="261">
        <f t="shared" si="17"/>
        <v>0</v>
      </c>
    </row>
    <row r="104" spans="1:25" ht="24" hidden="1" customHeight="1" x14ac:dyDescent="0.2">
      <c r="A104" s="78"/>
      <c r="B104" s="32"/>
      <c r="C104" s="34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>
        <f t="shared" si="15"/>
        <v>0</v>
      </c>
      <c r="S104" s="150"/>
      <c r="T104" s="150"/>
      <c r="U104" s="150"/>
      <c r="V104" s="156"/>
      <c r="W104" s="150"/>
      <c r="X104" s="387">
        <f t="shared" si="16"/>
        <v>0</v>
      </c>
      <c r="Y104" s="261">
        <f t="shared" si="17"/>
        <v>0</v>
      </c>
    </row>
    <row r="105" spans="1:25" ht="24" hidden="1" customHeight="1" x14ac:dyDescent="0.2">
      <c r="A105" s="78"/>
      <c r="B105" s="32"/>
      <c r="C105" s="34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>
        <f t="shared" si="15"/>
        <v>0</v>
      </c>
      <c r="S105" s="150"/>
      <c r="T105" s="150"/>
      <c r="U105" s="150"/>
      <c r="V105" s="156"/>
      <c r="W105" s="150"/>
      <c r="X105" s="387">
        <f t="shared" si="16"/>
        <v>0</v>
      </c>
      <c r="Y105" s="261">
        <f t="shared" si="17"/>
        <v>0</v>
      </c>
    </row>
    <row r="106" spans="1:25" ht="24" hidden="1" customHeight="1" x14ac:dyDescent="0.2">
      <c r="A106" s="78"/>
      <c r="B106" s="31"/>
      <c r="C106" s="41"/>
      <c r="D106" s="155"/>
      <c r="E106" s="155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>
        <f t="shared" si="15"/>
        <v>0</v>
      </c>
      <c r="S106" s="150"/>
      <c r="T106" s="150"/>
      <c r="U106" s="150"/>
      <c r="V106" s="156"/>
      <c r="W106" s="150"/>
      <c r="X106" s="387">
        <f t="shared" si="16"/>
        <v>0</v>
      </c>
      <c r="Y106" s="261">
        <f t="shared" si="17"/>
        <v>0</v>
      </c>
    </row>
    <row r="107" spans="1:25" ht="24" hidden="1" customHeight="1" x14ac:dyDescent="0.2">
      <c r="A107" s="78"/>
      <c r="B107" s="31"/>
      <c r="C107" s="41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>
        <f t="shared" si="15"/>
        <v>0</v>
      </c>
      <c r="S107" s="150"/>
      <c r="T107" s="150"/>
      <c r="U107" s="150"/>
      <c r="V107" s="156"/>
      <c r="W107" s="150"/>
      <c r="X107" s="387">
        <f t="shared" si="16"/>
        <v>0</v>
      </c>
      <c r="Y107" s="261">
        <f t="shared" si="17"/>
        <v>0</v>
      </c>
    </row>
    <row r="108" spans="1:25" ht="24" hidden="1" customHeight="1" x14ac:dyDescent="0.2">
      <c r="A108" s="78"/>
      <c r="B108" s="31"/>
      <c r="C108" s="41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>
        <f t="shared" si="15"/>
        <v>0</v>
      </c>
      <c r="S108" s="150"/>
      <c r="T108" s="150"/>
      <c r="U108" s="150"/>
      <c r="V108" s="156"/>
      <c r="W108" s="150"/>
      <c r="X108" s="387">
        <f t="shared" si="16"/>
        <v>0</v>
      </c>
      <c r="Y108" s="261">
        <f t="shared" si="17"/>
        <v>0</v>
      </c>
    </row>
    <row r="109" spans="1:25" ht="24" hidden="1" customHeight="1" x14ac:dyDescent="0.2">
      <c r="A109" s="78"/>
      <c r="B109" s="31"/>
      <c r="C109" s="41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6"/>
      <c r="W109" s="150"/>
      <c r="X109" s="387"/>
      <c r="Y109" s="261"/>
    </row>
    <row r="110" spans="1:25" ht="24" hidden="1" customHeight="1" x14ac:dyDescent="0.2">
      <c r="A110" s="78"/>
      <c r="B110" s="98"/>
      <c r="C110" s="28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6"/>
      <c r="W110" s="150"/>
      <c r="X110" s="387"/>
      <c r="Y110" s="261"/>
    </row>
    <row r="111" spans="1:25" ht="9.9499999999999993" hidden="1" customHeight="1" x14ac:dyDescent="0.2">
      <c r="A111" s="78"/>
      <c r="B111" s="117"/>
      <c r="C111" s="41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6"/>
      <c r="W111" s="150"/>
      <c r="X111" s="387"/>
      <c r="Y111" s="261"/>
    </row>
    <row r="112" spans="1:25" ht="30" hidden="1" customHeight="1" x14ac:dyDescent="0.2">
      <c r="A112" s="202" t="s">
        <v>63</v>
      </c>
      <c r="B112" s="198"/>
      <c r="C112" s="203" t="s">
        <v>61</v>
      </c>
      <c r="D112" s="150">
        <f t="shared" ref="D112:Q112" si="18">SUM(D96:D111)</f>
        <v>700.12599999999929</v>
      </c>
      <c r="E112" s="150">
        <f t="shared" si="18"/>
        <v>57.329999999999984</v>
      </c>
      <c r="F112" s="150">
        <f t="shared" si="18"/>
        <v>0.850000000000108</v>
      </c>
      <c r="G112" s="150">
        <f t="shared" si="18"/>
        <v>0</v>
      </c>
      <c r="H112" s="150">
        <f t="shared" si="18"/>
        <v>0</v>
      </c>
      <c r="I112" s="150">
        <f t="shared" si="18"/>
        <v>0</v>
      </c>
      <c r="J112" s="150">
        <f t="shared" si="18"/>
        <v>0</v>
      </c>
      <c r="K112" s="150">
        <f t="shared" si="18"/>
        <v>0</v>
      </c>
      <c r="L112" s="150">
        <f t="shared" si="18"/>
        <v>0</v>
      </c>
      <c r="M112" s="150">
        <f t="shared" si="18"/>
        <v>0</v>
      </c>
      <c r="N112" s="150">
        <f t="shared" si="18"/>
        <v>0</v>
      </c>
      <c r="O112" s="150">
        <f t="shared" si="18"/>
        <v>0</v>
      </c>
      <c r="P112" s="150">
        <f t="shared" si="18"/>
        <v>0</v>
      </c>
      <c r="Q112" s="150">
        <f t="shared" si="18"/>
        <v>0</v>
      </c>
      <c r="R112" s="150">
        <f t="shared" si="15"/>
        <v>758.30599999999936</v>
      </c>
      <c r="S112" s="150"/>
      <c r="T112" s="150">
        <f>SUM(T96:T111)</f>
        <v>0</v>
      </c>
      <c r="U112" s="150">
        <f>SUM(U96:U111)</f>
        <v>0</v>
      </c>
      <c r="V112" s="156">
        <f>SUM(V96:V111)</f>
        <v>0</v>
      </c>
      <c r="W112" s="150">
        <f>SUM(W96:W111)</f>
        <v>0</v>
      </c>
      <c r="X112" s="387">
        <f t="shared" si="16"/>
        <v>0</v>
      </c>
      <c r="Y112" s="294">
        <f t="shared" si="17"/>
        <v>758.30599999999936</v>
      </c>
    </row>
    <row r="113" spans="1:25" ht="9.9499999999999993" hidden="1" customHeight="1" x14ac:dyDescent="0.2">
      <c r="A113" s="78"/>
      <c r="B113" s="117"/>
      <c r="C113" s="41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>
        <f t="shared" si="15"/>
        <v>0</v>
      </c>
      <c r="S113" s="70"/>
      <c r="T113" s="70"/>
      <c r="U113" s="70"/>
      <c r="V113" s="71"/>
      <c r="W113" s="70"/>
      <c r="X113" s="200">
        <f t="shared" si="16"/>
        <v>0</v>
      </c>
      <c r="Y113" s="258">
        <f t="shared" si="17"/>
        <v>0</v>
      </c>
    </row>
    <row r="114" spans="1:25" ht="24" hidden="1" customHeight="1" x14ac:dyDescent="0.2">
      <c r="A114" s="78"/>
      <c r="B114" s="31"/>
      <c r="C114" s="41" t="s">
        <v>50</v>
      </c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>
        <f t="shared" si="15"/>
        <v>0</v>
      </c>
      <c r="S114" s="70"/>
      <c r="T114" s="70"/>
      <c r="U114" s="70"/>
      <c r="V114" s="71"/>
      <c r="W114" s="70"/>
      <c r="X114" s="200">
        <f t="shared" si="16"/>
        <v>0</v>
      </c>
      <c r="Y114" s="258">
        <f t="shared" si="17"/>
        <v>0</v>
      </c>
    </row>
    <row r="115" spans="1:25" ht="17.25" hidden="1" thickBot="1" x14ac:dyDescent="0.25">
      <c r="A115" s="78"/>
      <c r="B115" s="98"/>
      <c r="C115" s="99"/>
      <c r="D115" s="100"/>
      <c r="E115" s="100"/>
      <c r="F115" s="7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>
        <f t="shared" si="15"/>
        <v>0</v>
      </c>
      <c r="S115" s="100"/>
      <c r="T115" s="100"/>
      <c r="U115" s="100"/>
      <c r="V115" s="101"/>
      <c r="W115" s="100"/>
      <c r="X115" s="455">
        <f t="shared" si="16"/>
        <v>0</v>
      </c>
      <c r="Y115" s="259">
        <f t="shared" si="17"/>
        <v>0</v>
      </c>
    </row>
    <row r="116" spans="1:25" ht="30" hidden="1" customHeight="1" thickTop="1" thickBot="1" x14ac:dyDescent="0.25">
      <c r="A116" s="42"/>
      <c r="B116" s="615" t="s">
        <v>448</v>
      </c>
      <c r="C116" s="44" t="s">
        <v>64</v>
      </c>
      <c r="D116" s="82">
        <f t="shared" ref="D116:Q116" si="19">D94+D112</f>
        <v>3103.6269999999995</v>
      </c>
      <c r="E116" s="82">
        <f t="shared" si="19"/>
        <v>354.18199999999996</v>
      </c>
      <c r="F116" s="82">
        <f t="shared" si="19"/>
        <v>50577.85</v>
      </c>
      <c r="G116" s="82">
        <f t="shared" si="19"/>
        <v>0</v>
      </c>
      <c r="H116" s="82">
        <f t="shared" si="19"/>
        <v>0</v>
      </c>
      <c r="I116" s="82">
        <f t="shared" si="19"/>
        <v>0</v>
      </c>
      <c r="J116" s="82">
        <f t="shared" si="19"/>
        <v>0</v>
      </c>
      <c r="K116" s="82">
        <f t="shared" si="19"/>
        <v>0</v>
      </c>
      <c r="L116" s="82">
        <f t="shared" si="19"/>
        <v>22095</v>
      </c>
      <c r="M116" s="82">
        <f t="shared" si="19"/>
        <v>0</v>
      </c>
      <c r="N116" s="82">
        <f t="shared" si="19"/>
        <v>0</v>
      </c>
      <c r="O116" s="82">
        <f t="shared" si="19"/>
        <v>0</v>
      </c>
      <c r="P116" s="82">
        <f t="shared" si="19"/>
        <v>0</v>
      </c>
      <c r="Q116" s="82">
        <f t="shared" si="19"/>
        <v>0</v>
      </c>
      <c r="R116" s="82">
        <f t="shared" si="15"/>
        <v>76130.659</v>
      </c>
      <c r="S116" s="82"/>
      <c r="T116" s="82">
        <f>T94+T112</f>
        <v>0</v>
      </c>
      <c r="U116" s="82">
        <f>U94+U112</f>
        <v>0</v>
      </c>
      <c r="V116" s="83">
        <f>V94+V112</f>
        <v>0</v>
      </c>
      <c r="W116" s="456">
        <f>W94+W112</f>
        <v>0</v>
      </c>
      <c r="X116" s="457">
        <f t="shared" si="16"/>
        <v>0</v>
      </c>
      <c r="Y116" s="260">
        <f t="shared" si="17"/>
        <v>76130.659</v>
      </c>
    </row>
    <row r="117" spans="1:25" ht="30" hidden="1" customHeight="1" thickTop="1" thickBot="1" x14ac:dyDescent="0.25">
      <c r="A117" s="42"/>
      <c r="B117" s="103" t="s">
        <v>142</v>
      </c>
      <c r="C117" s="44" t="s">
        <v>118</v>
      </c>
      <c r="D117" s="249">
        <f t="shared" ref="D117:Q117" si="20">D74+D116</f>
        <v>2298596.8879999998</v>
      </c>
      <c r="E117" s="249">
        <f t="shared" si="20"/>
        <v>531177.27600000007</v>
      </c>
      <c r="F117" s="249">
        <f t="shared" si="20"/>
        <v>749769.53899999999</v>
      </c>
      <c r="G117" s="249">
        <f t="shared" si="20"/>
        <v>185</v>
      </c>
      <c r="H117" s="249">
        <f t="shared" si="20"/>
        <v>0</v>
      </c>
      <c r="I117" s="249">
        <f t="shared" si="20"/>
        <v>129.88300000000001</v>
      </c>
      <c r="J117" s="249">
        <f t="shared" si="20"/>
        <v>277.09300000000002</v>
      </c>
      <c r="K117" s="249">
        <f t="shared" si="20"/>
        <v>0</v>
      </c>
      <c r="L117" s="249">
        <f t="shared" si="20"/>
        <v>287323</v>
      </c>
      <c r="M117" s="249">
        <f t="shared" si="20"/>
        <v>7400</v>
      </c>
      <c r="N117" s="249">
        <f t="shared" si="20"/>
        <v>0</v>
      </c>
      <c r="O117" s="249">
        <f t="shared" si="20"/>
        <v>6000</v>
      </c>
      <c r="P117" s="249">
        <f t="shared" si="20"/>
        <v>0</v>
      </c>
      <c r="Q117" s="249">
        <f t="shared" si="20"/>
        <v>0</v>
      </c>
      <c r="R117" s="249">
        <f>SUM(D117:Q117)</f>
        <v>3880858.6789999995</v>
      </c>
      <c r="S117" s="249"/>
      <c r="T117" s="249">
        <f>T74+T116</f>
        <v>0</v>
      </c>
      <c r="U117" s="249">
        <f>U74+U116</f>
        <v>0</v>
      </c>
      <c r="V117" s="249">
        <f>V74+V116</f>
        <v>0</v>
      </c>
      <c r="W117" s="285">
        <f>W74+W116</f>
        <v>0</v>
      </c>
      <c r="X117" s="381">
        <f t="shared" si="16"/>
        <v>0</v>
      </c>
      <c r="Y117" s="225">
        <f>R117+X117</f>
        <v>3880858.6789999995</v>
      </c>
    </row>
    <row r="118" spans="1:25" ht="29.25" hidden="1" customHeight="1" thickTop="1" x14ac:dyDescent="0.25">
      <c r="A118" s="126"/>
      <c r="B118" s="176" t="s">
        <v>144</v>
      </c>
      <c r="C118" s="127" t="s">
        <v>18</v>
      </c>
      <c r="D118" s="213">
        <f t="shared" ref="D118:W118" si="21">D117</f>
        <v>2298596.8879999998</v>
      </c>
      <c r="E118" s="213">
        <f t="shared" si="21"/>
        <v>531177.27600000007</v>
      </c>
      <c r="F118" s="213">
        <f t="shared" si="21"/>
        <v>749769.53899999999</v>
      </c>
      <c r="G118" s="213">
        <f t="shared" si="21"/>
        <v>185</v>
      </c>
      <c r="H118" s="213">
        <f t="shared" si="21"/>
        <v>0</v>
      </c>
      <c r="I118" s="213">
        <f t="shared" si="21"/>
        <v>129.88300000000001</v>
      </c>
      <c r="J118" s="213">
        <f t="shared" si="21"/>
        <v>277.09300000000002</v>
      </c>
      <c r="K118" s="213">
        <f t="shared" si="21"/>
        <v>0</v>
      </c>
      <c r="L118" s="213">
        <f t="shared" si="21"/>
        <v>287323</v>
      </c>
      <c r="M118" s="213">
        <f t="shared" si="21"/>
        <v>7400</v>
      </c>
      <c r="N118" s="213">
        <f t="shared" si="21"/>
        <v>0</v>
      </c>
      <c r="O118" s="213">
        <f t="shared" si="21"/>
        <v>6000</v>
      </c>
      <c r="P118" s="213">
        <f t="shared" si="21"/>
        <v>0</v>
      </c>
      <c r="Q118" s="213">
        <f t="shared" si="21"/>
        <v>0</v>
      </c>
      <c r="R118" s="213">
        <f t="shared" si="15"/>
        <v>3880858.6789999995</v>
      </c>
      <c r="S118" s="213"/>
      <c r="T118" s="213">
        <f>T117</f>
        <v>0</v>
      </c>
      <c r="U118" s="213">
        <f>U117</f>
        <v>0</v>
      </c>
      <c r="V118" s="256">
        <f t="shared" si="21"/>
        <v>0</v>
      </c>
      <c r="W118" s="213">
        <f t="shared" si="21"/>
        <v>0</v>
      </c>
      <c r="X118" s="256">
        <f t="shared" si="16"/>
        <v>0</v>
      </c>
      <c r="Y118" s="257">
        <f t="shared" si="17"/>
        <v>3880858.6789999995</v>
      </c>
    </row>
    <row r="119" spans="1:25" ht="29.25" hidden="1" customHeight="1" x14ac:dyDescent="0.25">
      <c r="A119" s="18"/>
      <c r="B119" s="460"/>
      <c r="C119" s="512"/>
      <c r="D119" s="507"/>
      <c r="E119" s="507"/>
      <c r="F119" s="507"/>
      <c r="G119" s="507"/>
      <c r="H119" s="507"/>
      <c r="I119" s="507"/>
      <c r="J119" s="507"/>
      <c r="K119" s="507"/>
      <c r="L119" s="507"/>
      <c r="M119" s="507"/>
      <c r="N119" s="507"/>
      <c r="O119" s="507"/>
      <c r="P119" s="507"/>
      <c r="Q119" s="507"/>
      <c r="R119" s="507"/>
      <c r="S119" s="507"/>
      <c r="T119" s="507"/>
      <c r="U119" s="507"/>
      <c r="V119" s="509"/>
      <c r="W119" s="507"/>
      <c r="X119" s="509"/>
      <c r="Y119" s="299"/>
    </row>
    <row r="120" spans="1:25" ht="33.75" hidden="1" customHeight="1" x14ac:dyDescent="0.2">
      <c r="A120" s="78">
        <v>1</v>
      </c>
      <c r="B120" s="472"/>
      <c r="C120" s="41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>
        <f t="shared" si="15"/>
        <v>0</v>
      </c>
      <c r="S120" s="150"/>
      <c r="T120" s="150"/>
      <c r="U120" s="150"/>
      <c r="V120" s="156"/>
      <c r="W120" s="150"/>
      <c r="X120" s="156">
        <f t="shared" si="16"/>
        <v>0</v>
      </c>
      <c r="Y120" s="261">
        <f t="shared" si="17"/>
        <v>0</v>
      </c>
    </row>
    <row r="121" spans="1:25" ht="33.75" hidden="1" customHeight="1" x14ac:dyDescent="0.2">
      <c r="A121" s="217">
        <v>2</v>
      </c>
      <c r="B121" s="472"/>
      <c r="C121" s="41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>
        <f t="shared" si="15"/>
        <v>0</v>
      </c>
      <c r="S121" s="150"/>
      <c r="T121" s="150"/>
      <c r="U121" s="150"/>
      <c r="V121" s="156"/>
      <c r="W121" s="150"/>
      <c r="X121" s="156">
        <f t="shared" si="16"/>
        <v>0</v>
      </c>
      <c r="Y121" s="261">
        <f t="shared" si="17"/>
        <v>0</v>
      </c>
    </row>
    <row r="122" spans="1:25" ht="33.75" hidden="1" customHeight="1" x14ac:dyDescent="0.2">
      <c r="A122" s="78">
        <v>3</v>
      </c>
      <c r="B122" s="473"/>
      <c r="C122" s="41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>
        <f t="shared" si="15"/>
        <v>0</v>
      </c>
      <c r="S122" s="150"/>
      <c r="T122" s="150"/>
      <c r="U122" s="150"/>
      <c r="V122" s="156"/>
      <c r="W122" s="150"/>
      <c r="X122" s="156">
        <f t="shared" si="16"/>
        <v>0</v>
      </c>
      <c r="Y122" s="261">
        <f t="shared" si="17"/>
        <v>0</v>
      </c>
    </row>
    <row r="123" spans="1:25" ht="33.75" hidden="1" customHeight="1" x14ac:dyDescent="0.2">
      <c r="A123" s="217">
        <v>4</v>
      </c>
      <c r="B123" s="473"/>
      <c r="C123" s="41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>
        <f t="shared" si="15"/>
        <v>0</v>
      </c>
      <c r="S123" s="150"/>
      <c r="T123" s="150"/>
      <c r="U123" s="150"/>
      <c r="V123" s="156"/>
      <c r="W123" s="150"/>
      <c r="X123" s="156">
        <f t="shared" si="16"/>
        <v>0</v>
      </c>
      <c r="Y123" s="261">
        <f t="shared" si="17"/>
        <v>0</v>
      </c>
    </row>
    <row r="124" spans="1:25" ht="33.75" hidden="1" customHeight="1" x14ac:dyDescent="0.2">
      <c r="A124" s="78">
        <v>5</v>
      </c>
      <c r="B124" s="473"/>
      <c r="C124" s="41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>
        <f t="shared" si="15"/>
        <v>0</v>
      </c>
      <c r="S124" s="150"/>
      <c r="T124" s="150"/>
      <c r="U124" s="150"/>
      <c r="V124" s="156"/>
      <c r="W124" s="150"/>
      <c r="X124" s="156">
        <f t="shared" si="16"/>
        <v>0</v>
      </c>
      <c r="Y124" s="261">
        <f t="shared" si="17"/>
        <v>0</v>
      </c>
    </row>
    <row r="125" spans="1:25" ht="30.75" hidden="1" customHeight="1" x14ac:dyDescent="0.2">
      <c r="A125" s="78"/>
      <c r="B125" s="473"/>
      <c r="C125" s="41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6"/>
      <c r="W125" s="150"/>
      <c r="X125" s="156"/>
      <c r="Y125" s="261"/>
    </row>
    <row r="126" spans="1:25" ht="30.75" hidden="1" customHeight="1" x14ac:dyDescent="0.2">
      <c r="A126" s="78"/>
      <c r="B126" s="473"/>
      <c r="C126" s="41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6"/>
      <c r="W126" s="150"/>
      <c r="X126" s="156"/>
      <c r="Y126" s="261"/>
    </row>
    <row r="127" spans="1:25" ht="30.75" hidden="1" customHeight="1" x14ac:dyDescent="0.2">
      <c r="A127" s="78"/>
      <c r="B127" s="473"/>
      <c r="C127" s="41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6"/>
      <c r="W127" s="150"/>
      <c r="X127" s="156"/>
      <c r="Y127" s="261"/>
    </row>
    <row r="128" spans="1:25" ht="24" hidden="1" customHeight="1" x14ac:dyDescent="0.2">
      <c r="A128" s="78"/>
      <c r="B128" s="31"/>
      <c r="C128" s="41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6"/>
      <c r="W128" s="150"/>
      <c r="X128" s="156"/>
      <c r="Y128" s="261"/>
    </row>
    <row r="129" spans="1:25" ht="24" hidden="1" customHeight="1" x14ac:dyDescent="0.2">
      <c r="A129" s="202" t="s">
        <v>62</v>
      </c>
      <c r="B129" s="198"/>
      <c r="C129" s="203" t="s">
        <v>60</v>
      </c>
      <c r="D129" s="296">
        <f t="shared" ref="D129:W129" si="22">SUM(D120:D128)</f>
        <v>0</v>
      </c>
      <c r="E129" s="296">
        <f t="shared" si="22"/>
        <v>0</v>
      </c>
      <c r="F129" s="296">
        <f t="shared" si="22"/>
        <v>0</v>
      </c>
      <c r="G129" s="296">
        <f t="shared" si="22"/>
        <v>0</v>
      </c>
      <c r="H129" s="296">
        <f t="shared" si="22"/>
        <v>0</v>
      </c>
      <c r="I129" s="296">
        <f t="shared" si="22"/>
        <v>0</v>
      </c>
      <c r="J129" s="296">
        <f t="shared" si="22"/>
        <v>0</v>
      </c>
      <c r="K129" s="296">
        <f t="shared" si="22"/>
        <v>0</v>
      </c>
      <c r="L129" s="296">
        <f t="shared" si="22"/>
        <v>0</v>
      </c>
      <c r="M129" s="296">
        <f t="shared" si="22"/>
        <v>0</v>
      </c>
      <c r="N129" s="296">
        <f t="shared" si="22"/>
        <v>0</v>
      </c>
      <c r="O129" s="296">
        <f t="shared" si="22"/>
        <v>0</v>
      </c>
      <c r="P129" s="296">
        <f t="shared" si="22"/>
        <v>0</v>
      </c>
      <c r="Q129" s="296">
        <f t="shared" si="22"/>
        <v>0</v>
      </c>
      <c r="R129" s="296">
        <f t="shared" si="15"/>
        <v>0</v>
      </c>
      <c r="S129" s="296"/>
      <c r="T129" s="296">
        <f t="shared" si="22"/>
        <v>0</v>
      </c>
      <c r="U129" s="296">
        <f t="shared" si="22"/>
        <v>0</v>
      </c>
      <c r="V129" s="463">
        <f t="shared" si="22"/>
        <v>0</v>
      </c>
      <c r="W129" s="296">
        <f t="shared" si="22"/>
        <v>0</v>
      </c>
      <c r="X129" s="296">
        <f t="shared" si="16"/>
        <v>0</v>
      </c>
      <c r="Y129" s="296">
        <f t="shared" si="17"/>
        <v>0</v>
      </c>
    </row>
    <row r="130" spans="1:25" ht="30.75" hidden="1" customHeight="1" x14ac:dyDescent="0.2">
      <c r="A130" s="78"/>
      <c r="B130" s="32"/>
      <c r="C130" s="41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6"/>
      <c r="W130" s="150"/>
      <c r="X130" s="156"/>
      <c r="Y130" s="261"/>
    </row>
    <row r="131" spans="1:25" ht="33.75" hidden="1" customHeight="1" x14ac:dyDescent="0.2">
      <c r="A131" s="78" t="s">
        <v>83</v>
      </c>
      <c r="B131" s="221"/>
      <c r="C131" s="41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>
        <f t="shared" si="15"/>
        <v>0</v>
      </c>
      <c r="S131" s="150"/>
      <c r="T131" s="150"/>
      <c r="U131" s="150"/>
      <c r="V131" s="156"/>
      <c r="W131" s="150"/>
      <c r="X131" s="156">
        <f t="shared" si="16"/>
        <v>0</v>
      </c>
      <c r="Y131" s="261">
        <f t="shared" si="17"/>
        <v>0</v>
      </c>
    </row>
    <row r="132" spans="1:25" ht="33.75" hidden="1" customHeight="1" x14ac:dyDescent="0.2">
      <c r="A132" s="78" t="s">
        <v>83</v>
      </c>
      <c r="B132" s="221"/>
      <c r="C132" s="41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>
        <f t="shared" si="15"/>
        <v>0</v>
      </c>
      <c r="S132" s="150"/>
      <c r="T132" s="150"/>
      <c r="U132" s="150"/>
      <c r="V132" s="156"/>
      <c r="W132" s="150"/>
      <c r="X132" s="156">
        <f t="shared" si="16"/>
        <v>0</v>
      </c>
      <c r="Y132" s="261">
        <f t="shared" si="17"/>
        <v>0</v>
      </c>
    </row>
    <row r="133" spans="1:25" ht="33.75" hidden="1" customHeight="1" x14ac:dyDescent="0.2">
      <c r="A133" s="78" t="s">
        <v>83</v>
      </c>
      <c r="B133" s="221"/>
      <c r="C133" s="41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>
        <f t="shared" si="15"/>
        <v>0</v>
      </c>
      <c r="S133" s="150"/>
      <c r="T133" s="150"/>
      <c r="U133" s="150"/>
      <c r="V133" s="156"/>
      <c r="W133" s="150"/>
      <c r="X133" s="156">
        <f t="shared" ref="X133:X139" si="23">SUM(T133:W133)</f>
        <v>0</v>
      </c>
      <c r="Y133" s="261">
        <f t="shared" ref="Y133:Y139" si="24">R133+X133</f>
        <v>0</v>
      </c>
    </row>
    <row r="134" spans="1:25" ht="33.75" hidden="1" customHeight="1" x14ac:dyDescent="0.2">
      <c r="A134" s="78" t="s">
        <v>83</v>
      </c>
      <c r="B134" s="221"/>
      <c r="C134" s="41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>
        <f t="shared" si="15"/>
        <v>0</v>
      </c>
      <c r="S134" s="150"/>
      <c r="T134" s="150"/>
      <c r="U134" s="150"/>
      <c r="V134" s="156"/>
      <c r="W134" s="150"/>
      <c r="X134" s="156">
        <f t="shared" si="23"/>
        <v>0</v>
      </c>
      <c r="Y134" s="261">
        <f t="shared" si="24"/>
        <v>0</v>
      </c>
    </row>
    <row r="135" spans="1:25" ht="33.75" hidden="1" customHeight="1" x14ac:dyDescent="0.2">
      <c r="A135" s="78" t="s">
        <v>83</v>
      </c>
      <c r="B135" s="221"/>
      <c r="C135" s="41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>
        <f t="shared" si="15"/>
        <v>0</v>
      </c>
      <c r="S135" s="150"/>
      <c r="T135" s="150"/>
      <c r="U135" s="150"/>
      <c r="V135" s="156"/>
      <c r="W135" s="150"/>
      <c r="X135" s="156">
        <f t="shared" si="23"/>
        <v>0</v>
      </c>
      <c r="Y135" s="261">
        <f t="shared" si="24"/>
        <v>0</v>
      </c>
    </row>
    <row r="136" spans="1:25" ht="33.75" hidden="1" customHeight="1" x14ac:dyDescent="0.2">
      <c r="A136" s="78" t="s">
        <v>83</v>
      </c>
      <c r="B136" s="221"/>
      <c r="C136" s="41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>
        <f t="shared" si="15"/>
        <v>0</v>
      </c>
      <c r="S136" s="150"/>
      <c r="T136" s="150"/>
      <c r="U136" s="150"/>
      <c r="V136" s="156"/>
      <c r="W136" s="150"/>
      <c r="X136" s="156">
        <f t="shared" si="23"/>
        <v>0</v>
      </c>
      <c r="Y136" s="261">
        <f t="shared" si="24"/>
        <v>0</v>
      </c>
    </row>
    <row r="137" spans="1:25" ht="33.75" hidden="1" customHeight="1" x14ac:dyDescent="0.2">
      <c r="A137" s="78" t="s">
        <v>83</v>
      </c>
      <c r="B137" s="221"/>
      <c r="C137" s="41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>
        <f t="shared" si="15"/>
        <v>0</v>
      </c>
      <c r="S137" s="150"/>
      <c r="T137" s="150"/>
      <c r="U137" s="150"/>
      <c r="V137" s="156"/>
      <c r="W137" s="150"/>
      <c r="X137" s="156">
        <f t="shared" si="23"/>
        <v>0</v>
      </c>
      <c r="Y137" s="261">
        <f t="shared" si="24"/>
        <v>0</v>
      </c>
    </row>
    <row r="138" spans="1:25" ht="33.75" hidden="1" customHeight="1" x14ac:dyDescent="0.2">
      <c r="A138" s="78" t="s">
        <v>83</v>
      </c>
      <c r="B138" s="221"/>
      <c r="C138" s="41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>
        <f t="shared" si="15"/>
        <v>0</v>
      </c>
      <c r="S138" s="150"/>
      <c r="T138" s="150"/>
      <c r="U138" s="150"/>
      <c r="V138" s="156"/>
      <c r="W138" s="150"/>
      <c r="X138" s="156">
        <f t="shared" si="23"/>
        <v>0</v>
      </c>
      <c r="Y138" s="261">
        <f t="shared" si="24"/>
        <v>0</v>
      </c>
    </row>
    <row r="139" spans="1:25" ht="33.75" hidden="1" customHeight="1" x14ac:dyDescent="0.2">
      <c r="A139" s="78" t="s">
        <v>83</v>
      </c>
      <c r="B139" s="221"/>
      <c r="C139" s="41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>
        <f t="shared" si="15"/>
        <v>0</v>
      </c>
      <c r="S139" s="150"/>
      <c r="T139" s="150"/>
      <c r="U139" s="150"/>
      <c r="V139" s="156"/>
      <c r="W139" s="150"/>
      <c r="X139" s="156">
        <f t="shared" si="23"/>
        <v>0</v>
      </c>
      <c r="Y139" s="261">
        <f t="shared" si="24"/>
        <v>0</v>
      </c>
    </row>
    <row r="140" spans="1:25" ht="33.75" hidden="1" customHeight="1" x14ac:dyDescent="0.2">
      <c r="A140" s="78"/>
      <c r="B140" s="221"/>
      <c r="C140" s="41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6"/>
      <c r="W140" s="150"/>
      <c r="X140" s="156"/>
      <c r="Y140" s="261"/>
    </row>
    <row r="141" spans="1:25" ht="24" hidden="1" customHeight="1" x14ac:dyDescent="0.2">
      <c r="A141" s="78"/>
      <c r="B141" s="31"/>
      <c r="C141" s="41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6"/>
      <c r="W141" s="150"/>
      <c r="X141" s="156"/>
      <c r="Y141" s="293"/>
    </row>
    <row r="142" spans="1:25" ht="24" hidden="1" customHeight="1" x14ac:dyDescent="0.2">
      <c r="A142" s="202" t="s">
        <v>63</v>
      </c>
      <c r="B142" s="198"/>
      <c r="C142" s="203" t="s">
        <v>61</v>
      </c>
      <c r="D142" s="150">
        <f t="shared" ref="D142:Q142" si="25">SUM(D130:D141)</f>
        <v>0</v>
      </c>
      <c r="E142" s="150">
        <f t="shared" si="25"/>
        <v>0</v>
      </c>
      <c r="F142" s="150">
        <f t="shared" si="25"/>
        <v>0</v>
      </c>
      <c r="G142" s="150">
        <f t="shared" si="25"/>
        <v>0</v>
      </c>
      <c r="H142" s="150">
        <f t="shared" si="25"/>
        <v>0</v>
      </c>
      <c r="I142" s="150">
        <f t="shared" si="25"/>
        <v>0</v>
      </c>
      <c r="J142" s="150">
        <f t="shared" si="25"/>
        <v>0</v>
      </c>
      <c r="K142" s="150">
        <f t="shared" si="25"/>
        <v>0</v>
      </c>
      <c r="L142" s="150">
        <f t="shared" si="25"/>
        <v>0</v>
      </c>
      <c r="M142" s="150">
        <f t="shared" si="25"/>
        <v>0</v>
      </c>
      <c r="N142" s="150">
        <f t="shared" si="25"/>
        <v>0</v>
      </c>
      <c r="O142" s="150">
        <f t="shared" si="25"/>
        <v>0</v>
      </c>
      <c r="P142" s="150">
        <f t="shared" si="25"/>
        <v>0</v>
      </c>
      <c r="Q142" s="150">
        <f t="shared" si="25"/>
        <v>0</v>
      </c>
      <c r="R142" s="150">
        <f t="shared" si="15"/>
        <v>0</v>
      </c>
      <c r="S142" s="150"/>
      <c r="T142" s="150">
        <f>SUM(T130:T141)</f>
        <v>0</v>
      </c>
      <c r="U142" s="150">
        <f>SUM(U130:U141)</f>
        <v>0</v>
      </c>
      <c r="V142" s="156">
        <f>SUM(V130:V141)</f>
        <v>0</v>
      </c>
      <c r="W142" s="150">
        <f>SUM(W130:W141)</f>
        <v>0</v>
      </c>
      <c r="X142" s="156">
        <f t="shared" si="16"/>
        <v>0</v>
      </c>
      <c r="Y142" s="294">
        <f t="shared" si="17"/>
        <v>0</v>
      </c>
    </row>
    <row r="143" spans="1:25" ht="24" hidden="1" customHeight="1" thickBot="1" x14ac:dyDescent="0.25">
      <c r="A143" s="78"/>
      <c r="B143" s="31"/>
      <c r="C143" s="41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6"/>
      <c r="W143" s="150"/>
      <c r="X143" s="156"/>
      <c r="Y143" s="293"/>
    </row>
    <row r="144" spans="1:25" ht="30" hidden="1" customHeight="1" thickTop="1" thickBot="1" x14ac:dyDescent="0.25">
      <c r="A144" s="42"/>
      <c r="B144" s="291" t="s">
        <v>144</v>
      </c>
      <c r="C144" s="44" t="s">
        <v>64</v>
      </c>
      <c r="D144" s="465">
        <f t="shared" ref="D144:Q144" si="26">D129+D142</f>
        <v>0</v>
      </c>
      <c r="E144" s="465">
        <f t="shared" si="26"/>
        <v>0</v>
      </c>
      <c r="F144" s="465">
        <f t="shared" si="26"/>
        <v>0</v>
      </c>
      <c r="G144" s="465">
        <f t="shared" si="26"/>
        <v>0</v>
      </c>
      <c r="H144" s="465">
        <f t="shared" si="26"/>
        <v>0</v>
      </c>
      <c r="I144" s="465">
        <f t="shared" si="26"/>
        <v>0</v>
      </c>
      <c r="J144" s="465">
        <f t="shared" si="26"/>
        <v>0</v>
      </c>
      <c r="K144" s="465">
        <f t="shared" si="26"/>
        <v>0</v>
      </c>
      <c r="L144" s="465">
        <f t="shared" si="26"/>
        <v>0</v>
      </c>
      <c r="M144" s="465">
        <f t="shared" si="26"/>
        <v>0</v>
      </c>
      <c r="N144" s="465">
        <f t="shared" si="26"/>
        <v>0</v>
      </c>
      <c r="O144" s="465">
        <f t="shared" si="26"/>
        <v>0</v>
      </c>
      <c r="P144" s="465">
        <f t="shared" si="26"/>
        <v>0</v>
      </c>
      <c r="Q144" s="465">
        <f t="shared" si="26"/>
        <v>0</v>
      </c>
      <c r="R144" s="465">
        <f t="shared" si="15"/>
        <v>0</v>
      </c>
      <c r="S144" s="465"/>
      <c r="T144" s="465">
        <f>T129+T142</f>
        <v>0</v>
      </c>
      <c r="U144" s="465">
        <f>U129+U142</f>
        <v>0</v>
      </c>
      <c r="V144" s="466">
        <f>V129+V142</f>
        <v>0</v>
      </c>
      <c r="W144" s="465">
        <f>W129+W142</f>
        <v>0</v>
      </c>
      <c r="X144" s="466">
        <f t="shared" si="16"/>
        <v>0</v>
      </c>
      <c r="Y144" s="467">
        <f t="shared" si="17"/>
        <v>0</v>
      </c>
    </row>
    <row r="145" spans="1:25" ht="30" hidden="1" customHeight="1" thickTop="1" thickBot="1" x14ac:dyDescent="0.25">
      <c r="A145" s="42"/>
      <c r="B145" s="458" t="s">
        <v>145</v>
      </c>
      <c r="C145" s="44" t="s">
        <v>118</v>
      </c>
      <c r="D145" s="468">
        <f t="shared" ref="D145:Q145" si="27">D118+D144</f>
        <v>2298596.8879999998</v>
      </c>
      <c r="E145" s="474">
        <f t="shared" si="27"/>
        <v>531177.27600000007</v>
      </c>
      <c r="F145" s="468">
        <f t="shared" si="27"/>
        <v>749769.53899999999</v>
      </c>
      <c r="G145" s="468">
        <f t="shared" si="27"/>
        <v>185</v>
      </c>
      <c r="H145" s="468">
        <f t="shared" si="27"/>
        <v>0</v>
      </c>
      <c r="I145" s="468">
        <f t="shared" si="27"/>
        <v>129.88300000000001</v>
      </c>
      <c r="J145" s="468">
        <f t="shared" si="27"/>
        <v>277.09300000000002</v>
      </c>
      <c r="K145" s="468">
        <f t="shared" si="27"/>
        <v>0</v>
      </c>
      <c r="L145" s="468">
        <f t="shared" si="27"/>
        <v>287323</v>
      </c>
      <c r="M145" s="468">
        <f t="shared" si="27"/>
        <v>7400</v>
      </c>
      <c r="N145" s="468">
        <f t="shared" si="27"/>
        <v>0</v>
      </c>
      <c r="O145" s="468">
        <f t="shared" si="27"/>
        <v>6000</v>
      </c>
      <c r="P145" s="468">
        <f t="shared" si="27"/>
        <v>0</v>
      </c>
      <c r="Q145" s="468">
        <f t="shared" si="27"/>
        <v>0</v>
      </c>
      <c r="R145" s="474">
        <f t="shared" si="15"/>
        <v>3880858.6789999995</v>
      </c>
      <c r="S145" s="468"/>
      <c r="T145" s="468">
        <f>T118+T144</f>
        <v>0</v>
      </c>
      <c r="U145" s="468">
        <f>U118+U144</f>
        <v>0</v>
      </c>
      <c r="V145" s="468">
        <f>V118+V144</f>
        <v>0</v>
      </c>
      <c r="W145" s="469">
        <f>W118+W144</f>
        <v>0</v>
      </c>
      <c r="X145" s="468">
        <f t="shared" si="16"/>
        <v>0</v>
      </c>
      <c r="Y145" s="481">
        <f t="shared" si="17"/>
        <v>3880858.6789999995</v>
      </c>
    </row>
    <row r="146" spans="1:25" ht="24" hidden="1" customHeight="1" thickTop="1" x14ac:dyDescent="0.25">
      <c r="A146" s="126"/>
      <c r="B146" s="494" t="s">
        <v>148</v>
      </c>
      <c r="C146" s="127" t="s">
        <v>18</v>
      </c>
      <c r="D146" s="213">
        <f t="shared" ref="D146:W146" si="28">D145</f>
        <v>2298596.8879999998</v>
      </c>
      <c r="E146" s="475">
        <f t="shared" si="28"/>
        <v>531177.27600000007</v>
      </c>
      <c r="F146" s="213">
        <f t="shared" si="28"/>
        <v>749769.53899999999</v>
      </c>
      <c r="G146" s="213">
        <f t="shared" si="28"/>
        <v>185</v>
      </c>
      <c r="H146" s="213">
        <f t="shared" si="28"/>
        <v>0</v>
      </c>
      <c r="I146" s="213">
        <f t="shared" si="28"/>
        <v>129.88300000000001</v>
      </c>
      <c r="J146" s="213">
        <f t="shared" si="28"/>
        <v>277.09300000000002</v>
      </c>
      <c r="K146" s="213">
        <f t="shared" si="28"/>
        <v>0</v>
      </c>
      <c r="L146" s="213">
        <f t="shared" si="28"/>
        <v>287323</v>
      </c>
      <c r="M146" s="213">
        <f t="shared" si="28"/>
        <v>7400</v>
      </c>
      <c r="N146" s="213">
        <f t="shared" si="28"/>
        <v>0</v>
      </c>
      <c r="O146" s="213">
        <f t="shared" si="28"/>
        <v>6000</v>
      </c>
      <c r="P146" s="213">
        <f t="shared" si="28"/>
        <v>0</v>
      </c>
      <c r="Q146" s="213">
        <f t="shared" si="28"/>
        <v>0</v>
      </c>
      <c r="R146" s="475">
        <f t="shared" si="15"/>
        <v>3880858.6789999995</v>
      </c>
      <c r="S146" s="213"/>
      <c r="T146" s="213">
        <f>T145</f>
        <v>0</v>
      </c>
      <c r="U146" s="213">
        <f>U145</f>
        <v>0</v>
      </c>
      <c r="V146" s="256">
        <f t="shared" si="28"/>
        <v>0</v>
      </c>
      <c r="W146" s="213">
        <f t="shared" si="28"/>
        <v>0</v>
      </c>
      <c r="X146" s="256">
        <f t="shared" si="16"/>
        <v>0</v>
      </c>
      <c r="Y146" s="482">
        <f t="shared" si="17"/>
        <v>3880858.6789999995</v>
      </c>
    </row>
    <row r="147" spans="1:25" ht="33.75" hidden="1" customHeight="1" x14ac:dyDescent="0.2">
      <c r="A147" s="217"/>
      <c r="B147" s="298"/>
      <c r="C147" s="28"/>
      <c r="D147" s="155"/>
      <c r="E147" s="155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5"/>
      <c r="S147" s="150"/>
      <c r="T147" s="150"/>
      <c r="U147" s="150"/>
      <c r="V147" s="156"/>
      <c r="W147" s="150"/>
      <c r="X147" s="156"/>
      <c r="Y147" s="483">
        <f t="shared" si="17"/>
        <v>0</v>
      </c>
    </row>
    <row r="148" spans="1:25" ht="33.75" hidden="1" customHeight="1" x14ac:dyDescent="0.2">
      <c r="A148" s="217">
        <v>1</v>
      </c>
      <c r="B148" s="298"/>
      <c r="C148" s="28"/>
      <c r="D148" s="155"/>
      <c r="E148" s="155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5">
        <f t="shared" si="15"/>
        <v>0</v>
      </c>
      <c r="S148" s="150"/>
      <c r="T148" s="150"/>
      <c r="U148" s="150"/>
      <c r="V148" s="156"/>
      <c r="W148" s="150"/>
      <c r="X148" s="156">
        <f t="shared" si="16"/>
        <v>0</v>
      </c>
      <c r="Y148" s="483">
        <f t="shared" si="17"/>
        <v>0</v>
      </c>
    </row>
    <row r="149" spans="1:25" ht="33.75" hidden="1" customHeight="1" x14ac:dyDescent="0.2">
      <c r="A149" s="78">
        <v>2</v>
      </c>
      <c r="B149" s="112"/>
      <c r="C149" s="28"/>
      <c r="D149" s="155"/>
      <c r="E149" s="155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5">
        <f t="shared" si="15"/>
        <v>0</v>
      </c>
      <c r="S149" s="150"/>
      <c r="T149" s="150"/>
      <c r="U149" s="150"/>
      <c r="V149" s="156"/>
      <c r="W149" s="150"/>
      <c r="X149" s="156">
        <f t="shared" si="16"/>
        <v>0</v>
      </c>
      <c r="Y149" s="483">
        <f t="shared" si="17"/>
        <v>0</v>
      </c>
    </row>
    <row r="150" spans="1:25" ht="24" hidden="1" customHeight="1" x14ac:dyDescent="0.2">
      <c r="A150" s="78">
        <v>3</v>
      </c>
      <c r="B150" s="222"/>
      <c r="C150" s="33"/>
      <c r="D150" s="150"/>
      <c r="E150" s="155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5">
        <f t="shared" si="15"/>
        <v>0</v>
      </c>
      <c r="S150" s="150"/>
      <c r="T150" s="150"/>
      <c r="U150" s="150"/>
      <c r="V150" s="156"/>
      <c r="W150" s="150"/>
      <c r="X150" s="156">
        <f t="shared" si="16"/>
        <v>0</v>
      </c>
      <c r="Y150" s="483">
        <f t="shared" si="17"/>
        <v>0</v>
      </c>
    </row>
    <row r="151" spans="1:25" ht="33.75" hidden="1" customHeight="1" x14ac:dyDescent="0.2">
      <c r="A151" s="78"/>
      <c r="B151" s="222"/>
      <c r="C151" s="33"/>
      <c r="D151" s="150"/>
      <c r="E151" s="155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5"/>
      <c r="S151" s="150"/>
      <c r="T151" s="150"/>
      <c r="U151" s="150"/>
      <c r="V151" s="156"/>
      <c r="W151" s="150"/>
      <c r="X151" s="156"/>
      <c r="Y151" s="483"/>
    </row>
    <row r="152" spans="1:25" ht="33.75" hidden="1" customHeight="1" x14ac:dyDescent="0.2">
      <c r="A152" s="78"/>
      <c r="B152" s="30"/>
      <c r="C152" s="28"/>
      <c r="D152" s="150"/>
      <c r="E152" s="155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5"/>
      <c r="S152" s="150"/>
      <c r="T152" s="150"/>
      <c r="U152" s="150"/>
      <c r="V152" s="156"/>
      <c r="W152" s="150"/>
      <c r="X152" s="156"/>
      <c r="Y152" s="483">
        <f t="shared" si="17"/>
        <v>0</v>
      </c>
    </row>
    <row r="153" spans="1:25" ht="9.9499999999999993" hidden="1" customHeight="1" x14ac:dyDescent="0.2">
      <c r="A153" s="78"/>
      <c r="B153" s="30"/>
      <c r="C153" s="28"/>
      <c r="D153" s="150"/>
      <c r="E153" s="155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5"/>
      <c r="S153" s="150"/>
      <c r="T153" s="150"/>
      <c r="U153" s="150"/>
      <c r="V153" s="156"/>
      <c r="W153" s="150"/>
      <c r="X153" s="156"/>
      <c r="Y153" s="483"/>
    </row>
    <row r="154" spans="1:25" ht="20.100000000000001" hidden="1" customHeight="1" x14ac:dyDescent="0.2">
      <c r="A154" s="202" t="s">
        <v>62</v>
      </c>
      <c r="B154" s="198"/>
      <c r="C154" s="203" t="s">
        <v>60</v>
      </c>
      <c r="D154" s="150">
        <f t="shared" ref="D154:W154" si="29">SUM(D147:D153)</f>
        <v>0</v>
      </c>
      <c r="E154" s="155">
        <f t="shared" si="29"/>
        <v>0</v>
      </c>
      <c r="F154" s="150">
        <f t="shared" si="29"/>
        <v>0</v>
      </c>
      <c r="G154" s="150">
        <f t="shared" si="29"/>
        <v>0</v>
      </c>
      <c r="H154" s="150">
        <f t="shared" si="29"/>
        <v>0</v>
      </c>
      <c r="I154" s="150">
        <f t="shared" si="29"/>
        <v>0</v>
      </c>
      <c r="J154" s="150">
        <f t="shared" si="29"/>
        <v>0</v>
      </c>
      <c r="K154" s="150">
        <f t="shared" si="29"/>
        <v>0</v>
      </c>
      <c r="L154" s="150">
        <f t="shared" si="29"/>
        <v>0</v>
      </c>
      <c r="M154" s="150">
        <f t="shared" si="29"/>
        <v>0</v>
      </c>
      <c r="N154" s="150">
        <f t="shared" si="29"/>
        <v>0</v>
      </c>
      <c r="O154" s="150">
        <f t="shared" si="29"/>
        <v>0</v>
      </c>
      <c r="P154" s="150">
        <f t="shared" si="29"/>
        <v>0</v>
      </c>
      <c r="Q154" s="150">
        <f t="shared" si="29"/>
        <v>0</v>
      </c>
      <c r="R154" s="155">
        <f t="shared" si="15"/>
        <v>0</v>
      </c>
      <c r="S154" s="150"/>
      <c r="T154" s="150">
        <f t="shared" si="29"/>
        <v>0</v>
      </c>
      <c r="U154" s="150">
        <f t="shared" si="29"/>
        <v>0</v>
      </c>
      <c r="V154" s="156">
        <f t="shared" si="29"/>
        <v>0</v>
      </c>
      <c r="W154" s="150">
        <f t="shared" si="29"/>
        <v>0</v>
      </c>
      <c r="X154" s="156">
        <f t="shared" si="16"/>
        <v>0</v>
      </c>
      <c r="Y154" s="483">
        <f t="shared" si="17"/>
        <v>0</v>
      </c>
    </row>
    <row r="155" spans="1:25" ht="33.75" hidden="1" customHeight="1" x14ac:dyDescent="0.2">
      <c r="A155" s="217"/>
      <c r="B155" s="219"/>
      <c r="C155" s="41"/>
      <c r="D155" s="150"/>
      <c r="E155" s="155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5"/>
      <c r="S155" s="150"/>
      <c r="T155" s="150"/>
      <c r="U155" s="150"/>
      <c r="V155" s="156"/>
      <c r="W155" s="150"/>
      <c r="X155" s="156"/>
      <c r="Y155" s="483">
        <f t="shared" si="17"/>
        <v>0</v>
      </c>
    </row>
    <row r="156" spans="1:25" ht="33.75" hidden="1" customHeight="1" x14ac:dyDescent="0.2">
      <c r="A156" s="217" t="s">
        <v>83</v>
      </c>
      <c r="B156" s="219"/>
      <c r="C156" s="41"/>
      <c r="D156" s="150"/>
      <c r="E156" s="155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5">
        <f t="shared" si="15"/>
        <v>0</v>
      </c>
      <c r="S156" s="150"/>
      <c r="T156" s="150"/>
      <c r="U156" s="150"/>
      <c r="V156" s="156"/>
      <c r="W156" s="150"/>
      <c r="X156" s="156">
        <f t="shared" si="16"/>
        <v>0</v>
      </c>
      <c r="Y156" s="483">
        <f t="shared" si="17"/>
        <v>0</v>
      </c>
    </row>
    <row r="157" spans="1:25" ht="33.75" hidden="1" customHeight="1" x14ac:dyDescent="0.2">
      <c r="A157" s="217" t="s">
        <v>83</v>
      </c>
      <c r="B157" s="219"/>
      <c r="C157" s="41"/>
      <c r="D157" s="150"/>
      <c r="E157" s="155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5">
        <f t="shared" si="15"/>
        <v>0</v>
      </c>
      <c r="S157" s="150"/>
      <c r="T157" s="150"/>
      <c r="U157" s="150"/>
      <c r="V157" s="156"/>
      <c r="W157" s="150"/>
      <c r="X157" s="156">
        <f t="shared" si="16"/>
        <v>0</v>
      </c>
      <c r="Y157" s="483">
        <f t="shared" si="17"/>
        <v>0</v>
      </c>
    </row>
    <row r="158" spans="1:25" ht="33.75" hidden="1" customHeight="1" x14ac:dyDescent="0.2">
      <c r="A158" s="217" t="s">
        <v>83</v>
      </c>
      <c r="B158" s="219"/>
      <c r="C158" s="41"/>
      <c r="D158" s="150"/>
      <c r="E158" s="155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5">
        <f t="shared" si="15"/>
        <v>0</v>
      </c>
      <c r="S158" s="150"/>
      <c r="T158" s="150"/>
      <c r="U158" s="150"/>
      <c r="V158" s="156"/>
      <c r="W158" s="150"/>
      <c r="X158" s="156">
        <f t="shared" si="16"/>
        <v>0</v>
      </c>
      <c r="Y158" s="483">
        <f t="shared" si="17"/>
        <v>0</v>
      </c>
    </row>
    <row r="159" spans="1:25" ht="33.75" hidden="1" customHeight="1" x14ac:dyDescent="0.2">
      <c r="A159" s="217" t="s">
        <v>83</v>
      </c>
      <c r="B159" s="219"/>
      <c r="C159" s="41"/>
      <c r="D159" s="150"/>
      <c r="E159" s="155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5">
        <f t="shared" si="15"/>
        <v>0</v>
      </c>
      <c r="S159" s="150"/>
      <c r="T159" s="150"/>
      <c r="U159" s="150"/>
      <c r="V159" s="156"/>
      <c r="W159" s="150"/>
      <c r="X159" s="156">
        <f t="shared" si="16"/>
        <v>0</v>
      </c>
      <c r="Y159" s="483">
        <f t="shared" si="17"/>
        <v>0</v>
      </c>
    </row>
    <row r="160" spans="1:25" ht="33.75" hidden="1" customHeight="1" x14ac:dyDescent="0.2">
      <c r="A160" s="217"/>
      <c r="B160" s="219"/>
      <c r="C160" s="41"/>
      <c r="D160" s="150"/>
      <c r="E160" s="155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5"/>
      <c r="S160" s="150"/>
      <c r="T160" s="150"/>
      <c r="U160" s="150"/>
      <c r="V160" s="156"/>
      <c r="W160" s="150"/>
      <c r="X160" s="156"/>
      <c r="Y160" s="483">
        <f t="shared" si="17"/>
        <v>0</v>
      </c>
    </row>
    <row r="161" spans="1:26" ht="33.75" hidden="1" customHeight="1" x14ac:dyDescent="0.2">
      <c r="A161" s="78"/>
      <c r="B161" s="32"/>
      <c r="C161" s="34"/>
      <c r="D161" s="150"/>
      <c r="E161" s="155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5"/>
      <c r="S161" s="150"/>
      <c r="T161" s="150"/>
      <c r="U161" s="150"/>
      <c r="V161" s="156"/>
      <c r="W161" s="150"/>
      <c r="X161" s="156"/>
      <c r="Y161" s="483">
        <f t="shared" si="17"/>
        <v>0</v>
      </c>
    </row>
    <row r="162" spans="1:26" ht="9.9499999999999993" hidden="1" customHeight="1" x14ac:dyDescent="0.2">
      <c r="A162" s="78"/>
      <c r="B162" s="117"/>
      <c r="C162" s="41"/>
      <c r="D162" s="150"/>
      <c r="E162" s="155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5"/>
      <c r="S162" s="150"/>
      <c r="T162" s="150"/>
      <c r="U162" s="150"/>
      <c r="V162" s="156"/>
      <c r="W162" s="150"/>
      <c r="X162" s="156"/>
      <c r="Y162" s="483"/>
    </row>
    <row r="163" spans="1:26" ht="20.100000000000001" hidden="1" customHeight="1" x14ac:dyDescent="0.2">
      <c r="A163" s="202" t="s">
        <v>63</v>
      </c>
      <c r="B163" s="198"/>
      <c r="C163" s="203" t="s">
        <v>61</v>
      </c>
      <c r="D163" s="150">
        <f t="shared" ref="D163:W163" si="30">SUM(D155:D162)</f>
        <v>0</v>
      </c>
      <c r="E163" s="155">
        <f t="shared" si="30"/>
        <v>0</v>
      </c>
      <c r="F163" s="150">
        <f t="shared" si="30"/>
        <v>0</v>
      </c>
      <c r="G163" s="150">
        <f t="shared" si="30"/>
        <v>0</v>
      </c>
      <c r="H163" s="150">
        <f t="shared" si="30"/>
        <v>0</v>
      </c>
      <c r="I163" s="150">
        <f t="shared" si="30"/>
        <v>0</v>
      </c>
      <c r="J163" s="150">
        <f t="shared" si="30"/>
        <v>0</v>
      </c>
      <c r="K163" s="150">
        <f t="shared" si="30"/>
        <v>0</v>
      </c>
      <c r="L163" s="150">
        <f t="shared" si="30"/>
        <v>0</v>
      </c>
      <c r="M163" s="150">
        <f t="shared" si="30"/>
        <v>0</v>
      </c>
      <c r="N163" s="150">
        <f t="shared" si="30"/>
        <v>0</v>
      </c>
      <c r="O163" s="150">
        <f t="shared" si="30"/>
        <v>0</v>
      </c>
      <c r="P163" s="150">
        <f t="shared" si="30"/>
        <v>0</v>
      </c>
      <c r="Q163" s="150">
        <f t="shared" si="30"/>
        <v>0</v>
      </c>
      <c r="R163" s="155">
        <f t="shared" ref="R163:R194" si="31">SUM(D163:Q163)</f>
        <v>0</v>
      </c>
      <c r="S163" s="150"/>
      <c r="T163" s="150">
        <f t="shared" si="30"/>
        <v>0</v>
      </c>
      <c r="U163" s="150">
        <f t="shared" si="30"/>
        <v>0</v>
      </c>
      <c r="V163" s="156">
        <f t="shared" si="30"/>
        <v>0</v>
      </c>
      <c r="W163" s="150">
        <f t="shared" si="30"/>
        <v>0</v>
      </c>
      <c r="X163" s="156">
        <f t="shared" ref="X163:X194" si="32">SUM(T163:W163)</f>
        <v>0</v>
      </c>
      <c r="Y163" s="483">
        <f t="shared" ref="Y163:Y194" si="33">R163+X163</f>
        <v>0</v>
      </c>
    </row>
    <row r="164" spans="1:26" ht="9.9499999999999993" hidden="1" customHeight="1" x14ac:dyDescent="0.2">
      <c r="A164" s="78"/>
      <c r="B164" s="117"/>
      <c r="C164" s="41"/>
      <c r="D164" s="150"/>
      <c r="E164" s="155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5"/>
      <c r="S164" s="150"/>
      <c r="T164" s="150"/>
      <c r="U164" s="150"/>
      <c r="V164" s="156"/>
      <c r="W164" s="150"/>
      <c r="X164" s="156"/>
      <c r="Y164" s="483"/>
    </row>
    <row r="165" spans="1:26" ht="24" hidden="1" customHeight="1" thickBot="1" x14ac:dyDescent="0.25">
      <c r="A165" s="78"/>
      <c r="B165" s="85"/>
      <c r="C165" s="41"/>
      <c r="D165" s="150"/>
      <c r="E165" s="155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5"/>
      <c r="S165" s="150"/>
      <c r="T165" s="150"/>
      <c r="U165" s="150"/>
      <c r="V165" s="156"/>
      <c r="W165" s="150"/>
      <c r="X165" s="156"/>
      <c r="Y165" s="483"/>
    </row>
    <row r="166" spans="1:26" ht="30" hidden="1" customHeight="1" thickTop="1" thickBot="1" x14ac:dyDescent="0.25">
      <c r="A166" s="42"/>
      <c r="B166" s="254" t="s">
        <v>149</v>
      </c>
      <c r="C166" s="44" t="s">
        <v>64</v>
      </c>
      <c r="D166" s="157">
        <f t="shared" ref="D166:Q166" si="34">D154+D163</f>
        <v>0</v>
      </c>
      <c r="E166" s="464">
        <f t="shared" si="34"/>
        <v>0</v>
      </c>
      <c r="F166" s="157">
        <f t="shared" si="34"/>
        <v>0</v>
      </c>
      <c r="G166" s="157">
        <f t="shared" si="34"/>
        <v>0</v>
      </c>
      <c r="H166" s="157">
        <f t="shared" si="34"/>
        <v>0</v>
      </c>
      <c r="I166" s="157">
        <f t="shared" si="34"/>
        <v>0</v>
      </c>
      <c r="J166" s="157">
        <f t="shared" si="34"/>
        <v>0</v>
      </c>
      <c r="K166" s="157">
        <f t="shared" si="34"/>
        <v>0</v>
      </c>
      <c r="L166" s="157">
        <f t="shared" si="34"/>
        <v>0</v>
      </c>
      <c r="M166" s="157">
        <f t="shared" si="34"/>
        <v>0</v>
      </c>
      <c r="N166" s="157">
        <f t="shared" si="34"/>
        <v>0</v>
      </c>
      <c r="O166" s="157">
        <f t="shared" si="34"/>
        <v>0</v>
      </c>
      <c r="P166" s="157">
        <f t="shared" si="34"/>
        <v>0</v>
      </c>
      <c r="Q166" s="157">
        <f t="shared" si="34"/>
        <v>0</v>
      </c>
      <c r="R166" s="464">
        <f t="shared" si="31"/>
        <v>0</v>
      </c>
      <c r="S166" s="157"/>
      <c r="T166" s="157">
        <f>T154+T163</f>
        <v>0</v>
      </c>
      <c r="U166" s="157">
        <f>U154+U163</f>
        <v>0</v>
      </c>
      <c r="V166" s="160">
        <f>V154+V163</f>
        <v>0</v>
      </c>
      <c r="W166" s="157">
        <f>W154+W163</f>
        <v>0</v>
      </c>
      <c r="X166" s="160">
        <f t="shared" si="32"/>
        <v>0</v>
      </c>
      <c r="Y166" s="484">
        <f t="shared" si="33"/>
        <v>0</v>
      </c>
    </row>
    <row r="167" spans="1:26" ht="30" hidden="1" customHeight="1" thickTop="1" thickBot="1" x14ac:dyDescent="0.25">
      <c r="A167" s="42"/>
      <c r="B167" s="500" t="s">
        <v>148</v>
      </c>
      <c r="C167" s="44" t="s">
        <v>118</v>
      </c>
      <c r="D167" s="490">
        <f t="shared" ref="D167:Q167" si="35">D146+D166</f>
        <v>2298596.8879999998</v>
      </c>
      <c r="E167" s="497">
        <f t="shared" si="35"/>
        <v>531177.27600000007</v>
      </c>
      <c r="F167" s="490">
        <f t="shared" si="35"/>
        <v>749769.53899999999</v>
      </c>
      <c r="G167" s="490">
        <f t="shared" si="35"/>
        <v>185</v>
      </c>
      <c r="H167" s="490">
        <f t="shared" si="35"/>
        <v>0</v>
      </c>
      <c r="I167" s="490">
        <f t="shared" si="35"/>
        <v>129.88300000000001</v>
      </c>
      <c r="J167" s="490">
        <f t="shared" si="35"/>
        <v>277.09300000000002</v>
      </c>
      <c r="K167" s="490">
        <f t="shared" si="35"/>
        <v>0</v>
      </c>
      <c r="L167" s="490">
        <f t="shared" si="35"/>
        <v>287323</v>
      </c>
      <c r="M167" s="490">
        <f t="shared" si="35"/>
        <v>7400</v>
      </c>
      <c r="N167" s="490">
        <f t="shared" si="35"/>
        <v>0</v>
      </c>
      <c r="O167" s="490">
        <f t="shared" si="35"/>
        <v>6000</v>
      </c>
      <c r="P167" s="490">
        <f t="shared" si="35"/>
        <v>0</v>
      </c>
      <c r="Q167" s="490">
        <f t="shared" si="35"/>
        <v>0</v>
      </c>
      <c r="R167" s="497">
        <f t="shared" si="31"/>
        <v>3880858.6789999995</v>
      </c>
      <c r="S167" s="490"/>
      <c r="T167" s="490">
        <f>T146+T166</f>
        <v>0</v>
      </c>
      <c r="U167" s="490">
        <f>U146+U166</f>
        <v>0</v>
      </c>
      <c r="V167" s="490">
        <f>V146+V166</f>
        <v>0</v>
      </c>
      <c r="W167" s="498">
        <f>W146+W166</f>
        <v>0</v>
      </c>
      <c r="X167" s="490">
        <f t="shared" si="32"/>
        <v>0</v>
      </c>
      <c r="Y167" s="496">
        <f t="shared" si="33"/>
        <v>3880858.6789999995</v>
      </c>
      <c r="Z167" s="125">
        <f>Y167-W167</f>
        <v>3880858.6789999995</v>
      </c>
    </row>
    <row r="168" spans="1:26" ht="24.95" customHeight="1" x14ac:dyDescent="0.25">
      <c r="A168" s="499"/>
      <c r="B168" s="460" t="s">
        <v>151</v>
      </c>
      <c r="C168" s="127" t="s">
        <v>18</v>
      </c>
      <c r="D168" s="213">
        <f t="shared" ref="D168:W168" si="36">D167</f>
        <v>2298596.8879999998</v>
      </c>
      <c r="E168" s="475">
        <f t="shared" si="36"/>
        <v>531177.27600000007</v>
      </c>
      <c r="F168" s="213">
        <f t="shared" si="36"/>
        <v>749769.53899999999</v>
      </c>
      <c r="G168" s="213">
        <f t="shared" si="36"/>
        <v>185</v>
      </c>
      <c r="H168" s="213">
        <f t="shared" si="36"/>
        <v>0</v>
      </c>
      <c r="I168" s="213">
        <f t="shared" si="36"/>
        <v>129.88300000000001</v>
      </c>
      <c r="J168" s="213">
        <f t="shared" si="36"/>
        <v>277.09300000000002</v>
      </c>
      <c r="K168" s="213">
        <f t="shared" si="36"/>
        <v>0</v>
      </c>
      <c r="L168" s="213">
        <f t="shared" si="36"/>
        <v>287323</v>
      </c>
      <c r="M168" s="213">
        <f t="shared" si="36"/>
        <v>7400</v>
      </c>
      <c r="N168" s="213">
        <f t="shared" si="36"/>
        <v>0</v>
      </c>
      <c r="O168" s="213">
        <f t="shared" si="36"/>
        <v>6000</v>
      </c>
      <c r="P168" s="213">
        <f t="shared" si="36"/>
        <v>0</v>
      </c>
      <c r="Q168" s="213">
        <f t="shared" si="36"/>
        <v>0</v>
      </c>
      <c r="R168" s="475">
        <f t="shared" si="31"/>
        <v>3880858.6789999995</v>
      </c>
      <c r="S168" s="213"/>
      <c r="T168" s="213">
        <f>T167</f>
        <v>0</v>
      </c>
      <c r="U168" s="213">
        <f>U167</f>
        <v>0</v>
      </c>
      <c r="V168" s="256">
        <f t="shared" si="36"/>
        <v>0</v>
      </c>
      <c r="W168" s="213">
        <f t="shared" si="36"/>
        <v>0</v>
      </c>
      <c r="X168" s="256">
        <f t="shared" si="32"/>
        <v>0</v>
      </c>
      <c r="Y168" s="482">
        <f t="shared" si="33"/>
        <v>3880858.6789999995</v>
      </c>
      <c r="Z168" s="125"/>
    </row>
    <row r="169" spans="1:26" ht="33.75" customHeight="1" x14ac:dyDescent="0.25">
      <c r="A169" s="505"/>
      <c r="B169" s="176"/>
      <c r="C169" s="506"/>
      <c r="D169" s="507"/>
      <c r="E169" s="508"/>
      <c r="F169" s="507"/>
      <c r="G169" s="507"/>
      <c r="H169" s="507"/>
      <c r="I169" s="507"/>
      <c r="J169" s="507"/>
      <c r="K169" s="507"/>
      <c r="L169" s="507"/>
      <c r="M169" s="507"/>
      <c r="N169" s="507"/>
      <c r="O169" s="507"/>
      <c r="P169" s="507"/>
      <c r="Q169" s="507"/>
      <c r="R169" s="508"/>
      <c r="S169" s="507"/>
      <c r="T169" s="507"/>
      <c r="U169" s="507"/>
      <c r="V169" s="509"/>
      <c r="W169" s="507"/>
      <c r="X169" s="509"/>
      <c r="Y169" s="510"/>
      <c r="Z169" s="125"/>
    </row>
    <row r="170" spans="1:26" ht="33.75" customHeight="1" x14ac:dyDescent="0.2">
      <c r="A170" s="217">
        <v>1</v>
      </c>
      <c r="B170" s="502" t="s">
        <v>473</v>
      </c>
      <c r="C170" s="28" t="s">
        <v>472</v>
      </c>
      <c r="D170" s="155"/>
      <c r="E170" s="155"/>
      <c r="F170" s="150"/>
      <c r="G170" s="150"/>
      <c r="H170" s="150"/>
      <c r="I170" s="150"/>
      <c r="J170" s="150"/>
      <c r="K170" s="150"/>
      <c r="L170" s="150">
        <f>500+135</f>
        <v>635</v>
      </c>
      <c r="M170" s="150"/>
      <c r="N170" s="150"/>
      <c r="O170" s="150"/>
      <c r="P170" s="150"/>
      <c r="Q170" s="150"/>
      <c r="R170" s="155">
        <f t="shared" si="31"/>
        <v>635</v>
      </c>
      <c r="S170" s="150"/>
      <c r="T170" s="150"/>
      <c r="U170" s="150"/>
      <c r="V170" s="156"/>
      <c r="W170" s="150"/>
      <c r="X170" s="156">
        <f t="shared" si="32"/>
        <v>0</v>
      </c>
      <c r="Y170" s="483">
        <f t="shared" si="33"/>
        <v>635</v>
      </c>
      <c r="Z170" s="125"/>
    </row>
    <row r="171" spans="1:26" ht="33.75" customHeight="1" x14ac:dyDescent="0.2">
      <c r="A171" s="217">
        <v>2</v>
      </c>
      <c r="B171" s="501" t="s">
        <v>486</v>
      </c>
      <c r="C171" s="28" t="s">
        <v>485</v>
      </c>
      <c r="D171" s="155"/>
      <c r="E171" s="155"/>
      <c r="F171" s="150"/>
      <c r="G171" s="150"/>
      <c r="H171" s="150"/>
      <c r="I171" s="150"/>
      <c r="J171" s="150"/>
      <c r="K171" s="150"/>
      <c r="L171" s="150">
        <f>14700+3969</f>
        <v>18669</v>
      </c>
      <c r="M171" s="150"/>
      <c r="N171" s="150"/>
      <c r="O171" s="150"/>
      <c r="P171" s="150"/>
      <c r="Q171" s="150"/>
      <c r="R171" s="155">
        <f t="shared" si="31"/>
        <v>18669</v>
      </c>
      <c r="S171" s="150"/>
      <c r="T171" s="150"/>
      <c r="U171" s="150"/>
      <c r="V171" s="156"/>
      <c r="W171" s="150"/>
      <c r="X171" s="156">
        <f t="shared" si="32"/>
        <v>0</v>
      </c>
      <c r="Y171" s="483">
        <f t="shared" si="33"/>
        <v>18669</v>
      </c>
      <c r="Z171" s="125"/>
    </row>
    <row r="172" spans="1:26" ht="33.75" customHeight="1" x14ac:dyDescent="0.2">
      <c r="A172" s="217">
        <v>3</v>
      </c>
      <c r="B172" s="621" t="s">
        <v>532</v>
      </c>
      <c r="C172" s="28" t="s">
        <v>533</v>
      </c>
      <c r="D172" s="155">
        <v>154.80000000000001</v>
      </c>
      <c r="E172" s="155">
        <v>30.186</v>
      </c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5">
        <f t="shared" si="31"/>
        <v>184.98600000000002</v>
      </c>
      <c r="S172" s="150"/>
      <c r="T172" s="150"/>
      <c r="U172" s="150"/>
      <c r="V172" s="156"/>
      <c r="W172" s="150"/>
      <c r="X172" s="156">
        <f t="shared" si="32"/>
        <v>0</v>
      </c>
      <c r="Y172" s="483">
        <f t="shared" si="33"/>
        <v>184.98600000000002</v>
      </c>
      <c r="Z172" s="125"/>
    </row>
    <row r="173" spans="1:26" ht="33.75" customHeight="1" x14ac:dyDescent="0.2">
      <c r="A173" s="78"/>
      <c r="B173" s="30"/>
      <c r="C173" s="28"/>
      <c r="D173" s="150"/>
      <c r="E173" s="155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5"/>
      <c r="S173" s="150"/>
      <c r="T173" s="150"/>
      <c r="U173" s="150"/>
      <c r="V173" s="156"/>
      <c r="W173" s="150"/>
      <c r="X173" s="156"/>
      <c r="Y173" s="483"/>
      <c r="Z173" s="125"/>
    </row>
    <row r="174" spans="1:26" ht="24" customHeight="1" x14ac:dyDescent="0.2">
      <c r="A174" s="202" t="s">
        <v>62</v>
      </c>
      <c r="B174" s="198"/>
      <c r="C174" s="203" t="s">
        <v>60</v>
      </c>
      <c r="D174" s="150">
        <f t="shared" ref="D174:Q174" si="37">SUM(D170:D173)</f>
        <v>154.80000000000001</v>
      </c>
      <c r="E174" s="155">
        <f t="shared" si="37"/>
        <v>30.186</v>
      </c>
      <c r="F174" s="150">
        <f t="shared" si="37"/>
        <v>0</v>
      </c>
      <c r="G174" s="150">
        <f t="shared" si="37"/>
        <v>0</v>
      </c>
      <c r="H174" s="150">
        <f t="shared" si="37"/>
        <v>0</v>
      </c>
      <c r="I174" s="150">
        <f t="shared" si="37"/>
        <v>0</v>
      </c>
      <c r="J174" s="150">
        <f t="shared" si="37"/>
        <v>0</v>
      </c>
      <c r="K174" s="150">
        <f t="shared" si="37"/>
        <v>0</v>
      </c>
      <c r="L174" s="150">
        <f t="shared" si="37"/>
        <v>19304</v>
      </c>
      <c r="M174" s="150">
        <f t="shared" si="37"/>
        <v>0</v>
      </c>
      <c r="N174" s="150">
        <f t="shared" si="37"/>
        <v>0</v>
      </c>
      <c r="O174" s="150">
        <f t="shared" si="37"/>
        <v>0</v>
      </c>
      <c r="P174" s="150">
        <f t="shared" si="37"/>
        <v>0</v>
      </c>
      <c r="Q174" s="150">
        <f t="shared" si="37"/>
        <v>0</v>
      </c>
      <c r="R174" s="155">
        <f t="shared" si="31"/>
        <v>19488.986000000001</v>
      </c>
      <c r="S174" s="150"/>
      <c r="T174" s="150">
        <f>SUM(T170:T173)</f>
        <v>0</v>
      </c>
      <c r="U174" s="150">
        <f>SUM(U170:U173)</f>
        <v>0</v>
      </c>
      <c r="V174" s="156">
        <f>SUM(V170:V173)</f>
        <v>0</v>
      </c>
      <c r="W174" s="150">
        <f>SUM(W170:W173)</f>
        <v>0</v>
      </c>
      <c r="X174" s="156">
        <f t="shared" si="32"/>
        <v>0</v>
      </c>
      <c r="Y174" s="483">
        <f t="shared" si="33"/>
        <v>19488.986000000001</v>
      </c>
      <c r="Z174" s="125"/>
    </row>
    <row r="175" spans="1:26" ht="33.75" customHeight="1" x14ac:dyDescent="0.2">
      <c r="A175" s="78"/>
      <c r="B175" s="45"/>
      <c r="C175" s="28"/>
      <c r="D175" s="150"/>
      <c r="E175" s="155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5"/>
      <c r="S175" s="150"/>
      <c r="T175" s="150"/>
      <c r="U175" s="150"/>
      <c r="V175" s="156"/>
      <c r="W175" s="150"/>
      <c r="X175" s="156"/>
      <c r="Y175" s="483"/>
      <c r="Z175" s="125"/>
    </row>
    <row r="176" spans="1:26" ht="33.75" customHeight="1" x14ac:dyDescent="0.2">
      <c r="A176" s="78"/>
      <c r="B176" s="117"/>
      <c r="C176" s="41"/>
      <c r="D176" s="150"/>
      <c r="E176" s="155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5"/>
      <c r="S176" s="150"/>
      <c r="T176" s="150"/>
      <c r="U176" s="150"/>
      <c r="V176" s="156"/>
      <c r="W176" s="150"/>
      <c r="X176" s="156"/>
      <c r="Y176" s="483"/>
      <c r="Z176" s="125"/>
    </row>
    <row r="177" spans="1:26" ht="24" customHeight="1" x14ac:dyDescent="0.2">
      <c r="A177" s="202" t="s">
        <v>63</v>
      </c>
      <c r="B177" s="198"/>
      <c r="C177" s="203" t="s">
        <v>61</v>
      </c>
      <c r="D177" s="150">
        <f t="shared" ref="D177:Q177" si="38">SUM(D176:D176)</f>
        <v>0</v>
      </c>
      <c r="E177" s="155">
        <f t="shared" si="38"/>
        <v>0</v>
      </c>
      <c r="F177" s="150">
        <f t="shared" si="38"/>
        <v>0</v>
      </c>
      <c r="G177" s="150">
        <f t="shared" si="38"/>
        <v>0</v>
      </c>
      <c r="H177" s="150">
        <f t="shared" si="38"/>
        <v>0</v>
      </c>
      <c r="I177" s="150">
        <f t="shared" si="38"/>
        <v>0</v>
      </c>
      <c r="J177" s="150">
        <f t="shared" si="38"/>
        <v>0</v>
      </c>
      <c r="K177" s="150">
        <f t="shared" si="38"/>
        <v>0</v>
      </c>
      <c r="L177" s="150">
        <f t="shared" si="38"/>
        <v>0</v>
      </c>
      <c r="M177" s="150">
        <f t="shared" si="38"/>
        <v>0</v>
      </c>
      <c r="N177" s="150">
        <f t="shared" si="38"/>
        <v>0</v>
      </c>
      <c r="O177" s="150">
        <f t="shared" si="38"/>
        <v>0</v>
      </c>
      <c r="P177" s="150">
        <f t="shared" si="38"/>
        <v>0</v>
      </c>
      <c r="Q177" s="150">
        <f t="shared" si="38"/>
        <v>0</v>
      </c>
      <c r="R177" s="155">
        <f t="shared" si="31"/>
        <v>0</v>
      </c>
      <c r="S177" s="150"/>
      <c r="T177" s="150">
        <f>SUM(T176:T176)</f>
        <v>0</v>
      </c>
      <c r="U177" s="150">
        <f>SUM(U176:U176)</f>
        <v>0</v>
      </c>
      <c r="V177" s="156">
        <f>SUM(V176:V176)</f>
        <v>0</v>
      </c>
      <c r="W177" s="150">
        <f>SUM(W176:W176)</f>
        <v>0</v>
      </c>
      <c r="X177" s="156">
        <f t="shared" si="32"/>
        <v>0</v>
      </c>
      <c r="Y177" s="483">
        <f t="shared" si="33"/>
        <v>0</v>
      </c>
      <c r="Z177" s="125"/>
    </row>
    <row r="178" spans="1:26" ht="24" customHeight="1" x14ac:dyDescent="0.2">
      <c r="A178" s="78"/>
      <c r="B178" s="117"/>
      <c r="C178" s="41"/>
      <c r="D178" s="150"/>
      <c r="E178" s="155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5"/>
      <c r="S178" s="150"/>
      <c r="T178" s="150"/>
      <c r="U178" s="150"/>
      <c r="V178" s="156"/>
      <c r="W178" s="150"/>
      <c r="X178" s="156"/>
      <c r="Y178" s="483"/>
      <c r="Z178" s="125"/>
    </row>
    <row r="179" spans="1:26" ht="24" customHeight="1" thickBot="1" x14ac:dyDescent="0.25">
      <c r="A179" s="78"/>
      <c r="B179" s="85"/>
      <c r="C179" s="41"/>
      <c r="D179" s="150"/>
      <c r="E179" s="155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5"/>
      <c r="S179" s="150"/>
      <c r="T179" s="150"/>
      <c r="U179" s="150"/>
      <c r="V179" s="156"/>
      <c r="W179" s="150"/>
      <c r="X179" s="156"/>
      <c r="Y179" s="483"/>
      <c r="Z179" s="125"/>
    </row>
    <row r="180" spans="1:26" ht="33.75" customHeight="1" thickTop="1" thickBot="1" x14ac:dyDescent="0.25">
      <c r="A180" s="42"/>
      <c r="B180" s="254"/>
      <c r="C180" s="44" t="s">
        <v>64</v>
      </c>
      <c r="D180" s="157">
        <f t="shared" ref="D180:Q180" si="39">D174+D177</f>
        <v>154.80000000000001</v>
      </c>
      <c r="E180" s="464">
        <f t="shared" si="39"/>
        <v>30.186</v>
      </c>
      <c r="F180" s="157">
        <f t="shared" si="39"/>
        <v>0</v>
      </c>
      <c r="G180" s="157">
        <f t="shared" si="39"/>
        <v>0</v>
      </c>
      <c r="H180" s="157">
        <f t="shared" si="39"/>
        <v>0</v>
      </c>
      <c r="I180" s="157">
        <f t="shared" si="39"/>
        <v>0</v>
      </c>
      <c r="J180" s="157">
        <f t="shared" si="39"/>
        <v>0</v>
      </c>
      <c r="K180" s="157">
        <f t="shared" si="39"/>
        <v>0</v>
      </c>
      <c r="L180" s="157">
        <f t="shared" si="39"/>
        <v>19304</v>
      </c>
      <c r="M180" s="157">
        <f t="shared" si="39"/>
        <v>0</v>
      </c>
      <c r="N180" s="157">
        <f t="shared" si="39"/>
        <v>0</v>
      </c>
      <c r="O180" s="157">
        <f t="shared" si="39"/>
        <v>0</v>
      </c>
      <c r="P180" s="157">
        <f t="shared" si="39"/>
        <v>0</v>
      </c>
      <c r="Q180" s="157">
        <f t="shared" si="39"/>
        <v>0</v>
      </c>
      <c r="R180" s="464">
        <f t="shared" si="31"/>
        <v>19488.986000000001</v>
      </c>
      <c r="S180" s="157"/>
      <c r="T180" s="157">
        <f>T174+T177</f>
        <v>0</v>
      </c>
      <c r="U180" s="157">
        <f>U174+U177</f>
        <v>0</v>
      </c>
      <c r="V180" s="160">
        <f>V174+V177</f>
        <v>0</v>
      </c>
      <c r="W180" s="157">
        <f>W174+W177</f>
        <v>0</v>
      </c>
      <c r="X180" s="160">
        <f t="shared" si="32"/>
        <v>0</v>
      </c>
      <c r="Y180" s="484">
        <f t="shared" si="33"/>
        <v>19488.986000000001</v>
      </c>
      <c r="Z180" s="125"/>
    </row>
    <row r="181" spans="1:26" ht="33.75" customHeight="1" thickTop="1" thickBot="1" x14ac:dyDescent="0.25">
      <c r="A181" s="42"/>
      <c r="B181" s="43" t="s">
        <v>144</v>
      </c>
      <c r="C181" s="44" t="s">
        <v>118</v>
      </c>
      <c r="D181" s="196">
        <f t="shared" ref="D181:Q181" si="40">D168+D180</f>
        <v>2298751.6879999996</v>
      </c>
      <c r="E181" s="196">
        <f t="shared" si="40"/>
        <v>531207.46200000006</v>
      </c>
      <c r="F181" s="196">
        <f t="shared" si="40"/>
        <v>749769.53899999999</v>
      </c>
      <c r="G181" s="196">
        <f t="shared" si="40"/>
        <v>185</v>
      </c>
      <c r="H181" s="196">
        <f t="shared" si="40"/>
        <v>0</v>
      </c>
      <c r="I181" s="196">
        <f t="shared" si="40"/>
        <v>129.88300000000001</v>
      </c>
      <c r="J181" s="196">
        <f t="shared" si="40"/>
        <v>277.09300000000002</v>
      </c>
      <c r="K181" s="196">
        <f t="shared" si="40"/>
        <v>0</v>
      </c>
      <c r="L181" s="196">
        <f t="shared" si="40"/>
        <v>306627</v>
      </c>
      <c r="M181" s="196">
        <f t="shared" si="40"/>
        <v>7400</v>
      </c>
      <c r="N181" s="196">
        <f t="shared" si="40"/>
        <v>0</v>
      </c>
      <c r="O181" s="196">
        <f t="shared" si="40"/>
        <v>6000</v>
      </c>
      <c r="P181" s="196">
        <f t="shared" si="40"/>
        <v>0</v>
      </c>
      <c r="Q181" s="196">
        <f t="shared" si="40"/>
        <v>0</v>
      </c>
      <c r="R181" s="196">
        <f t="shared" si="31"/>
        <v>3900347.6649999991</v>
      </c>
      <c r="S181" s="157"/>
      <c r="T181" s="157">
        <f>T168+T180</f>
        <v>0</v>
      </c>
      <c r="U181" s="157">
        <f>U168+U180</f>
        <v>0</v>
      </c>
      <c r="V181" s="160">
        <f>V168+V180</f>
        <v>0</v>
      </c>
      <c r="W181" s="157">
        <f>W168+W180</f>
        <v>0</v>
      </c>
      <c r="X181" s="160">
        <f t="shared" si="32"/>
        <v>0</v>
      </c>
      <c r="Y181" s="496">
        <f t="shared" si="33"/>
        <v>3900347.6649999991</v>
      </c>
      <c r="Z181" s="125"/>
    </row>
    <row r="182" spans="1:26" ht="24" customHeight="1" thickTop="1" x14ac:dyDescent="0.2">
      <c r="A182" s="199"/>
      <c r="B182" s="214"/>
      <c r="C182" s="215"/>
      <c r="D182" s="301"/>
      <c r="E182" s="476"/>
      <c r="F182" s="301"/>
      <c r="G182" s="301"/>
      <c r="H182" s="301"/>
      <c r="I182" s="301"/>
      <c r="J182" s="301"/>
      <c r="K182" s="301"/>
      <c r="L182" s="301"/>
      <c r="M182" s="301"/>
      <c r="N182" s="301"/>
      <c r="O182" s="301"/>
      <c r="P182" s="301"/>
      <c r="Q182" s="301"/>
      <c r="R182" s="476"/>
      <c r="S182" s="301"/>
      <c r="T182" s="301"/>
      <c r="U182" s="301"/>
      <c r="V182" s="302"/>
      <c r="W182" s="301"/>
      <c r="X182" s="302"/>
      <c r="Y182" s="485"/>
      <c r="Z182" s="125"/>
    </row>
    <row r="183" spans="1:26" ht="24" customHeight="1" x14ac:dyDescent="0.2">
      <c r="A183" s="26"/>
      <c r="B183" s="72" t="s">
        <v>299</v>
      </c>
      <c r="C183" s="39" t="s">
        <v>20</v>
      </c>
      <c r="D183" s="161"/>
      <c r="E183" s="477"/>
      <c r="F183" s="161">
        <v>19</v>
      </c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477">
        <f t="shared" si="31"/>
        <v>19</v>
      </c>
      <c r="S183" s="161"/>
      <c r="T183" s="161"/>
      <c r="U183" s="161"/>
      <c r="V183" s="162"/>
      <c r="W183" s="161"/>
      <c r="X183" s="162">
        <f t="shared" si="32"/>
        <v>0</v>
      </c>
      <c r="Y183" s="483">
        <f t="shared" si="33"/>
        <v>19</v>
      </c>
    </row>
    <row r="184" spans="1:26" ht="24" customHeight="1" x14ac:dyDescent="0.25">
      <c r="A184" s="26"/>
      <c r="B184" s="87" t="s">
        <v>300</v>
      </c>
      <c r="C184" s="39" t="s">
        <v>20</v>
      </c>
      <c r="D184" s="161">
        <v>-4000</v>
      </c>
      <c r="E184" s="477"/>
      <c r="F184" s="161">
        <f>-16970-4582</f>
        <v>-21552</v>
      </c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477">
        <f t="shared" si="31"/>
        <v>-25552</v>
      </c>
      <c r="S184" s="161"/>
      <c r="T184" s="161"/>
      <c r="U184" s="161"/>
      <c r="V184" s="162"/>
      <c r="W184" s="161"/>
      <c r="X184" s="162">
        <f t="shared" si="32"/>
        <v>0</v>
      </c>
      <c r="Y184" s="483">
        <f t="shared" si="33"/>
        <v>-25552</v>
      </c>
    </row>
    <row r="185" spans="1:26" ht="24" customHeight="1" x14ac:dyDescent="0.25">
      <c r="A185" s="26"/>
      <c r="B185" s="87" t="s">
        <v>535</v>
      </c>
      <c r="C185" s="39" t="s">
        <v>20</v>
      </c>
      <c r="D185" s="161"/>
      <c r="E185" s="477"/>
      <c r="F185" s="161">
        <f>-11863-71</f>
        <v>-11934</v>
      </c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477">
        <f t="shared" si="31"/>
        <v>-11934</v>
      </c>
      <c r="S185" s="161"/>
      <c r="T185" s="161"/>
      <c r="U185" s="161"/>
      <c r="V185" s="162"/>
      <c r="W185" s="161"/>
      <c r="X185" s="162">
        <f t="shared" si="32"/>
        <v>0</v>
      </c>
      <c r="Y185" s="483">
        <f t="shared" si="33"/>
        <v>-11934</v>
      </c>
    </row>
    <row r="186" spans="1:26" ht="24" customHeight="1" x14ac:dyDescent="0.25">
      <c r="A186" s="26"/>
      <c r="B186" s="87" t="s">
        <v>536</v>
      </c>
      <c r="C186" s="39" t="s">
        <v>20</v>
      </c>
      <c r="D186" s="161"/>
      <c r="E186" s="477"/>
      <c r="F186" s="161">
        <v>-850</v>
      </c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477">
        <f t="shared" si="31"/>
        <v>-850</v>
      </c>
      <c r="S186" s="161"/>
      <c r="T186" s="161"/>
      <c r="U186" s="161"/>
      <c r="V186" s="162"/>
      <c r="W186" s="161"/>
      <c r="X186" s="162">
        <f t="shared" si="32"/>
        <v>0</v>
      </c>
      <c r="Y186" s="483">
        <f t="shared" si="33"/>
        <v>-850</v>
      </c>
    </row>
    <row r="187" spans="1:26" ht="24" customHeight="1" x14ac:dyDescent="0.25">
      <c r="A187" s="26"/>
      <c r="B187" s="87" t="s">
        <v>303</v>
      </c>
      <c r="C187" s="39" t="s">
        <v>20</v>
      </c>
      <c r="D187" s="161"/>
      <c r="E187" s="477"/>
      <c r="F187" s="161">
        <v>-1270</v>
      </c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477">
        <f t="shared" si="31"/>
        <v>-1270</v>
      </c>
      <c r="S187" s="161"/>
      <c r="T187" s="161"/>
      <c r="U187" s="161"/>
      <c r="V187" s="162"/>
      <c r="W187" s="161"/>
      <c r="X187" s="162">
        <f t="shared" ref="X187" si="41">SUM(T187:W187)</f>
        <v>0</v>
      </c>
      <c r="Y187" s="483">
        <f t="shared" ref="Y187" si="42">R187+X187</f>
        <v>-1270</v>
      </c>
    </row>
    <row r="188" spans="1:26" ht="24" customHeight="1" x14ac:dyDescent="0.25">
      <c r="A188" s="26"/>
      <c r="B188" s="87" t="s">
        <v>304</v>
      </c>
      <c r="C188" s="39" t="s">
        <v>20</v>
      </c>
      <c r="D188" s="161">
        <v>1000</v>
      </c>
      <c r="E188" s="477"/>
      <c r="F188" s="161">
        <v>509</v>
      </c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477">
        <f t="shared" si="31"/>
        <v>1509</v>
      </c>
      <c r="S188" s="161"/>
      <c r="T188" s="161"/>
      <c r="U188" s="161"/>
      <c r="V188" s="162"/>
      <c r="W188" s="161"/>
      <c r="X188" s="162">
        <f t="shared" si="32"/>
        <v>0</v>
      </c>
      <c r="Y188" s="483">
        <f t="shared" si="33"/>
        <v>1509</v>
      </c>
    </row>
    <row r="189" spans="1:26" ht="24" customHeight="1" thickBot="1" x14ac:dyDescent="0.25">
      <c r="A189" s="78"/>
      <c r="B189" s="80"/>
      <c r="C189" s="41"/>
      <c r="D189" s="150"/>
      <c r="E189" s="155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5"/>
      <c r="S189" s="150"/>
      <c r="T189" s="150"/>
      <c r="U189" s="150"/>
      <c r="V189" s="156"/>
      <c r="W189" s="150"/>
      <c r="X189" s="156"/>
      <c r="Y189" s="483"/>
    </row>
    <row r="190" spans="1:26" ht="24" customHeight="1" thickTop="1" thickBot="1" x14ac:dyDescent="0.25">
      <c r="A190" s="47"/>
      <c r="B190" s="86"/>
      <c r="C190" s="44" t="s">
        <v>23</v>
      </c>
      <c r="D190" s="82">
        <f t="shared" ref="D190:P190" si="43">SUM(D183:D189)</f>
        <v>-3000</v>
      </c>
      <c r="E190" s="122">
        <f t="shared" si="43"/>
        <v>0</v>
      </c>
      <c r="F190" s="82">
        <f t="shared" si="43"/>
        <v>-35078</v>
      </c>
      <c r="G190" s="82">
        <f t="shared" si="43"/>
        <v>0</v>
      </c>
      <c r="H190" s="82">
        <f t="shared" si="43"/>
        <v>0</v>
      </c>
      <c r="I190" s="82">
        <f t="shared" si="43"/>
        <v>0</v>
      </c>
      <c r="J190" s="82">
        <f t="shared" si="43"/>
        <v>0</v>
      </c>
      <c r="K190" s="82">
        <f t="shared" si="43"/>
        <v>0</v>
      </c>
      <c r="L190" s="82">
        <f t="shared" si="43"/>
        <v>0</v>
      </c>
      <c r="M190" s="82">
        <f t="shared" si="43"/>
        <v>0</v>
      </c>
      <c r="N190" s="82">
        <f t="shared" si="43"/>
        <v>0</v>
      </c>
      <c r="O190" s="82">
        <f t="shared" si="43"/>
        <v>0</v>
      </c>
      <c r="P190" s="82">
        <f t="shared" si="43"/>
        <v>0</v>
      </c>
      <c r="Q190" s="82">
        <f t="shared" ref="Q190:W190" si="44">SUM(Q183:Q189)</f>
        <v>0</v>
      </c>
      <c r="R190" s="122">
        <f t="shared" si="31"/>
        <v>-38078</v>
      </c>
      <c r="S190" s="157"/>
      <c r="T190" s="82">
        <f t="shared" si="44"/>
        <v>0</v>
      </c>
      <c r="U190" s="82">
        <f t="shared" si="44"/>
        <v>0</v>
      </c>
      <c r="V190" s="83">
        <f t="shared" si="44"/>
        <v>0</v>
      </c>
      <c r="W190" s="82">
        <f t="shared" si="44"/>
        <v>0</v>
      </c>
      <c r="X190" s="83">
        <f t="shared" si="32"/>
        <v>0</v>
      </c>
      <c r="Y190" s="624">
        <f t="shared" si="33"/>
        <v>-38078</v>
      </c>
    </row>
    <row r="191" spans="1:26" ht="9.9499999999999993" customHeight="1" thickTop="1" thickBot="1" x14ac:dyDescent="0.25">
      <c r="A191" s="179"/>
      <c r="B191" s="180"/>
      <c r="C191" s="181"/>
      <c r="D191" s="182"/>
      <c r="E191" s="478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478"/>
      <c r="S191" s="182"/>
      <c r="T191" s="182"/>
      <c r="U191" s="182"/>
      <c r="V191" s="182"/>
      <c r="W191" s="388"/>
      <c r="X191" s="182"/>
      <c r="Y191" s="486"/>
    </row>
    <row r="192" spans="1:26" ht="24" hidden="1" customHeight="1" x14ac:dyDescent="0.2">
      <c r="A192" s="184"/>
      <c r="B192" s="185"/>
      <c r="C192" s="193" t="s">
        <v>50</v>
      </c>
      <c r="D192" s="186"/>
      <c r="E192" s="479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479">
        <f t="shared" si="31"/>
        <v>0</v>
      </c>
      <c r="S192" s="186"/>
      <c r="T192" s="186"/>
      <c r="U192" s="186"/>
      <c r="V192" s="186"/>
      <c r="W192" s="389"/>
      <c r="X192" s="186">
        <f t="shared" si="32"/>
        <v>0</v>
      </c>
      <c r="Y192" s="487">
        <f t="shared" si="33"/>
        <v>0</v>
      </c>
    </row>
    <row r="193" spans="1:26" ht="9.9499999999999993" hidden="1" customHeight="1" thickBot="1" x14ac:dyDescent="0.25">
      <c r="A193" s="188"/>
      <c r="B193" s="189"/>
      <c r="C193" s="190"/>
      <c r="D193" s="191"/>
      <c r="E193" s="480"/>
      <c r="F193" s="191"/>
      <c r="G193" s="191"/>
      <c r="H193" s="191"/>
      <c r="I193" s="191"/>
      <c r="J193" s="191"/>
      <c r="K193" s="191"/>
      <c r="L193" s="191"/>
      <c r="M193" s="191"/>
      <c r="N193" s="191"/>
      <c r="O193" s="191"/>
      <c r="P193" s="191"/>
      <c r="Q193" s="191"/>
      <c r="R193" s="480"/>
      <c r="S193" s="191"/>
      <c r="T193" s="191"/>
      <c r="U193" s="191"/>
      <c r="V193" s="191"/>
      <c r="W193" s="391"/>
      <c r="X193" s="191"/>
      <c r="Y193" s="488"/>
    </row>
    <row r="194" spans="1:26" ht="24" customHeight="1" thickTop="1" thickBot="1" x14ac:dyDescent="0.25">
      <c r="A194" s="88"/>
      <c r="B194" s="43" t="s">
        <v>449</v>
      </c>
      <c r="C194" s="44" t="s">
        <v>118</v>
      </c>
      <c r="D194" s="489">
        <f t="shared" ref="D194:Q194" si="45">D181+D190</f>
        <v>2295751.6879999996</v>
      </c>
      <c r="E194" s="618">
        <f t="shared" si="45"/>
        <v>531207.46200000006</v>
      </c>
      <c r="F194" s="489">
        <f t="shared" si="45"/>
        <v>714691.53899999999</v>
      </c>
      <c r="G194" s="163">
        <f t="shared" si="45"/>
        <v>185</v>
      </c>
      <c r="H194" s="163">
        <f t="shared" si="45"/>
        <v>0</v>
      </c>
      <c r="I194" s="163">
        <f t="shared" si="45"/>
        <v>129.88300000000001</v>
      </c>
      <c r="J194" s="163">
        <f t="shared" si="45"/>
        <v>277.09300000000002</v>
      </c>
      <c r="K194" s="163">
        <f t="shared" si="45"/>
        <v>0</v>
      </c>
      <c r="L194" s="489">
        <f t="shared" si="45"/>
        <v>306627</v>
      </c>
      <c r="M194" s="163">
        <f t="shared" si="45"/>
        <v>7400</v>
      </c>
      <c r="N194" s="163">
        <f t="shared" si="45"/>
        <v>0</v>
      </c>
      <c r="O194" s="163">
        <f t="shared" si="45"/>
        <v>6000</v>
      </c>
      <c r="P194" s="163">
        <f t="shared" si="45"/>
        <v>0</v>
      </c>
      <c r="Q194" s="163">
        <f t="shared" si="45"/>
        <v>0</v>
      </c>
      <c r="R194" s="619">
        <f t="shared" si="31"/>
        <v>3862269.6649999991</v>
      </c>
      <c r="S194" s="172"/>
      <c r="T194" s="163">
        <f>T181+T190</f>
        <v>0</v>
      </c>
      <c r="U194" s="163">
        <f>U181+U190</f>
        <v>0</v>
      </c>
      <c r="V194" s="335">
        <f>V181+V190</f>
        <v>0</v>
      </c>
      <c r="W194" s="172">
        <f>W181+W190</f>
        <v>0</v>
      </c>
      <c r="X194" s="163">
        <f t="shared" si="32"/>
        <v>0</v>
      </c>
      <c r="Y194" s="349">
        <f t="shared" si="33"/>
        <v>3862269.6649999991</v>
      </c>
      <c r="Z194" s="125"/>
    </row>
    <row r="195" spans="1:26" ht="17.25" thickTop="1" x14ac:dyDescent="0.25"/>
  </sheetData>
  <mergeCells count="8">
    <mergeCell ref="T8:W8"/>
    <mergeCell ref="AH14:AI14"/>
    <mergeCell ref="A2:Y2"/>
    <mergeCell ref="A4:Y4"/>
    <mergeCell ref="AH9:AI9"/>
    <mergeCell ref="D8:K8"/>
    <mergeCell ref="L8:Q8"/>
    <mergeCell ref="D7:X7"/>
  </mergeCells>
  <phoneticPr fontId="3" type="noConversion"/>
  <printOptions horizontalCentered="1" verticalCentered="1"/>
  <pageMargins left="0" right="0" top="0.62" bottom="0.48" header="0.27" footer="0.15"/>
  <pageSetup paperSize="9" scale="4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10</vt:i4>
      </vt:variant>
    </vt:vector>
  </HeadingPairs>
  <TitlesOfParts>
    <vt:vector size="14" baseType="lpstr">
      <vt:lpstr>1.sz.melléklet</vt:lpstr>
      <vt:lpstr>2.sz.melléklet</vt:lpstr>
      <vt:lpstr>3.sz.melléklet</vt:lpstr>
      <vt:lpstr>4.sz.melléklet</vt:lpstr>
      <vt:lpstr>Excel_BuiltIn__FilterDatabase_2</vt:lpstr>
      <vt:lpstr>Excel_BuiltIn__FilterDatabase_3_3</vt:lpstr>
      <vt:lpstr>'1.sz.melléklet'!Nyomtatási_cím</vt:lpstr>
      <vt:lpstr>'2.sz.melléklet'!Nyomtatási_cím</vt:lpstr>
      <vt:lpstr>'3.sz.melléklet'!Nyomtatási_cím</vt:lpstr>
      <vt:lpstr>'4.sz.melléklet'!Nyomtatási_cím</vt:lpstr>
      <vt:lpstr>'1.sz.melléklet'!Nyomtatási_terület</vt:lpstr>
      <vt:lpstr>'2.sz.melléklet'!Nyomtatási_terület</vt:lpstr>
      <vt:lpstr>'3.sz.melléklet'!Nyomtatási_terület</vt:lpstr>
      <vt:lpstr>'4.sz.melléklet'!Nyomtatási_terület</vt:lpstr>
    </vt:vector>
  </TitlesOfParts>
  <Company>II. Kerületi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Balogh</dc:creator>
  <cp:lastModifiedBy>Balog Lászlóné Zsuzsa</cp:lastModifiedBy>
  <cp:lastPrinted>2018-11-22T08:04:55Z</cp:lastPrinted>
  <dcterms:created xsi:type="dcterms:W3CDTF">2009-03-23T07:49:10Z</dcterms:created>
  <dcterms:modified xsi:type="dcterms:W3CDTF">2018-11-22T08:27:36Z</dcterms:modified>
</cp:coreProperties>
</file>