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Penzugyi es Koltsegvetesi Osztaly\HUPENZU\2018\Rendelet módosítások\Második mód 0831\Leadott\"/>
    </mc:Choice>
  </mc:AlternateContent>
  <bookViews>
    <workbookView xWindow="0" yWindow="0" windowWidth="19200" windowHeight="10605"/>
  </bookViews>
  <sheets>
    <sheet name="5.sz. melléklet" sheetId="20" r:id="rId1"/>
    <sheet name="6. sz. melléklet" sheetId="2" r:id="rId2"/>
  </sheets>
  <definedNames>
    <definedName name="a">#REF!</definedName>
    <definedName name="Excel_BuiltIn_Print_Area_100_1" localSheetId="0">#REF!</definedName>
    <definedName name="Excel_BuiltIn_Print_Area_100_1" localSheetId="1">#REF!</definedName>
    <definedName name="Excel_BuiltIn_Print_Area_109_1" localSheetId="0">#REF!</definedName>
    <definedName name="Excel_BuiltIn_Print_Area_109_1" localSheetId="1">#REF!</definedName>
    <definedName name="Excel_BuiltIn_Print_Area_109_1">#REF!</definedName>
    <definedName name="Excel_BuiltIn_Print_Area_111" localSheetId="0">#REF!</definedName>
    <definedName name="Excel_BuiltIn_Print_Area_111" localSheetId="1">#REF!</definedName>
    <definedName name="Excel_BuiltIn_Print_Area_14_1" localSheetId="0">#REF!</definedName>
    <definedName name="Excel_BuiltIn_Print_Area_14_1">#REF!</definedName>
    <definedName name="Excel_BuiltIn_Print_Area_14_1_1" localSheetId="0">#REF!</definedName>
    <definedName name="Excel_BuiltIn_Print_Area_14_1_1">#REF!</definedName>
    <definedName name="Excel_BuiltIn_Print_Area_29_1" localSheetId="0">#REF!</definedName>
    <definedName name="Excel_BuiltIn_Print_Area_29_1">#REF!</definedName>
    <definedName name="Excel_BuiltIn_Print_Area_29_1_1" localSheetId="0">#REF!</definedName>
    <definedName name="Excel_BuiltIn_Print_Area_29_1_1">#REF!</definedName>
    <definedName name="Excel_BuiltIn_Print_Area_31_1" localSheetId="0">#REF!</definedName>
    <definedName name="Excel_BuiltIn_Print_Area_31_1">#REF!</definedName>
    <definedName name="Excel_BuiltIn_Print_Area_32_1" localSheetId="0">#REF!</definedName>
    <definedName name="Excel_BuiltIn_Print_Area_32_1">#REF!</definedName>
    <definedName name="Excel_BuiltIn_Print_Area_34_1" localSheetId="0">#REF!</definedName>
    <definedName name="Excel_BuiltIn_Print_Area_34_1">#REF!</definedName>
    <definedName name="Excel_BuiltIn_Print_Area_37_1" localSheetId="0">#REF!</definedName>
    <definedName name="Excel_BuiltIn_Print_Area_37_1">#REF!</definedName>
    <definedName name="Excel_BuiltIn_Print_Area_55_1" localSheetId="0">#REF!</definedName>
    <definedName name="Excel_BuiltIn_Print_Area_55_1">#REF!</definedName>
    <definedName name="mama">#REF!</definedName>
    <definedName name="_xlnm.Print_Area" localSheetId="0">'5.sz. melléklet'!$A$1:$M$52</definedName>
    <definedName name="_xlnm.Print_Area" localSheetId="1">'6. sz. melléklet'!$A$1:$O$52</definedName>
    <definedName name="pm" localSheetId="0">#REF!</definedName>
    <definedName name="pm">#REF!</definedName>
    <definedName name="teszt">#REF!</definedName>
  </definedNames>
  <calcPr calcId="152511"/>
</workbook>
</file>

<file path=xl/calcChain.xml><?xml version="1.0" encoding="utf-8"?>
<calcChain xmlns="http://schemas.openxmlformats.org/spreadsheetml/2006/main">
  <c r="K50" i="2" l="1"/>
  <c r="K23" i="2" l="1"/>
  <c r="K42" i="2"/>
  <c r="F42" i="2"/>
  <c r="F50" i="20" l="1"/>
  <c r="E50" i="20"/>
  <c r="D50" i="20"/>
  <c r="K46" i="2" l="1"/>
  <c r="K19" i="2"/>
  <c r="F46" i="20"/>
  <c r="E23" i="20" l="1"/>
  <c r="D23" i="20"/>
  <c r="E42" i="20"/>
  <c r="D42" i="20"/>
  <c r="E46" i="20" l="1"/>
  <c r="D46" i="20"/>
  <c r="K41" i="2"/>
  <c r="K40" i="2"/>
  <c r="F42" i="20"/>
  <c r="E41" i="20"/>
  <c r="D41" i="20"/>
  <c r="F40" i="20"/>
  <c r="E40" i="20"/>
  <c r="D40" i="20"/>
  <c r="K39" i="2" l="1"/>
  <c r="F39" i="20"/>
  <c r="E39" i="20"/>
  <c r="D39" i="20"/>
  <c r="K38" i="2"/>
  <c r="F38" i="20"/>
  <c r="E38" i="20"/>
  <c r="D38" i="20"/>
  <c r="K34" i="2"/>
  <c r="E34" i="20"/>
  <c r="D34" i="20"/>
  <c r="K33" i="2"/>
  <c r="F23" i="20"/>
  <c r="F34" i="20"/>
  <c r="F33" i="20"/>
  <c r="E33" i="20"/>
  <c r="D33" i="20"/>
  <c r="K32" i="2"/>
  <c r="F32" i="20"/>
  <c r="E32" i="20"/>
  <c r="D32" i="20"/>
  <c r="J31" i="20"/>
  <c r="F31" i="20"/>
  <c r="K31" i="2"/>
  <c r="M31" i="2"/>
  <c r="E31" i="20"/>
  <c r="D31" i="20"/>
  <c r="F30" i="20"/>
  <c r="D30" i="20"/>
  <c r="E30" i="20" l="1"/>
  <c r="K30" i="2"/>
  <c r="F29" i="20"/>
  <c r="E29" i="20"/>
  <c r="D29" i="20"/>
  <c r="K29" i="2"/>
  <c r="F28" i="20"/>
  <c r="E28" i="20"/>
  <c r="D28" i="20"/>
  <c r="K28" i="2"/>
  <c r="K27" i="2"/>
  <c r="F27" i="20"/>
  <c r="E27" i="20"/>
  <c r="D27" i="20"/>
  <c r="F26" i="20" l="1"/>
  <c r="E26" i="20"/>
  <c r="D26" i="20"/>
  <c r="K26" i="2"/>
  <c r="K25" i="2"/>
  <c r="F25" i="20"/>
  <c r="E25" i="20"/>
  <c r="D25" i="20"/>
  <c r="K24" i="2"/>
  <c r="F24" i="20"/>
  <c r="E24" i="20"/>
  <c r="D24" i="20"/>
  <c r="F19" i="20" l="1"/>
  <c r="E19" i="20"/>
  <c r="D19" i="20"/>
  <c r="M30" i="2" l="1"/>
  <c r="C30" i="20" l="1"/>
  <c r="C19" i="2" l="1"/>
  <c r="J44" i="2" l="1"/>
  <c r="J36" i="2"/>
  <c r="K36" i="2" l="1"/>
  <c r="C27" i="20" l="1"/>
  <c r="C35" i="2" l="1"/>
  <c r="C50" i="2" l="1"/>
  <c r="C41" i="2"/>
  <c r="C30" i="2"/>
  <c r="C39" i="20"/>
  <c r="C28" i="20"/>
  <c r="C26" i="20"/>
  <c r="C40" i="20" l="1"/>
  <c r="C42" i="20" l="1"/>
  <c r="B78" i="2" l="1"/>
  <c r="C24" i="20" l="1"/>
  <c r="C46" i="20" l="1"/>
  <c r="C46" i="2" l="1"/>
  <c r="C40" i="2" l="1"/>
  <c r="Q54" i="2" l="1"/>
  <c r="C34" i="2" l="1"/>
  <c r="C34" i="20"/>
  <c r="N52" i="2" l="1"/>
  <c r="O52" i="2"/>
  <c r="C50" i="20"/>
  <c r="K21" i="2" l="1"/>
  <c r="J21" i="2"/>
  <c r="J48" i="2" s="1"/>
  <c r="J52" i="2" l="1"/>
  <c r="K44" i="2"/>
  <c r="K48" i="2" l="1"/>
  <c r="K52" i="2" s="1"/>
  <c r="M44" i="20"/>
  <c r="L44" i="20"/>
  <c r="K44" i="20"/>
  <c r="J44" i="20"/>
  <c r="I44" i="20"/>
  <c r="H44" i="20"/>
  <c r="G44" i="20"/>
  <c r="F44" i="20"/>
  <c r="E44" i="20"/>
  <c r="D44" i="20"/>
  <c r="C41" i="20"/>
  <c r="C38" i="20"/>
  <c r="M36" i="20"/>
  <c r="L36" i="20"/>
  <c r="K36" i="20"/>
  <c r="J36" i="20"/>
  <c r="I36" i="20"/>
  <c r="H36" i="20"/>
  <c r="G36" i="20"/>
  <c r="F36" i="20"/>
  <c r="E36" i="20"/>
  <c r="D36" i="20"/>
  <c r="C33" i="20"/>
  <c r="C32" i="20"/>
  <c r="C31" i="20"/>
  <c r="C29" i="20"/>
  <c r="C25" i="20"/>
  <c r="C23" i="20"/>
  <c r="M21" i="20"/>
  <c r="M48" i="20" s="1"/>
  <c r="M52" i="20" s="1"/>
  <c r="L21" i="20"/>
  <c r="K21" i="20"/>
  <c r="J21" i="20"/>
  <c r="I21" i="20"/>
  <c r="H21" i="20"/>
  <c r="G21" i="20"/>
  <c r="F21" i="20"/>
  <c r="E21" i="20"/>
  <c r="D21" i="20"/>
  <c r="C19" i="20"/>
  <c r="C44" i="20" l="1"/>
  <c r="H48" i="20"/>
  <c r="L48" i="20"/>
  <c r="L52" i="20" s="1"/>
  <c r="E48" i="20"/>
  <c r="D48" i="20"/>
  <c r="J48" i="20"/>
  <c r="K48" i="20"/>
  <c r="K52" i="20" s="1"/>
  <c r="G48" i="20"/>
  <c r="I48" i="20"/>
  <c r="F48" i="20"/>
  <c r="C21" i="20"/>
  <c r="C36" i="20"/>
  <c r="J52" i="20" l="1"/>
  <c r="H52" i="20"/>
  <c r="G52" i="20"/>
  <c r="I52" i="20"/>
  <c r="D52" i="20"/>
  <c r="E52" i="20"/>
  <c r="F52" i="20"/>
  <c r="C48" i="20"/>
  <c r="E44" i="2"/>
  <c r="C39" i="2"/>
  <c r="C33" i="2"/>
  <c r="C29" i="2"/>
  <c r="C28" i="2"/>
  <c r="C27" i="2"/>
  <c r="C26" i="2"/>
  <c r="C24" i="2"/>
  <c r="C31" i="2"/>
  <c r="C42" i="2"/>
  <c r="D36" i="2"/>
  <c r="D21" i="2"/>
  <c r="E21" i="2"/>
  <c r="H21" i="2"/>
  <c r="C25" i="2"/>
  <c r="F21" i="2"/>
  <c r="G21" i="2"/>
  <c r="I21" i="2"/>
  <c r="L21" i="2"/>
  <c r="M21" i="2"/>
  <c r="N21" i="2"/>
  <c r="O21" i="2"/>
  <c r="E36" i="2"/>
  <c r="F36" i="2"/>
  <c r="G36" i="2"/>
  <c r="I36" i="2"/>
  <c r="L36" i="2"/>
  <c r="M36" i="2"/>
  <c r="N36" i="2"/>
  <c r="O36" i="2"/>
  <c r="F44" i="2"/>
  <c r="G44" i="2"/>
  <c r="H44" i="2"/>
  <c r="I44" i="2"/>
  <c r="L44" i="2"/>
  <c r="M44" i="2"/>
  <c r="N44" i="2"/>
  <c r="O44" i="2"/>
  <c r="H36" i="2"/>
  <c r="C38" i="2"/>
  <c r="C52" i="20" l="1"/>
  <c r="C44" i="2"/>
  <c r="E48" i="2"/>
  <c r="E52" i="2" s="1"/>
  <c r="G48" i="2"/>
  <c r="G52" i="2" s="1"/>
  <c r="M48" i="2"/>
  <c r="M52" i="2" s="1"/>
  <c r="F48" i="2"/>
  <c r="F52" i="2" s="1"/>
  <c r="L48" i="2"/>
  <c r="L52" i="2" s="1"/>
  <c r="I48" i="2"/>
  <c r="I52" i="2" s="1"/>
  <c r="H48" i="2"/>
  <c r="H52" i="2" s="1"/>
  <c r="C23" i="2"/>
  <c r="D44" i="2"/>
  <c r="D48" i="2" s="1"/>
  <c r="D52" i="2" s="1"/>
  <c r="C32" i="2"/>
  <c r="C36" i="2" l="1"/>
  <c r="C21" i="2"/>
  <c r="C48" i="2" l="1"/>
  <c r="C52" i="2" l="1"/>
</calcChain>
</file>

<file path=xl/sharedStrings.xml><?xml version="1.0" encoding="utf-8"?>
<sst xmlns="http://schemas.openxmlformats.org/spreadsheetml/2006/main" count="194" uniqueCount="95">
  <si>
    <t>ezer Ft-ban</t>
  </si>
  <si>
    <t>Kötelező feladatok</t>
  </si>
  <si>
    <t>Önként vállalt feladatok</t>
  </si>
  <si>
    <t>Költségvetési</t>
  </si>
  <si>
    <t>Munkaadókat</t>
  </si>
  <si>
    <t>kiadások</t>
  </si>
  <si>
    <t>Személyi</t>
  </si>
  <si>
    <t>terhelő</t>
  </si>
  <si>
    <t>Dologi</t>
  </si>
  <si>
    <t>Ellátottak</t>
  </si>
  <si>
    <t>Működési</t>
  </si>
  <si>
    <t>Beruházások</t>
  </si>
  <si>
    <t>Felújítások</t>
  </si>
  <si>
    <t>Felhalmozási</t>
  </si>
  <si>
    <t>összesen</t>
  </si>
  <si>
    <t>juttatások</t>
  </si>
  <si>
    <t>pénzbeli</t>
  </si>
  <si>
    <t>célú</t>
  </si>
  <si>
    <t>felhalmozási</t>
  </si>
  <si>
    <t>Ssz.</t>
  </si>
  <si>
    <t>megnevezése</t>
  </si>
  <si>
    <t>szocilis</t>
  </si>
  <si>
    <t>juttatásai</t>
  </si>
  <si>
    <t>pénzeszköz</t>
  </si>
  <si>
    <t>hozzájárulási</t>
  </si>
  <si>
    <t>adó</t>
  </si>
  <si>
    <t>1.</t>
  </si>
  <si>
    <t xml:space="preserve">Egyesített Bölcsődék </t>
  </si>
  <si>
    <t>Bolyai Utcai Óvoda</t>
  </si>
  <si>
    <t>2.</t>
  </si>
  <si>
    <t>Budakeszi Úti Óvoda</t>
  </si>
  <si>
    <t>3.</t>
  </si>
  <si>
    <t>Hűvösvölgyi Gesztenyéskert Óvoda</t>
  </si>
  <si>
    <t>4.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</si>
  <si>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</si>
  <si>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</si>
  <si>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</si>
  <si>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</si>
  <si>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</si>
  <si>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</si>
  <si>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</si>
  <si>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ÉNO</t>
  </si>
  <si>
    <t xml:space="preserve">I. Gondozási Központ </t>
  </si>
  <si>
    <t xml:space="preserve">II. Gondozási Központ </t>
  </si>
  <si>
    <t xml:space="preserve">III. Gondozási Központ </t>
  </si>
  <si>
    <t>Intézmény Működtetési Központ</t>
  </si>
  <si>
    <t>bevételek</t>
  </si>
  <si>
    <t>Egyéb</t>
  </si>
  <si>
    <t>támogatás</t>
  </si>
  <si>
    <t xml:space="preserve">Felhalmozási </t>
  </si>
  <si>
    <t>államháztartáson</t>
  </si>
  <si>
    <t xml:space="preserve">működési </t>
  </si>
  <si>
    <t>belülről</t>
  </si>
  <si>
    <t>járulékok és</t>
  </si>
  <si>
    <t>átvett</t>
  </si>
  <si>
    <t>maradvány</t>
  </si>
  <si>
    <t>Finanszírozási bevételek</t>
  </si>
  <si>
    <t>költségvetési</t>
  </si>
  <si>
    <t>igénybevétel</t>
  </si>
  <si>
    <t>irányító szervi</t>
  </si>
  <si>
    <t xml:space="preserve">Költségvetési szerv </t>
  </si>
  <si>
    <t>Költségvetési bevételek</t>
  </si>
  <si>
    <t>Működési költségvetési kiadások</t>
  </si>
  <si>
    <t>Felhalmozási költségvetési kiadások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</si>
  <si>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</si>
  <si>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</si>
  <si>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</si>
  <si>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</si>
  <si>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</si>
  <si>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</si>
  <si>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</si>
  <si>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</si>
  <si>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</si>
  <si>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</si>
  <si>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</si>
  <si>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I.</t>
  </si>
  <si>
    <t>II.</t>
  </si>
  <si>
    <t>Egészségügyi Szolgálat</t>
  </si>
  <si>
    <t>A</t>
  </si>
  <si>
    <t>Gazdasági szervezettel nem rendelkező intézmények összesen:</t>
  </si>
  <si>
    <t>Egyesített Bölcsődék összesen:</t>
  </si>
  <si>
    <t>Óvodák összesen:</t>
  </si>
  <si>
    <t>Humán szolgáltatás összesen:</t>
  </si>
  <si>
    <t>Humán szolgáltatás összsen:</t>
  </si>
  <si>
    <t>Mindösszesen: (I.+II.)</t>
  </si>
  <si>
    <t>Virág árok Óvoda</t>
  </si>
  <si>
    <t xml:space="preserve">Budapest Főváros II. Kerületi Önkormányzat irányítása alá tartozó gazdasági szervezettel nem rendelkező költségvetési szervek és az Egészségügyi Szolgálat kiadási előirányzat változásai </t>
  </si>
  <si>
    <t>l</t>
  </si>
  <si>
    <t>Völgy Utcai Óvoda</t>
  </si>
  <si>
    <t>Budapest Főváros II. Kerületi Önkormányzat irányítása alá tartozó gazdasági szervezettel nem rendelkező költségvetési szervek és az Egészségügyi Szolgálat bevételi előirányzat változásai</t>
  </si>
  <si>
    <t>Család és Gyermekjóléti Központ</t>
  </si>
  <si>
    <t>EÜ</t>
  </si>
  <si>
    <t>6. sz. melléklet</t>
  </si>
  <si>
    <t>5. sz. melléklet</t>
  </si>
  <si>
    <t>2018. május 1-től augusztus 31-ig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</si>
</sst>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H_U_F_-;\-* #,##0.00\ _H_U_F_-;_-* &quot;-&quot;??\ _H_U_F_-;_-@_-"/>
    <numFmt numFmtId="164" formatCode="0.0"/>
    <numFmt numFmtId="165" formatCode="_-* #,##0\ _H_U_F_-;\-* #,##0\ _H_U_F_-;_-* &quot;-&quot;??\ _H_U_F_-;_-@_-"/>
    <numFmt numFmtId="166" formatCode="_-* #,##0.000\ _H_U_F_-;\-* #,##0.000\ _H_U_F_-;_-* &quot;-&quot;??\ _H_U_F_-;_-@_-"/>
    <numFmt numFmtId="167" formatCode="_-* #,##0.0000\ _H_U_F_-;\-* #,##0.0000\ _H_U_F_-;_-* &quot;-&quot;??\ _H_U_F_-;_-@_-"/>
  </numFmts>
  <fonts count="3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43" fontId="9" fillId="0" borderId="0" applyFont="0" applyFill="0" applyBorder="0" applyAlignment="0" applyProtection="0"/>
  </cellStyleXfs>
  <cellXfs count="21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2" fillId="0" borderId="0" xfId="0" applyFont="1"/>
    <xf numFmtId="0" fontId="21" fillId="0" borderId="0" xfId="0" applyFont="1" applyAlignment="1"/>
    <xf numFmtId="0" fontId="23" fillId="0" borderId="0" xfId="0" applyFont="1"/>
    <xf numFmtId="0" fontId="22" fillId="0" borderId="10" xfId="0" applyFont="1" applyBorder="1"/>
    <xf numFmtId="0" fontId="21" fillId="0" borderId="11" xfId="0" applyFont="1" applyBorder="1" applyAlignment="1"/>
    <xf numFmtId="0" fontId="22" fillId="0" borderId="15" xfId="0" applyFont="1" applyBorder="1"/>
    <xf numFmtId="0" fontId="22" fillId="0" borderId="17" xfId="0" applyFont="1" applyBorder="1"/>
    <xf numFmtId="0" fontId="22" fillId="0" borderId="17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0" fillId="0" borderId="15" xfId="0" applyFont="1" applyBorder="1"/>
    <xf numFmtId="0" fontId="20" fillId="0" borderId="25" xfId="0" applyFont="1" applyBorder="1"/>
    <xf numFmtId="0" fontId="22" fillId="0" borderId="3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0" fillId="0" borderId="0" xfId="0" applyFont="1" applyBorder="1"/>
    <xf numFmtId="3" fontId="20" fillId="0" borderId="0" xfId="0" applyNumberFormat="1" applyFont="1"/>
    <xf numFmtId="0" fontId="23" fillId="0" borderId="0" xfId="0" applyFont="1" applyBorder="1"/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3" fontId="20" fillId="0" borderId="0" xfId="0" applyNumberFormat="1" applyFont="1" applyBorder="1"/>
    <xf numFmtId="0" fontId="22" fillId="0" borderId="15" xfId="0" applyFont="1" applyBorder="1" applyAlignment="1">
      <alignment horizontal="center"/>
    </xf>
    <xf numFmtId="164" fontId="20" fillId="0" borderId="0" xfId="0" applyNumberFormat="1" applyFont="1"/>
    <xf numFmtId="0" fontId="29" fillId="0" borderId="30" xfId="0" applyFont="1" applyBorder="1"/>
    <xf numFmtId="0" fontId="29" fillId="0" borderId="17" xfId="0" applyFont="1" applyBorder="1"/>
    <xf numFmtId="0" fontId="29" fillId="0" borderId="15" xfId="0" applyFont="1" applyBorder="1"/>
    <xf numFmtId="0" fontId="28" fillId="0" borderId="44" xfId="0" applyFont="1" applyBorder="1" applyAlignment="1">
      <alignment horizontal="center"/>
    </xf>
    <xf numFmtId="0" fontId="30" fillId="0" borderId="17" xfId="0" applyFont="1" applyBorder="1"/>
    <xf numFmtId="0" fontId="30" fillId="0" borderId="17" xfId="0" applyFont="1" applyFill="1" applyBorder="1" applyAlignment="1">
      <alignment horizontal="left"/>
    </xf>
    <xf numFmtId="0" fontId="30" fillId="0" borderId="36" xfId="0" applyFont="1" applyBorder="1"/>
    <xf numFmtId="0" fontId="30" fillId="0" borderId="30" xfId="0" applyFont="1" applyBorder="1"/>
    <xf numFmtId="0" fontId="32" fillId="0" borderId="17" xfId="0" applyFont="1" applyBorder="1"/>
    <xf numFmtId="0" fontId="21" fillId="0" borderId="17" xfId="0" applyFont="1" applyBorder="1" applyAlignment="1"/>
    <xf numFmtId="0" fontId="26" fillId="0" borderId="12" xfId="0" applyFont="1" applyBorder="1" applyAlignment="1">
      <alignment horizontal="center"/>
    </xf>
    <xf numFmtId="0" fontId="20" fillId="0" borderId="44" xfId="0" applyFont="1" applyBorder="1"/>
    <xf numFmtId="0" fontId="26" fillId="0" borderId="4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9" fillId="0" borderId="30" xfId="0" applyFont="1" applyFill="1" applyBorder="1"/>
    <xf numFmtId="0" fontId="20" fillId="0" borderId="36" xfId="0" applyFont="1" applyBorder="1"/>
    <xf numFmtId="0" fontId="22" fillId="0" borderId="17" xfId="0" applyFont="1" applyFill="1" applyBorder="1"/>
    <xf numFmtId="0" fontId="29" fillId="0" borderId="40" xfId="0" applyFont="1" applyBorder="1" applyAlignment="1">
      <alignment wrapText="1"/>
    </xf>
    <xf numFmtId="3" fontId="22" fillId="0" borderId="30" xfId="0" applyNumberFormat="1" applyFont="1" applyBorder="1"/>
    <xf numFmtId="3" fontId="22" fillId="0" borderId="17" xfId="0" applyNumberFormat="1" applyFont="1" applyBorder="1"/>
    <xf numFmtId="3" fontId="36" fillId="0" borderId="40" xfId="0" applyNumberFormat="1" applyFont="1" applyBorder="1"/>
    <xf numFmtId="0" fontId="29" fillId="0" borderId="12" xfId="0" applyFont="1" applyBorder="1" applyAlignment="1">
      <alignment horizontal="center" wrapText="1"/>
    </xf>
    <xf numFmtId="3" fontId="37" fillId="0" borderId="0" xfId="0" applyNumberFormat="1" applyFont="1"/>
    <xf numFmtId="0" fontId="20" fillId="0" borderId="0" xfId="0" applyFont="1" applyAlignment="1">
      <alignment horizontal="right"/>
    </xf>
    <xf numFmtId="3" fontId="33" fillId="0" borderId="0" xfId="0" applyNumberFormat="1" applyFont="1"/>
    <xf numFmtId="166" fontId="20" fillId="0" borderId="0" xfId="42" applyNumberFormat="1" applyFont="1"/>
    <xf numFmtId="166" fontId="20" fillId="0" borderId="0" xfId="42" applyNumberFormat="1" applyFont="1" applyAlignment="1">
      <alignment horizontal="right"/>
    </xf>
    <xf numFmtId="166" fontId="21" fillId="0" borderId="0" xfId="42" applyNumberFormat="1" applyFont="1" applyAlignment="1"/>
    <xf numFmtId="166" fontId="24" fillId="0" borderId="0" xfId="42" applyNumberFormat="1" applyFont="1" applyAlignment="1"/>
    <xf numFmtId="166" fontId="21" fillId="0" borderId="0" xfId="42" applyNumberFormat="1" applyFont="1" applyAlignment="1">
      <alignment horizontal="center"/>
    </xf>
    <xf numFmtId="166" fontId="25" fillId="0" borderId="0" xfId="42" applyNumberFormat="1" applyFont="1" applyAlignment="1">
      <alignment horizontal="right"/>
    </xf>
    <xf numFmtId="166" fontId="21" fillId="0" borderId="11" xfId="42" applyNumberFormat="1" applyFont="1" applyBorder="1" applyAlignment="1"/>
    <xf numFmtId="166" fontId="26" fillId="0" borderId="12" xfId="42" applyNumberFormat="1" applyFont="1" applyBorder="1"/>
    <xf numFmtId="166" fontId="26" fillId="0" borderId="13" xfId="42" applyNumberFormat="1" applyFont="1" applyBorder="1"/>
    <xf numFmtId="166" fontId="22" fillId="0" borderId="17" xfId="42" applyNumberFormat="1" applyFont="1" applyBorder="1"/>
    <xf numFmtId="166" fontId="21" fillId="0" borderId="15" xfId="42" applyNumberFormat="1" applyFont="1" applyBorder="1" applyAlignment="1"/>
    <xf numFmtId="166" fontId="21" fillId="0" borderId="18" xfId="42" applyNumberFormat="1" applyFont="1" applyBorder="1" applyAlignment="1"/>
    <xf numFmtId="166" fontId="22" fillId="0" borderId="17" xfId="42" applyNumberFormat="1" applyFont="1" applyBorder="1" applyAlignment="1">
      <alignment horizontal="center"/>
    </xf>
    <xf numFmtId="166" fontId="22" fillId="0" borderId="0" xfId="42" applyNumberFormat="1" applyFont="1" applyBorder="1"/>
    <xf numFmtId="166" fontId="22" fillId="0" borderId="20" xfId="42" applyNumberFormat="1" applyFont="1" applyBorder="1" applyAlignment="1">
      <alignment horizontal="center"/>
    </xf>
    <xf numFmtId="166" fontId="22" fillId="0" borderId="16" xfId="42" applyNumberFormat="1" applyFont="1" applyBorder="1" applyAlignment="1">
      <alignment horizontal="center"/>
    </xf>
    <xf numFmtId="166" fontId="22" fillId="0" borderId="10" xfId="42" applyNumberFormat="1" applyFont="1" applyBorder="1"/>
    <xf numFmtId="166" fontId="22" fillId="0" borderId="47" xfId="42" applyNumberFormat="1" applyFont="1" applyBorder="1"/>
    <xf numFmtId="166" fontId="22" fillId="0" borderId="18" xfId="42" applyNumberFormat="1" applyFont="1" applyBorder="1" applyAlignment="1">
      <alignment horizontal="center"/>
    </xf>
    <xf numFmtId="166" fontId="22" fillId="0" borderId="15" xfId="42" applyNumberFormat="1" applyFont="1" applyFill="1" applyBorder="1" applyAlignment="1">
      <alignment horizontal="center"/>
    </xf>
    <xf numFmtId="166" fontId="22" fillId="0" borderId="21" xfId="42" applyNumberFormat="1" applyFont="1" applyFill="1" applyBorder="1" applyAlignment="1">
      <alignment horizontal="center"/>
    </xf>
    <xf numFmtId="166" fontId="22" fillId="0" borderId="0" xfId="42" applyNumberFormat="1" applyFont="1" applyBorder="1" applyAlignment="1">
      <alignment horizontal="center"/>
    </xf>
    <xf numFmtId="166" fontId="22" fillId="0" borderId="20" xfId="42" applyNumberFormat="1" applyFont="1" applyFill="1" applyBorder="1" applyAlignment="1">
      <alignment horizontal="center"/>
    </xf>
    <xf numFmtId="166" fontId="22" fillId="0" borderId="21" xfId="42" applyNumberFormat="1" applyFont="1" applyBorder="1" applyAlignment="1">
      <alignment horizontal="center"/>
    </xf>
    <xf numFmtId="166" fontId="29" fillId="0" borderId="17" xfId="42" applyNumberFormat="1" applyFont="1" applyBorder="1" applyAlignment="1">
      <alignment horizontal="center"/>
    </xf>
    <xf numFmtId="166" fontId="22" fillId="0" borderId="15" xfId="42" applyNumberFormat="1" applyFont="1" applyBorder="1"/>
    <xf numFmtId="166" fontId="22" fillId="0" borderId="20" xfId="42" applyNumberFormat="1" applyFont="1" applyBorder="1"/>
    <xf numFmtId="166" fontId="20" fillId="0" borderId="15" xfId="42" applyNumberFormat="1" applyFont="1" applyBorder="1"/>
    <xf numFmtId="166" fontId="20" fillId="0" borderId="20" xfId="42" applyNumberFormat="1" applyFont="1" applyBorder="1"/>
    <xf numFmtId="166" fontId="28" fillId="0" borderId="17" xfId="42" applyNumberFormat="1" applyFont="1" applyBorder="1" applyAlignment="1">
      <alignment horizontal="center"/>
    </xf>
    <xf numFmtId="166" fontId="22" fillId="0" borderId="16" xfId="42" applyNumberFormat="1" applyFont="1" applyBorder="1"/>
    <xf numFmtId="166" fontId="20" fillId="0" borderId="25" xfId="42" applyNumberFormat="1" applyFont="1" applyBorder="1"/>
    <xf numFmtId="166" fontId="20" fillId="0" borderId="26" xfId="42" applyNumberFormat="1" applyFont="1" applyBorder="1"/>
    <xf numFmtId="166" fontId="22" fillId="0" borderId="21" xfId="42" applyNumberFormat="1" applyFont="1" applyBorder="1"/>
    <xf numFmtId="166" fontId="22" fillId="0" borderId="27" xfId="42" applyNumberFormat="1" applyFont="1" applyBorder="1"/>
    <xf numFmtId="166" fontId="22" fillId="0" borderId="36" xfId="42" applyNumberFormat="1" applyFont="1" applyBorder="1" applyAlignment="1">
      <alignment horizontal="center"/>
    </xf>
    <xf numFmtId="166" fontId="22" fillId="0" borderId="19" xfId="42" applyNumberFormat="1" applyFont="1" applyBorder="1"/>
    <xf numFmtId="166" fontId="22" fillId="0" borderId="43" xfId="42" applyNumberFormat="1" applyFont="1" applyBorder="1"/>
    <xf numFmtId="166" fontId="22" fillId="0" borderId="25" xfId="42" applyNumberFormat="1" applyFont="1" applyBorder="1"/>
    <xf numFmtId="166" fontId="19" fillId="24" borderId="0" xfId="42" applyNumberFormat="1" applyFont="1" applyFill="1" applyBorder="1" applyAlignment="1">
      <alignment horizontal="right"/>
    </xf>
    <xf numFmtId="166" fontId="33" fillId="0" borderId="0" xfId="42" applyNumberFormat="1" applyFont="1" applyAlignment="1"/>
    <xf numFmtId="166" fontId="21" fillId="0" borderId="0" xfId="42" applyNumberFormat="1" applyFont="1" applyBorder="1" applyAlignment="1"/>
    <xf numFmtId="166" fontId="20" fillId="0" borderId="0" xfId="42" applyNumberFormat="1" applyFont="1" applyBorder="1"/>
    <xf numFmtId="166" fontId="21" fillId="0" borderId="17" xfId="42" applyNumberFormat="1" applyFont="1" applyBorder="1" applyAlignment="1"/>
    <xf numFmtId="166" fontId="26" fillId="0" borderId="15" xfId="42" applyNumberFormat="1" applyFont="1" applyBorder="1" applyAlignment="1">
      <alignment horizontal="center"/>
    </xf>
    <xf numFmtId="166" fontId="26" fillId="0" borderId="18" xfId="42" applyNumberFormat="1" applyFont="1" applyBorder="1" applyAlignment="1">
      <alignment horizontal="center"/>
    </xf>
    <xf numFmtId="166" fontId="20" fillId="0" borderId="16" xfId="42" applyNumberFormat="1" applyFont="1" applyBorder="1"/>
    <xf numFmtId="166" fontId="20" fillId="0" borderId="46" xfId="42" applyNumberFormat="1" applyFont="1" applyBorder="1"/>
    <xf numFmtId="166" fontId="20" fillId="0" borderId="18" xfId="42" applyNumberFormat="1" applyFont="1" applyBorder="1"/>
    <xf numFmtId="166" fontId="34" fillId="0" borderId="10" xfId="42" applyNumberFormat="1" applyFont="1" applyBorder="1" applyAlignment="1">
      <alignment horizontal="center"/>
    </xf>
    <xf numFmtId="166" fontId="22" fillId="0" borderId="18" xfId="42" applyNumberFormat="1" applyFont="1" applyBorder="1"/>
    <xf numFmtId="166" fontId="22" fillId="0" borderId="0" xfId="42" applyNumberFormat="1" applyFont="1" applyFill="1" applyBorder="1" applyAlignment="1">
      <alignment horizontal="center"/>
    </xf>
    <xf numFmtId="166" fontId="22" fillId="0" borderId="16" xfId="42" applyNumberFormat="1" applyFont="1" applyFill="1" applyBorder="1" applyAlignment="1">
      <alignment horizontal="center"/>
    </xf>
    <xf numFmtId="166" fontId="31" fillId="0" borderId="15" xfId="42" applyNumberFormat="1" applyFont="1" applyFill="1" applyBorder="1" applyAlignment="1">
      <alignment horizontal="center"/>
    </xf>
    <xf numFmtId="166" fontId="22" fillId="0" borderId="15" xfId="42" applyNumberFormat="1" applyFont="1" applyBorder="1" applyAlignment="1">
      <alignment horizontal="center"/>
    </xf>
    <xf numFmtId="166" fontId="34" fillId="0" borderId="15" xfId="42" applyNumberFormat="1" applyFont="1" applyFill="1" applyBorder="1" applyAlignment="1">
      <alignment horizontal="center"/>
    </xf>
    <xf numFmtId="166" fontId="22" fillId="0" borderId="51" xfId="42" applyNumberFormat="1" applyFont="1" applyBorder="1"/>
    <xf numFmtId="167" fontId="20" fillId="0" borderId="0" xfId="42" applyNumberFormat="1" applyFont="1" applyBorder="1"/>
    <xf numFmtId="165" fontId="22" fillId="0" borderId="30" xfId="42" applyNumberFormat="1" applyFont="1" applyBorder="1" applyAlignment="1">
      <alignment horizontal="center"/>
    </xf>
    <xf numFmtId="165" fontId="22" fillId="0" borderId="31" xfId="42" applyNumberFormat="1" applyFont="1" applyBorder="1" applyAlignment="1">
      <alignment horizontal="center"/>
    </xf>
    <xf numFmtId="165" fontId="22" fillId="0" borderId="32" xfId="42" applyNumberFormat="1" applyFont="1" applyBorder="1" applyAlignment="1">
      <alignment horizontal="center"/>
    </xf>
    <xf numFmtId="165" fontId="22" fillId="0" borderId="33" xfId="42" applyNumberFormat="1" applyFont="1" applyBorder="1" applyAlignment="1">
      <alignment horizontal="center"/>
    </xf>
    <xf numFmtId="165" fontId="22" fillId="0" borderId="28" xfId="42" applyNumberFormat="1" applyFont="1" applyBorder="1" applyAlignment="1">
      <alignment horizontal="center"/>
    </xf>
    <xf numFmtId="165" fontId="22" fillId="0" borderId="26" xfId="42" applyNumberFormat="1" applyFont="1" applyBorder="1" applyAlignment="1">
      <alignment horizontal="center"/>
    </xf>
    <xf numFmtId="165" fontId="22" fillId="0" borderId="37" xfId="42" applyNumberFormat="1" applyFont="1" applyBorder="1" applyAlignment="1">
      <alignment horizontal="center"/>
    </xf>
    <xf numFmtId="165" fontId="22" fillId="0" borderId="34" xfId="42" applyNumberFormat="1" applyFont="1" applyBorder="1" applyAlignment="1">
      <alignment horizontal="center"/>
    </xf>
    <xf numFmtId="165" fontId="22" fillId="0" borderId="27" xfId="42" applyNumberFormat="1" applyFont="1" applyBorder="1" applyAlignment="1">
      <alignment horizontal="center"/>
    </xf>
    <xf numFmtId="0" fontId="30" fillId="0" borderId="17" xfId="0" applyFont="1" applyFill="1" applyBorder="1"/>
    <xf numFmtId="165" fontId="22" fillId="0" borderId="17" xfId="42" applyNumberFormat="1" applyFont="1" applyFill="1" applyBorder="1" applyAlignment="1">
      <alignment horizontal="right"/>
    </xf>
    <xf numFmtId="165" fontId="22" fillId="0" borderId="0" xfId="42" applyNumberFormat="1" applyFont="1" applyFill="1" applyBorder="1"/>
    <xf numFmtId="165" fontId="22" fillId="0" borderId="15" xfId="42" applyNumberFormat="1" applyFont="1" applyFill="1" applyBorder="1"/>
    <xf numFmtId="165" fontId="22" fillId="0" borderId="19" xfId="42" applyNumberFormat="1" applyFont="1" applyBorder="1"/>
    <xf numFmtId="165" fontId="22" fillId="0" borderId="15" xfId="42" applyNumberFormat="1" applyFont="1" applyBorder="1"/>
    <xf numFmtId="165" fontId="29" fillId="0" borderId="30" xfId="42" applyNumberFormat="1" applyFont="1" applyFill="1" applyBorder="1" applyAlignment="1">
      <alignment horizontal="right"/>
    </xf>
    <xf numFmtId="165" fontId="29" fillId="0" borderId="29" xfId="42" applyNumberFormat="1" applyFont="1" applyFill="1" applyBorder="1"/>
    <xf numFmtId="165" fontId="29" fillId="0" borderId="32" xfId="42" applyNumberFormat="1" applyFont="1" applyFill="1" applyBorder="1"/>
    <xf numFmtId="165" fontId="29" fillId="0" borderId="33" xfId="42" applyNumberFormat="1" applyFont="1" applyFill="1" applyBorder="1"/>
    <xf numFmtId="165" fontId="29" fillId="0" borderId="34" xfId="42" applyNumberFormat="1" applyFont="1" applyFill="1" applyBorder="1"/>
    <xf numFmtId="165" fontId="29" fillId="0" borderId="35" xfId="42" applyNumberFormat="1" applyFont="1" applyBorder="1"/>
    <xf numFmtId="165" fontId="29" fillId="0" borderId="34" xfId="42" applyNumberFormat="1" applyFont="1" applyBorder="1"/>
    <xf numFmtId="165" fontId="29" fillId="0" borderId="37" xfId="42" applyNumberFormat="1" applyFont="1" applyBorder="1"/>
    <xf numFmtId="165" fontId="22" fillId="0" borderId="36" xfId="42" applyNumberFormat="1" applyFont="1" applyFill="1" applyBorder="1" applyAlignment="1">
      <alignment horizontal="right"/>
    </xf>
    <xf numFmtId="165" fontId="22" fillId="0" borderId="17" xfId="42" applyNumberFormat="1" applyFont="1" applyBorder="1" applyAlignment="1">
      <alignment horizontal="right"/>
    </xf>
    <xf numFmtId="165" fontId="22" fillId="0" borderId="0" xfId="42" applyNumberFormat="1" applyFont="1" applyBorder="1"/>
    <xf numFmtId="165" fontId="29" fillId="0" borderId="30" xfId="42" applyNumberFormat="1" applyFont="1" applyBorder="1" applyAlignment="1">
      <alignment horizontal="right"/>
    </xf>
    <xf numFmtId="165" fontId="29" fillId="0" borderId="29" xfId="42" applyNumberFormat="1" applyFont="1" applyBorder="1" applyAlignment="1">
      <alignment horizontal="right"/>
    </xf>
    <xf numFmtId="165" fontId="29" fillId="0" borderId="32" xfId="42" applyNumberFormat="1" applyFont="1" applyBorder="1" applyAlignment="1">
      <alignment horizontal="right"/>
    </xf>
    <xf numFmtId="165" fontId="29" fillId="0" borderId="33" xfId="42" applyNumberFormat="1" applyFont="1" applyBorder="1" applyAlignment="1">
      <alignment horizontal="right"/>
    </xf>
    <xf numFmtId="165" fontId="29" fillId="0" borderId="34" xfId="42" applyNumberFormat="1" applyFont="1" applyBorder="1" applyAlignment="1">
      <alignment horizontal="right"/>
    </xf>
    <xf numFmtId="165" fontId="29" fillId="0" borderId="35" xfId="42" applyNumberFormat="1" applyFont="1" applyBorder="1" applyAlignment="1">
      <alignment horizontal="right"/>
    </xf>
    <xf numFmtId="165" fontId="29" fillId="0" borderId="37" xfId="42" applyNumberFormat="1" applyFont="1" applyBorder="1" applyAlignment="1">
      <alignment horizontal="right"/>
    </xf>
    <xf numFmtId="165" fontId="22" fillId="0" borderId="15" xfId="42" applyNumberFormat="1" applyFont="1" applyBorder="1" applyAlignment="1">
      <alignment horizontal="right"/>
    </xf>
    <xf numFmtId="165" fontId="22" fillId="0" borderId="0" xfId="42" applyNumberFormat="1" applyFont="1" applyBorder="1" applyAlignment="1">
      <alignment horizontal="right"/>
    </xf>
    <xf numFmtId="165" fontId="29" fillId="0" borderId="17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165" fontId="29" fillId="0" borderId="15" xfId="42" applyNumberFormat="1" applyFont="1" applyBorder="1" applyAlignment="1">
      <alignment horizontal="right"/>
    </xf>
    <xf numFmtId="165" fontId="29" fillId="0" borderId="19" xfId="42" applyNumberFormat="1" applyFont="1" applyBorder="1" applyAlignment="1">
      <alignment horizontal="right"/>
    </xf>
    <xf numFmtId="165" fontId="31" fillId="0" borderId="30" xfId="42" applyNumberFormat="1" applyFont="1" applyFill="1" applyBorder="1" applyAlignment="1">
      <alignment horizontal="right"/>
    </xf>
    <xf numFmtId="165" fontId="22" fillId="0" borderId="29" xfId="42" applyNumberFormat="1" applyFont="1" applyFill="1" applyBorder="1" applyAlignment="1">
      <alignment horizontal="right"/>
    </xf>
    <xf numFmtId="165" fontId="22" fillId="0" borderId="33" xfId="42" applyNumberFormat="1" applyFont="1" applyBorder="1" applyAlignment="1">
      <alignment horizontal="right"/>
    </xf>
    <xf numFmtId="165" fontId="31" fillId="0" borderId="33" xfId="42" applyNumberFormat="1" applyFont="1" applyBorder="1" applyAlignment="1">
      <alignment horizontal="right"/>
    </xf>
    <xf numFmtId="165" fontId="31" fillId="0" borderId="34" xfId="42" applyNumberFormat="1" applyFont="1" applyBorder="1" applyAlignment="1">
      <alignment horizontal="right"/>
    </xf>
    <xf numFmtId="165" fontId="29" fillId="0" borderId="40" xfId="42" applyNumberFormat="1" applyFont="1" applyBorder="1" applyAlignment="1">
      <alignment horizontal="right"/>
    </xf>
    <xf numFmtId="165" fontId="29" fillId="0" borderId="41" xfId="42" applyNumberFormat="1" applyFont="1" applyBorder="1" applyAlignment="1">
      <alignment horizontal="right"/>
    </xf>
    <xf numFmtId="165" fontId="29" fillId="0" borderId="45" xfId="42" applyNumberFormat="1" applyFont="1" applyBorder="1" applyAlignment="1">
      <alignment horizontal="right"/>
    </xf>
    <xf numFmtId="165" fontId="29" fillId="0" borderId="12" xfId="42" applyNumberFormat="1" applyFont="1" applyBorder="1" applyAlignment="1">
      <alignment horizontal="right"/>
    </xf>
    <xf numFmtId="165" fontId="29" fillId="0" borderId="39" xfId="42" applyNumberFormat="1" applyFont="1" applyBorder="1" applyAlignment="1">
      <alignment horizontal="right"/>
    </xf>
    <xf numFmtId="165" fontId="22" fillId="0" borderId="44" xfId="42" applyNumberFormat="1" applyFont="1" applyBorder="1" applyAlignment="1">
      <alignment horizontal="right"/>
    </xf>
    <xf numFmtId="165" fontId="22" fillId="0" borderId="43" xfId="42" applyNumberFormat="1" applyFont="1" applyBorder="1"/>
    <xf numFmtId="165" fontId="22" fillId="0" borderId="25" xfId="42" applyNumberFormat="1" applyFont="1" applyBorder="1"/>
    <xf numFmtId="165" fontId="22" fillId="0" borderId="48" xfId="42" applyNumberFormat="1" applyFont="1" applyBorder="1"/>
    <xf numFmtId="165" fontId="31" fillId="0" borderId="30" xfId="42" applyNumberFormat="1" applyFont="1" applyBorder="1" applyAlignment="1">
      <alignment horizontal="right"/>
    </xf>
    <xf numFmtId="165" fontId="22" fillId="0" borderId="28" xfId="42" applyNumberFormat="1" applyFont="1" applyBorder="1"/>
    <xf numFmtId="165" fontId="22" fillId="0" borderId="29" xfId="42" applyNumberFormat="1" applyFont="1" applyBorder="1"/>
    <xf numFmtId="165" fontId="22" fillId="0" borderId="32" xfId="42" applyNumberFormat="1" applyFont="1" applyBorder="1"/>
    <xf numFmtId="165" fontId="22" fillId="0" borderId="37" xfId="42" applyNumberFormat="1" applyFont="1" applyBorder="1"/>
    <xf numFmtId="165" fontId="22" fillId="0" borderId="34" xfId="42" applyNumberFormat="1" applyFont="1" applyBorder="1"/>
    <xf numFmtId="165" fontId="22" fillId="0" borderId="33" xfId="42" applyNumberFormat="1" applyFont="1" applyBorder="1"/>
    <xf numFmtId="165" fontId="36" fillId="0" borderId="40" xfId="42" applyNumberFormat="1" applyFont="1" applyBorder="1" applyAlignment="1">
      <alignment horizontal="right"/>
    </xf>
    <xf numFmtId="165" fontId="29" fillId="0" borderId="41" xfId="42" applyNumberFormat="1" applyFont="1" applyBorder="1"/>
    <xf numFmtId="165" fontId="29" fillId="0" borderId="42" xfId="42" applyNumberFormat="1" applyFont="1" applyBorder="1"/>
    <xf numFmtId="165" fontId="36" fillId="0" borderId="42" xfId="42" applyNumberFormat="1" applyFont="1" applyBorder="1"/>
    <xf numFmtId="165" fontId="36" fillId="0" borderId="12" xfId="42" applyNumberFormat="1" applyFont="1" applyBorder="1"/>
    <xf numFmtId="165" fontId="36" fillId="0" borderId="39" xfId="42" applyNumberFormat="1" applyFont="1" applyBorder="1"/>
    <xf numFmtId="165" fontId="22" fillId="0" borderId="52" xfId="42" applyNumberFormat="1" applyFont="1" applyBorder="1"/>
    <xf numFmtId="165" fontId="22" fillId="0" borderId="36" xfId="42" applyNumberFormat="1" applyFont="1" applyBorder="1" applyAlignment="1">
      <alignment horizontal="right"/>
    </xf>
    <xf numFmtId="165" fontId="29" fillId="0" borderId="52" xfId="42" applyNumberFormat="1" applyFont="1" applyBorder="1" applyAlignment="1">
      <alignment horizontal="right"/>
    </xf>
    <xf numFmtId="165" fontId="22" fillId="0" borderId="30" xfId="42" applyNumberFormat="1" applyFont="1" applyBorder="1" applyAlignment="1">
      <alignment horizontal="right"/>
    </xf>
    <xf numFmtId="165" fontId="22" fillId="0" borderId="29" xfId="42" applyNumberFormat="1" applyFont="1" applyBorder="1" applyAlignment="1">
      <alignment horizontal="right"/>
    </xf>
    <xf numFmtId="165" fontId="22" fillId="0" borderId="32" xfId="42" applyNumberFormat="1" applyFont="1" applyBorder="1" applyAlignment="1">
      <alignment horizontal="right"/>
    </xf>
    <xf numFmtId="165" fontId="31" fillId="0" borderId="35" xfId="42" applyNumberFormat="1" applyFont="1" applyBorder="1" applyAlignment="1">
      <alignment horizontal="right"/>
    </xf>
    <xf numFmtId="165" fontId="22" fillId="0" borderId="35" xfId="42" applyNumberFormat="1" applyFont="1" applyBorder="1" applyAlignment="1">
      <alignment horizontal="right"/>
    </xf>
    <xf numFmtId="165" fontId="31" fillId="0" borderId="37" xfId="42" applyNumberFormat="1" applyFont="1" applyBorder="1" applyAlignment="1">
      <alignment horizontal="right"/>
    </xf>
    <xf numFmtId="165" fontId="36" fillId="0" borderId="41" xfId="42" applyNumberFormat="1" applyFont="1" applyBorder="1"/>
    <xf numFmtId="165" fontId="22" fillId="0" borderId="42" xfId="42" applyNumberFormat="1" applyFont="1" applyBorder="1"/>
    <xf numFmtId="165" fontId="22" fillId="0" borderId="13" xfId="42" applyNumberFormat="1" applyFont="1" applyBorder="1"/>
    <xf numFmtId="165" fontId="22" fillId="0" borderId="12" xfId="42" applyNumberFormat="1" applyFont="1" applyBorder="1"/>
    <xf numFmtId="165" fontId="22" fillId="0" borderId="45" xfId="42" applyNumberFormat="1" applyFont="1" applyBorder="1"/>
    <xf numFmtId="165" fontId="22" fillId="0" borderId="39" xfId="42" applyNumberFormat="1" applyFont="1" applyBorder="1"/>
    <xf numFmtId="165" fontId="22" fillId="0" borderId="49" xfId="42" applyNumberFormat="1" applyFont="1" applyBorder="1"/>
    <xf numFmtId="165" fontId="22" fillId="0" borderId="53" xfId="42" applyNumberFormat="1" applyFont="1" applyBorder="1"/>
    <xf numFmtId="165" fontId="22" fillId="0" borderId="35" xfId="42" applyNumberFormat="1" applyFont="1" applyBorder="1"/>
    <xf numFmtId="165" fontId="22" fillId="0" borderId="38" xfId="42" applyNumberFormat="1" applyFont="1" applyBorder="1"/>
    <xf numFmtId="165" fontId="22" fillId="0" borderId="50" xfId="42" applyNumberFormat="1" applyFont="1" applyBorder="1"/>
    <xf numFmtId="165" fontId="36" fillId="0" borderId="12" xfId="42" applyNumberFormat="1" applyFont="1" applyBorder="1" applyAlignment="1">
      <alignment horizontal="right"/>
    </xf>
    <xf numFmtId="165" fontId="36" fillId="0" borderId="42" xfId="42" applyNumberFormat="1" applyFont="1" applyBorder="1" applyAlignment="1">
      <alignment horizontal="right"/>
    </xf>
    <xf numFmtId="165" fontId="36" fillId="0" borderId="39" xfId="42" applyNumberFormat="1" applyFont="1" applyBorder="1" applyAlignment="1">
      <alignment horizontal="right"/>
    </xf>
    <xf numFmtId="166" fontId="20" fillId="0" borderId="0" xfId="42" applyNumberFormat="1" applyFont="1" applyAlignment="1">
      <alignment horizontal="right"/>
    </xf>
    <xf numFmtId="0" fontId="26" fillId="0" borderId="0" xfId="0" applyFont="1" applyAlignment="1">
      <alignment horizontal="center"/>
    </xf>
    <xf numFmtId="166" fontId="26" fillId="0" borderId="41" xfId="42" applyNumberFormat="1" applyFont="1" applyBorder="1" applyAlignment="1">
      <alignment horizontal="center"/>
    </xf>
    <xf numFmtId="166" fontId="26" fillId="0" borderId="13" xfId="42" applyNumberFormat="1" applyFont="1" applyBorder="1" applyAlignment="1">
      <alignment horizontal="center"/>
    </xf>
    <xf numFmtId="166" fontId="24" fillId="0" borderId="23" xfId="42" applyNumberFormat="1" applyFont="1" applyBorder="1" applyAlignment="1">
      <alignment horizontal="center"/>
    </xf>
    <xf numFmtId="166" fontId="24" fillId="0" borderId="22" xfId="42" applyNumberFormat="1" applyFont="1" applyBorder="1" applyAlignment="1">
      <alignment horizontal="center"/>
    </xf>
    <xf numFmtId="166" fontId="24" fillId="0" borderId="24" xfId="42" applyNumberFormat="1" applyFont="1" applyBorder="1" applyAlignment="1">
      <alignment horizontal="center"/>
    </xf>
    <xf numFmtId="166" fontId="26" fillId="0" borderId="14" xfId="42" applyNumberFormat="1" applyFont="1" applyBorder="1" applyAlignment="1">
      <alignment horizontal="center"/>
    </xf>
    <xf numFmtId="166" fontId="26" fillId="0" borderId="12" xfId="42" applyNumberFormat="1" applyFont="1" applyBorder="1" applyAlignment="1">
      <alignment horizontal="center"/>
    </xf>
    <xf numFmtId="166" fontId="35" fillId="0" borderId="12" xfId="42" applyNumberFormat="1" applyFont="1" applyBorder="1" applyAlignment="1">
      <alignment horizontal="center"/>
    </xf>
    <xf numFmtId="166" fontId="35" fillId="0" borderId="41" xfId="42" applyNumberFormat="1" applyFont="1" applyBorder="1" applyAlignment="1">
      <alignment horizontal="center"/>
    </xf>
    <xf numFmtId="166" fontId="35" fillId="0" borderId="13" xfId="42" applyNumberFormat="1" applyFont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42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110" zoomScaleNormal="110" workbookViewId="0">
      <pane xSplit="3" ySplit="17" topLeftCell="D18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L1" sqref="L1:M1"/>
    </sheetView>
  </sheetViews>
  <sheetFormatPr defaultRowHeight="12.75" x14ac:dyDescent="0.2"/>
  <cols>
    <col min="1" max="1" width="3.85546875" style="1" customWidth="1"/>
    <col min="2" max="2" width="30.7109375" style="1" customWidth="1"/>
    <col min="3" max="3" width="14.5703125" style="54" bestFit="1" customWidth="1"/>
    <col min="4" max="4" width="17.28515625" style="54" bestFit="1" customWidth="1"/>
    <col min="5" max="5" width="16.5703125" style="54" bestFit="1" customWidth="1"/>
    <col min="6" max="6" width="15" style="54" bestFit="1" customWidth="1"/>
    <col min="7" max="7" width="9.5703125" style="54" bestFit="1" customWidth="1"/>
    <col min="8" max="8" width="12.7109375" style="54" bestFit="1" customWidth="1"/>
    <col min="9" max="10" width="13.7109375" style="54" bestFit="1" customWidth="1"/>
    <col min="11" max="11" width="10.42578125" style="54" bestFit="1" customWidth="1"/>
    <col min="12" max="12" width="23" style="54" bestFit="1" customWidth="1"/>
    <col min="13" max="13" width="10.7109375" style="54" customWidth="1"/>
    <col min="14" max="14" width="8.7109375" style="1" customWidth="1"/>
    <col min="15" max="16" width="7.7109375" style="1" customWidth="1"/>
    <col min="17" max="16384" width="9.140625" style="1"/>
  </cols>
  <sheetData>
    <row r="1" spans="1:15" x14ac:dyDescent="0.2">
      <c r="L1" s="201" t="s">
        <v>93</v>
      </c>
      <c r="M1" s="201"/>
    </row>
    <row r="2" spans="1:15" x14ac:dyDescent="0.2">
      <c r="M2" s="55"/>
    </row>
    <row r="3" spans="1:15" x14ac:dyDescent="0.2">
      <c r="M3" s="55"/>
    </row>
    <row r="4" spans="1:15" x14ac:dyDescent="0.2">
      <c r="A4" s="202" t="s">
        <v>86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idden="1" x14ac:dyDescent="0.2">
      <c r="A5" s="3"/>
      <c r="B5" s="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4"/>
      <c r="O5" s="5"/>
    </row>
    <row r="6" spans="1:15" x14ac:dyDescent="0.2">
      <c r="A6" s="202" t="s">
        <v>94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4"/>
      <c r="O6" s="5"/>
    </row>
    <row r="7" spans="1:15" x14ac:dyDescent="0.2">
      <c r="A7" s="3"/>
      <c r="B7" s="4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4"/>
      <c r="O7" s="5"/>
    </row>
    <row r="8" spans="1:15" ht="13.5" thickBot="1" x14ac:dyDescent="0.25">
      <c r="A8" s="3"/>
      <c r="B8" s="4"/>
      <c r="C8" s="56"/>
      <c r="D8" s="56"/>
      <c r="E8" s="58"/>
      <c r="F8" s="56"/>
      <c r="G8" s="56"/>
      <c r="H8" s="56"/>
      <c r="I8" s="56"/>
      <c r="J8" s="56"/>
      <c r="K8" s="56"/>
      <c r="L8" s="56"/>
      <c r="M8" s="59" t="s">
        <v>0</v>
      </c>
      <c r="N8" s="4"/>
      <c r="O8" s="5"/>
    </row>
    <row r="9" spans="1:15" ht="13.5" thickBot="1" x14ac:dyDescent="0.25">
      <c r="A9" s="6"/>
      <c r="B9" s="7"/>
      <c r="C9" s="60"/>
      <c r="D9" s="203" t="s">
        <v>1</v>
      </c>
      <c r="E9" s="203"/>
      <c r="F9" s="203"/>
      <c r="G9" s="203"/>
      <c r="H9" s="203"/>
      <c r="I9" s="203"/>
      <c r="J9" s="203"/>
      <c r="K9" s="204"/>
      <c r="L9" s="61" t="s">
        <v>2</v>
      </c>
      <c r="M9" s="62"/>
    </row>
    <row r="10" spans="1:15" ht="13.5" thickBot="1" x14ac:dyDescent="0.25">
      <c r="A10" s="8"/>
      <c r="B10" s="9"/>
      <c r="C10" s="63"/>
      <c r="D10" s="205" t="s">
        <v>62</v>
      </c>
      <c r="E10" s="205"/>
      <c r="F10" s="205"/>
      <c r="G10" s="205"/>
      <c r="H10" s="205"/>
      <c r="I10" s="206" t="s">
        <v>63</v>
      </c>
      <c r="J10" s="205"/>
      <c r="K10" s="207"/>
      <c r="L10" s="64"/>
      <c r="M10" s="65"/>
    </row>
    <row r="11" spans="1:15" ht="12.75" customHeight="1" x14ac:dyDescent="0.2">
      <c r="A11" s="39"/>
      <c r="B11" s="13"/>
      <c r="C11" s="66" t="s">
        <v>3</v>
      </c>
      <c r="D11" s="67"/>
      <c r="E11" s="68" t="s">
        <v>4</v>
      </c>
      <c r="F11" s="68"/>
      <c r="G11" s="69"/>
      <c r="H11" s="69"/>
      <c r="I11" s="70"/>
      <c r="J11" s="71"/>
      <c r="K11" s="72"/>
      <c r="L11" s="73"/>
      <c r="M11" s="74"/>
    </row>
    <row r="12" spans="1:15" x14ac:dyDescent="0.2">
      <c r="A12" s="39"/>
      <c r="B12" s="10" t="s">
        <v>60</v>
      </c>
      <c r="C12" s="66" t="s">
        <v>5</v>
      </c>
      <c r="D12" s="75" t="s">
        <v>6</v>
      </c>
      <c r="E12" s="68" t="s">
        <v>7</v>
      </c>
      <c r="F12" s="68" t="s">
        <v>8</v>
      </c>
      <c r="G12" s="69" t="s">
        <v>9</v>
      </c>
      <c r="H12" s="69" t="s">
        <v>47</v>
      </c>
      <c r="I12" s="73" t="s">
        <v>11</v>
      </c>
      <c r="J12" s="76" t="s">
        <v>12</v>
      </c>
      <c r="K12" s="77" t="s">
        <v>47</v>
      </c>
      <c r="L12" s="73" t="s">
        <v>10</v>
      </c>
      <c r="M12" s="74" t="s">
        <v>13</v>
      </c>
    </row>
    <row r="13" spans="1:15" x14ac:dyDescent="0.2">
      <c r="A13" s="11"/>
      <c r="B13" s="10" t="s">
        <v>20</v>
      </c>
      <c r="C13" s="66" t="s">
        <v>14</v>
      </c>
      <c r="D13" s="75" t="s">
        <v>15</v>
      </c>
      <c r="E13" s="68" t="s">
        <v>53</v>
      </c>
      <c r="F13" s="68" t="s">
        <v>5</v>
      </c>
      <c r="G13" s="69" t="s">
        <v>16</v>
      </c>
      <c r="H13" s="69" t="s">
        <v>51</v>
      </c>
      <c r="I13" s="73"/>
      <c r="J13" s="76"/>
      <c r="K13" s="77" t="s">
        <v>18</v>
      </c>
      <c r="L13" s="73" t="s">
        <v>17</v>
      </c>
      <c r="M13" s="74" t="s">
        <v>17</v>
      </c>
    </row>
    <row r="14" spans="1:15" x14ac:dyDescent="0.2">
      <c r="A14" s="12" t="s">
        <v>19</v>
      </c>
      <c r="B14" s="10"/>
      <c r="C14" s="78"/>
      <c r="D14" s="67"/>
      <c r="E14" s="76" t="s">
        <v>21</v>
      </c>
      <c r="F14" s="68"/>
      <c r="G14" s="69" t="s">
        <v>22</v>
      </c>
      <c r="H14" s="69" t="s">
        <v>17</v>
      </c>
      <c r="I14" s="79"/>
      <c r="J14" s="80"/>
      <c r="K14" s="77" t="s">
        <v>17</v>
      </c>
      <c r="L14" s="73"/>
      <c r="M14" s="74"/>
    </row>
    <row r="15" spans="1:15" x14ac:dyDescent="0.2">
      <c r="A15" s="40"/>
      <c r="B15" s="10"/>
      <c r="C15" s="78"/>
      <c r="D15" s="67"/>
      <c r="E15" s="76" t="s">
        <v>24</v>
      </c>
      <c r="F15" s="68"/>
      <c r="G15" s="69"/>
      <c r="H15" s="69" t="s">
        <v>5</v>
      </c>
      <c r="I15" s="81"/>
      <c r="J15" s="82"/>
      <c r="K15" s="77" t="s">
        <v>5</v>
      </c>
      <c r="L15" s="73"/>
      <c r="M15" s="74"/>
    </row>
    <row r="16" spans="1:15" x14ac:dyDescent="0.2">
      <c r="A16" s="11"/>
      <c r="B16" s="29"/>
      <c r="C16" s="83"/>
      <c r="D16" s="67"/>
      <c r="E16" s="76" t="s">
        <v>25</v>
      </c>
      <c r="F16" s="68"/>
      <c r="G16" s="67"/>
      <c r="H16" s="84"/>
      <c r="I16" s="85"/>
      <c r="J16" s="86"/>
      <c r="K16" s="87"/>
      <c r="L16" s="79"/>
      <c r="M16" s="88"/>
    </row>
    <row r="17" spans="1:20" x14ac:dyDescent="0.2">
      <c r="A17" s="17">
        <v>1</v>
      </c>
      <c r="B17" s="16">
        <v>2</v>
      </c>
      <c r="C17" s="112">
        <v>3</v>
      </c>
      <c r="D17" s="113">
        <v>4</v>
      </c>
      <c r="E17" s="114">
        <v>5</v>
      </c>
      <c r="F17" s="114">
        <v>6</v>
      </c>
      <c r="G17" s="114">
        <v>7</v>
      </c>
      <c r="H17" s="115">
        <v>8</v>
      </c>
      <c r="I17" s="116">
        <v>9</v>
      </c>
      <c r="J17" s="117">
        <v>10</v>
      </c>
      <c r="K17" s="118">
        <v>11</v>
      </c>
      <c r="L17" s="119">
        <v>12</v>
      </c>
      <c r="M17" s="120">
        <v>13</v>
      </c>
    </row>
    <row r="18" spans="1:20" x14ac:dyDescent="0.2">
      <c r="A18" s="24"/>
      <c r="B18" s="10"/>
      <c r="C18" s="89"/>
      <c r="D18" s="67"/>
      <c r="E18" s="67"/>
      <c r="F18" s="67"/>
      <c r="G18" s="67"/>
      <c r="H18" s="67"/>
      <c r="I18" s="79"/>
      <c r="J18" s="67"/>
      <c r="K18" s="90"/>
      <c r="L18" s="79"/>
      <c r="M18" s="90"/>
      <c r="R18" s="19"/>
      <c r="S18" s="19"/>
      <c r="T18" s="19"/>
    </row>
    <row r="19" spans="1:20" x14ac:dyDescent="0.2">
      <c r="A19" s="24" t="s">
        <v>64</v>
      </c>
      <c r="B19" s="30" t="s">
        <v>27</v>
      </c>
      <c r="C19" s="122">
        <f>SUM(D19:M19)</f>
        <v>32587.297999999999</v>
      </c>
      <c r="D19" s="123">
        <f>260+600+605.1+2874.002+19540+466.302+2924.302</f>
        <v>27269.705999999998</v>
      </c>
      <c r="E19" s="123">
        <f>50.7+117+117.994+560.43+3810.3+90.929+570.239</f>
        <v>5317.5920000000006</v>
      </c>
      <c r="F19" s="123">
        <f>-211</f>
        <v>-211</v>
      </c>
      <c r="G19" s="123"/>
      <c r="H19" s="123"/>
      <c r="I19" s="124"/>
      <c r="J19" s="123">
        <v>211</v>
      </c>
      <c r="K19" s="125"/>
      <c r="L19" s="126"/>
      <c r="M19" s="125"/>
      <c r="O19" s="19"/>
      <c r="R19" s="19"/>
      <c r="S19" s="19"/>
      <c r="T19" s="19"/>
    </row>
    <row r="20" spans="1:20" x14ac:dyDescent="0.2">
      <c r="A20" s="8"/>
      <c r="B20" s="31"/>
      <c r="C20" s="122"/>
      <c r="D20" s="123"/>
      <c r="E20" s="123"/>
      <c r="F20" s="123"/>
      <c r="G20" s="123"/>
      <c r="H20" s="123"/>
      <c r="I20" s="124"/>
      <c r="J20" s="123"/>
      <c r="K20" s="125"/>
      <c r="L20" s="126"/>
      <c r="M20" s="125"/>
      <c r="O20" s="19"/>
      <c r="R20" s="19"/>
      <c r="S20" s="19"/>
      <c r="T20" s="19"/>
    </row>
    <row r="21" spans="1:20" x14ac:dyDescent="0.2">
      <c r="A21" s="41" t="s">
        <v>26</v>
      </c>
      <c r="B21" s="43" t="s">
        <v>80</v>
      </c>
      <c r="C21" s="127">
        <f t="shared" ref="C21:M21" si="0">SUM(C19:C20)</f>
        <v>32587.297999999999</v>
      </c>
      <c r="D21" s="128">
        <f t="shared" si="0"/>
        <v>27269.705999999998</v>
      </c>
      <c r="E21" s="129">
        <f t="shared" si="0"/>
        <v>5317.5920000000006</v>
      </c>
      <c r="F21" s="129">
        <f t="shared" si="0"/>
        <v>-211</v>
      </c>
      <c r="G21" s="129">
        <f t="shared" si="0"/>
        <v>0</v>
      </c>
      <c r="H21" s="130">
        <f t="shared" si="0"/>
        <v>0</v>
      </c>
      <c r="I21" s="131">
        <f t="shared" si="0"/>
        <v>0</v>
      </c>
      <c r="J21" s="129">
        <f t="shared" si="0"/>
        <v>211</v>
      </c>
      <c r="K21" s="132">
        <f t="shared" si="0"/>
        <v>0</v>
      </c>
      <c r="L21" s="133">
        <f t="shared" si="0"/>
        <v>0</v>
      </c>
      <c r="M21" s="134">
        <f t="shared" si="0"/>
        <v>0</v>
      </c>
      <c r="O21" s="19"/>
      <c r="R21" s="19"/>
      <c r="S21" s="19"/>
      <c r="T21" s="19"/>
    </row>
    <row r="22" spans="1:20" x14ac:dyDescent="0.2">
      <c r="A22" s="8"/>
      <c r="B22" s="44"/>
      <c r="C22" s="135"/>
      <c r="D22" s="123"/>
      <c r="E22" s="123"/>
      <c r="F22" s="123"/>
      <c r="G22" s="123"/>
      <c r="H22" s="123"/>
      <c r="I22" s="124"/>
      <c r="J22" s="123"/>
      <c r="K22" s="125"/>
      <c r="L22" s="126"/>
      <c r="M22" s="125"/>
      <c r="O22" s="19"/>
      <c r="R22" s="19"/>
      <c r="S22" s="19"/>
      <c r="T22" s="19"/>
    </row>
    <row r="23" spans="1:20" x14ac:dyDescent="0.2">
      <c r="A23" s="24" t="s">
        <v>64</v>
      </c>
      <c r="B23" s="30" t="s">
        <v>28</v>
      </c>
      <c r="C23" s="122">
        <f t="shared" ref="C23:C34" si="1">SUM(D23:M23)</f>
        <v>6903.8119999999999</v>
      </c>
      <c r="D23" s="123">
        <f>240+200+13.2+3832+176.8+8.8+1232.958</f>
        <v>5703.7579999999998</v>
      </c>
      <c r="E23" s="123">
        <f>46.8+39+2.574+747.24+34.476+1.716+122.248</f>
        <v>994.05400000000009</v>
      </c>
      <c r="F23" s="123">
        <f>206-1423</f>
        <v>-1217</v>
      </c>
      <c r="G23" s="123"/>
      <c r="H23" s="123"/>
      <c r="I23" s="124">
        <v>1423</v>
      </c>
      <c r="J23" s="123"/>
      <c r="K23" s="125"/>
      <c r="L23" s="126"/>
      <c r="M23" s="125"/>
      <c r="O23" s="19"/>
      <c r="R23" s="19"/>
      <c r="S23" s="19"/>
      <c r="T23" s="19"/>
    </row>
    <row r="24" spans="1:20" x14ac:dyDescent="0.2">
      <c r="A24" s="24" t="s">
        <v>65</v>
      </c>
      <c r="B24" s="30" t="s">
        <v>30</v>
      </c>
      <c r="C24" s="136">
        <f>SUM(D24:M24)</f>
        <v>7335.8240000000005</v>
      </c>
      <c r="D24" s="137">
        <f>260-502.343-251.172+300+58.1+4812+124.8-251.172+48.3</f>
        <v>4598.5130000000008</v>
      </c>
      <c r="E24" s="137">
        <f>50.7-97.957-48.978+58.5+11.329+938.34+24.336-48.978+9.419</f>
        <v>896.71100000000013</v>
      </c>
      <c r="F24" s="137">
        <f>600.3+300.15+250+390+300.15</f>
        <v>1840.6</v>
      </c>
      <c r="G24" s="137"/>
      <c r="H24" s="137"/>
      <c r="I24" s="126"/>
      <c r="J24" s="137"/>
      <c r="K24" s="125"/>
      <c r="L24" s="126"/>
      <c r="M24" s="125"/>
      <c r="O24" s="19"/>
      <c r="R24" s="19"/>
      <c r="S24" s="19"/>
      <c r="T24" s="19"/>
    </row>
    <row r="25" spans="1:20" x14ac:dyDescent="0.2">
      <c r="A25" s="24" t="s">
        <v>66</v>
      </c>
      <c r="B25" s="30" t="s">
        <v>32</v>
      </c>
      <c r="C25" s="136">
        <f t="shared" si="1"/>
        <v>5135.9750000000004</v>
      </c>
      <c r="D25" s="137">
        <f>240+300+31.801+3284+127.4+21.799</f>
        <v>4005</v>
      </c>
      <c r="E25" s="137">
        <f>46.8+58.5+6.201+640.38+24.843+4.251</f>
        <v>780.97499999999991</v>
      </c>
      <c r="F25" s="137">
        <f>350</f>
        <v>350</v>
      </c>
      <c r="G25" s="137"/>
      <c r="H25" s="137"/>
      <c r="I25" s="126"/>
      <c r="J25" s="137"/>
      <c r="K25" s="125"/>
      <c r="L25" s="126"/>
      <c r="M25" s="125"/>
      <c r="O25" s="19"/>
      <c r="R25" s="19"/>
      <c r="S25" s="19"/>
      <c r="T25" s="19"/>
    </row>
    <row r="26" spans="1:20" x14ac:dyDescent="0.2">
      <c r="A26" s="24" t="s">
        <v>67</v>
      </c>
      <c r="B26" s="30" t="s">
        <v>34</v>
      </c>
      <c r="C26" s="136">
        <f>SUM(D26:M26)</f>
        <v>4952.148000000001</v>
      </c>
      <c r="D26" s="137">
        <f>240-261.276-261.276+300+7.5+3180+189.8-261.276+5-261.276</f>
        <v>2877.1960000000004</v>
      </c>
      <c r="E26" s="137">
        <f>46.8-50.949-50.949+58.5+1.462+620.1+37.011-50.949+0.975-50.949</f>
        <v>561.05200000000013</v>
      </c>
      <c r="F26" s="137">
        <f>312.225+312.225+130+135+312.225+312.225</f>
        <v>1513.9</v>
      </c>
      <c r="G26" s="137"/>
      <c r="H26" s="137"/>
      <c r="I26" s="126"/>
      <c r="J26" s="137"/>
      <c r="K26" s="125"/>
      <c r="L26" s="126"/>
      <c r="M26" s="125"/>
      <c r="O26" s="19"/>
      <c r="R26" s="19"/>
      <c r="S26" s="19"/>
      <c r="T26" s="19"/>
    </row>
    <row r="27" spans="1:20" x14ac:dyDescent="0.2">
      <c r="A27" s="24" t="s">
        <v>68</v>
      </c>
      <c r="B27" s="30" t="s">
        <v>35</v>
      </c>
      <c r="C27" s="136">
        <f>SUM(D27:M27)</f>
        <v>8831.7170000000006</v>
      </c>
      <c r="D27" s="137">
        <f>280-753.515-753.515+300+65.4+6012+275.6-753.515+51.7</f>
        <v>4724.1549999999997</v>
      </c>
      <c r="E27" s="137">
        <f>54.6-146.935-146.935+58.5+12.753+1172.34+53.742-146.935+10.082</f>
        <v>921.21199999999988</v>
      </c>
      <c r="F27" s="137">
        <f>900.45+900.45+350+135+900.45</f>
        <v>3186.3500000000004</v>
      </c>
      <c r="G27" s="137"/>
      <c r="H27" s="137"/>
      <c r="I27" s="126"/>
      <c r="J27" s="137"/>
      <c r="K27" s="125"/>
      <c r="L27" s="126"/>
      <c r="M27" s="125"/>
      <c r="O27" s="19"/>
      <c r="R27" s="19"/>
      <c r="S27" s="19"/>
      <c r="T27" s="19"/>
    </row>
    <row r="28" spans="1:20" x14ac:dyDescent="0.2">
      <c r="A28" s="24" t="s">
        <v>69</v>
      </c>
      <c r="B28" s="30" t="s">
        <v>36</v>
      </c>
      <c r="C28" s="136">
        <f>SUM(D28:M28)</f>
        <v>5200.6239999999998</v>
      </c>
      <c r="D28" s="137">
        <f>260-429.54-429.54+300+6.3+3356+132.6-371.799+4.199-64.582</f>
        <v>2763.6379999999999</v>
      </c>
      <c r="E28" s="137">
        <f>50.7-83.76-83.76+58.5+1.229+654.42+25.857-72.501+0.819-12.593</f>
        <v>538.91099999999994</v>
      </c>
      <c r="F28" s="137">
        <f>513.3+513.3+350+444.3+77.175</f>
        <v>1898.0749999999998</v>
      </c>
      <c r="G28" s="137"/>
      <c r="H28" s="137"/>
      <c r="I28" s="126"/>
      <c r="J28" s="137"/>
      <c r="K28" s="125"/>
      <c r="L28" s="126"/>
      <c r="M28" s="125"/>
      <c r="O28" s="19"/>
      <c r="R28" s="51"/>
      <c r="S28" s="19"/>
      <c r="T28" s="19"/>
    </row>
    <row r="29" spans="1:20" x14ac:dyDescent="0.2">
      <c r="A29" s="24" t="s">
        <v>70</v>
      </c>
      <c r="B29" s="30" t="s">
        <v>37</v>
      </c>
      <c r="C29" s="136">
        <f t="shared" si="1"/>
        <v>5091.4030000000002</v>
      </c>
      <c r="D29" s="137">
        <f>240+200+35.101+3304+158.6+30</f>
        <v>3967.701</v>
      </c>
      <c r="E29" s="137">
        <f>46.8+39+6.845+644.28+30.927+5.85</f>
        <v>773.702</v>
      </c>
      <c r="F29" s="137">
        <f>350</f>
        <v>350</v>
      </c>
      <c r="G29" s="137"/>
      <c r="H29" s="137"/>
      <c r="I29" s="126"/>
      <c r="J29" s="137"/>
      <c r="K29" s="125"/>
      <c r="L29" s="126"/>
      <c r="M29" s="125"/>
      <c r="O29" s="19"/>
      <c r="R29" s="19"/>
      <c r="S29" s="19"/>
      <c r="T29" s="19"/>
    </row>
    <row r="30" spans="1:20" x14ac:dyDescent="0.2">
      <c r="A30" s="24" t="s">
        <v>71</v>
      </c>
      <c r="B30" s="121" t="s">
        <v>38</v>
      </c>
      <c r="C30" s="122">
        <f>SUM(D30:M30)</f>
        <v>7025.518</v>
      </c>
      <c r="D30" s="123">
        <f>320-769.393-554.31+300+89.7+100+5404+239.2+3268.15-518.222-9002.292+73.801</f>
        <v>-1049.3659999999995</v>
      </c>
      <c r="E30" s="123">
        <f>62.4-150.032-108.09+58.5+17.492+19.5+1053.78+46.644+637.289-101.053-1702.407+14.391</f>
        <v>-151.5860000000001</v>
      </c>
      <c r="F30" s="123">
        <f>919.425+662.4+344+135+2681.675+792+619.275-777.305</f>
        <v>5376.4699999999993</v>
      </c>
      <c r="G30" s="137"/>
      <c r="H30" s="137"/>
      <c r="I30" s="126">
        <v>-250</v>
      </c>
      <c r="J30" s="137">
        <v>3100</v>
      </c>
      <c r="K30" s="125"/>
      <c r="L30" s="126"/>
      <c r="M30" s="125"/>
      <c r="O30" s="19"/>
      <c r="R30" s="19"/>
      <c r="S30" s="19"/>
      <c r="T30" s="19"/>
    </row>
    <row r="31" spans="1:20" x14ac:dyDescent="0.2">
      <c r="A31" s="24" t="s">
        <v>74</v>
      </c>
      <c r="B31" s="30" t="s">
        <v>39</v>
      </c>
      <c r="C31" s="136">
        <f t="shared" si="1"/>
        <v>30080.919000000002</v>
      </c>
      <c r="D31" s="137">
        <f>260-251.172-251.172+300+6064+273-251.172+9013.413-251.172</f>
        <v>14905.725</v>
      </c>
      <c r="E31" s="137">
        <f>50.7-48.978-48.978+58.5+1182.48+53.235-48.978+1757.616-48.978</f>
        <v>2906.6189999999997</v>
      </c>
      <c r="F31" s="137">
        <f>300.15+300.15+350+300.15+793.975+300.15-1</f>
        <v>2343.5749999999998</v>
      </c>
      <c r="G31" s="137"/>
      <c r="H31" s="137"/>
      <c r="I31" s="126">
        <v>167</v>
      </c>
      <c r="J31" s="137">
        <f>9757+1</f>
        <v>9758</v>
      </c>
      <c r="K31" s="125"/>
      <c r="L31" s="126"/>
      <c r="M31" s="125"/>
      <c r="O31" s="19"/>
      <c r="R31" s="19"/>
      <c r="S31" s="19"/>
      <c r="T31" s="19"/>
    </row>
    <row r="32" spans="1:20" x14ac:dyDescent="0.2">
      <c r="A32" s="24" t="s">
        <v>72</v>
      </c>
      <c r="B32" s="30" t="s">
        <v>40</v>
      </c>
      <c r="C32" s="136">
        <f t="shared" si="1"/>
        <v>5319.2330000000002</v>
      </c>
      <c r="D32" s="137">
        <f>240-625.941-657.238+300+26.699+3520+119.6-657.238+19.001-688.536</f>
        <v>1596.3469999999998</v>
      </c>
      <c r="E32" s="137">
        <f>46.8-122.059-128.162+58.5+5.206+686.4+23.322-128.162+3.705-134.264</f>
        <v>311.28599999999989</v>
      </c>
      <c r="F32" s="137">
        <f>748+785.4+270+785.4+822.8</f>
        <v>3411.6000000000004</v>
      </c>
      <c r="G32" s="137"/>
      <c r="H32" s="137"/>
      <c r="I32" s="126"/>
      <c r="J32" s="137"/>
      <c r="K32" s="125"/>
      <c r="L32" s="126"/>
      <c r="M32" s="125"/>
      <c r="O32" s="19"/>
      <c r="R32" s="19"/>
      <c r="S32" s="19"/>
      <c r="T32" s="19"/>
    </row>
    <row r="33" spans="1:20" x14ac:dyDescent="0.2">
      <c r="A33" s="24" t="s">
        <v>73</v>
      </c>
      <c r="B33" s="30" t="s">
        <v>85</v>
      </c>
      <c r="C33" s="136">
        <f t="shared" si="1"/>
        <v>7482.7170000000006</v>
      </c>
      <c r="D33" s="137">
        <f>260-753.515-502.343+200+26.4+5236+228.8-502.343+17.601-502.343</f>
        <v>3708.2570000000005</v>
      </c>
      <c r="E33" s="137">
        <f>50.7-146.935-97.957+39+5.148+1021.02+44.616-97.957+3.432-97.957</f>
        <v>723.11</v>
      </c>
      <c r="F33" s="137">
        <f>900.45+600.3+350+600.3+600.3</f>
        <v>3051.3500000000004</v>
      </c>
      <c r="G33" s="137"/>
      <c r="H33" s="137"/>
      <c r="I33" s="126"/>
      <c r="J33" s="137"/>
      <c r="K33" s="125"/>
      <c r="L33" s="126"/>
      <c r="M33" s="125"/>
      <c r="O33" s="19"/>
      <c r="R33" s="51"/>
      <c r="S33" s="19"/>
      <c r="T33" s="19"/>
    </row>
    <row r="34" spans="1:20" x14ac:dyDescent="0.2">
      <c r="A34" s="24" t="s">
        <v>87</v>
      </c>
      <c r="B34" s="30" t="s">
        <v>88</v>
      </c>
      <c r="C34" s="136">
        <f t="shared" si="1"/>
        <v>7525.7739999999994</v>
      </c>
      <c r="D34" s="137">
        <f>260-210.753-251.172+300+5292+161.2-251.172</f>
        <v>5300.1030000000001</v>
      </c>
      <c r="E34" s="137">
        <f>-41.097-48.978+50.7+58.5+1031.94+31.434-48.978</f>
        <v>1033.521</v>
      </c>
      <c r="F34" s="137">
        <f>251.85+300.15+340+300.15</f>
        <v>1192.1500000000001</v>
      </c>
      <c r="G34" s="137"/>
      <c r="H34" s="137"/>
      <c r="I34" s="126"/>
      <c r="J34" s="137"/>
      <c r="K34" s="125"/>
      <c r="L34" s="126"/>
      <c r="M34" s="125"/>
      <c r="O34" s="19"/>
      <c r="R34" s="19"/>
      <c r="S34" s="19"/>
      <c r="T34" s="19"/>
    </row>
    <row r="35" spans="1:20" x14ac:dyDescent="0.2">
      <c r="A35" s="24"/>
      <c r="B35" s="45"/>
      <c r="C35" s="136"/>
      <c r="D35" s="137"/>
      <c r="E35" s="137"/>
      <c r="F35" s="137"/>
      <c r="G35" s="137"/>
      <c r="H35" s="137"/>
      <c r="I35" s="126"/>
      <c r="J35" s="137"/>
      <c r="K35" s="125"/>
      <c r="L35" s="126"/>
      <c r="M35" s="125"/>
      <c r="O35" s="19"/>
      <c r="R35" s="19"/>
      <c r="S35" s="19"/>
      <c r="T35" s="19"/>
    </row>
    <row r="36" spans="1:20" x14ac:dyDescent="0.2">
      <c r="A36" s="41" t="s">
        <v>29</v>
      </c>
      <c r="B36" s="43" t="s">
        <v>81</v>
      </c>
      <c r="C36" s="138">
        <f t="shared" ref="C36:M36" si="2">SUM(C23:C35)</f>
        <v>100885.66400000002</v>
      </c>
      <c r="D36" s="139">
        <f t="shared" si="2"/>
        <v>53101.027000000002</v>
      </c>
      <c r="E36" s="140">
        <f>SUM(E23:E35)</f>
        <v>10289.567000000001</v>
      </c>
      <c r="F36" s="140">
        <f t="shared" si="2"/>
        <v>23297.07</v>
      </c>
      <c r="G36" s="139">
        <f t="shared" si="2"/>
        <v>0</v>
      </c>
      <c r="H36" s="141">
        <f t="shared" si="2"/>
        <v>0</v>
      </c>
      <c r="I36" s="142">
        <f t="shared" si="2"/>
        <v>1340</v>
      </c>
      <c r="J36" s="140">
        <f t="shared" si="2"/>
        <v>12858</v>
      </c>
      <c r="K36" s="143">
        <f t="shared" si="2"/>
        <v>0</v>
      </c>
      <c r="L36" s="142">
        <f t="shared" si="2"/>
        <v>0</v>
      </c>
      <c r="M36" s="144">
        <f t="shared" si="2"/>
        <v>0</v>
      </c>
      <c r="N36" s="25"/>
      <c r="O36" s="19"/>
      <c r="R36" s="19"/>
      <c r="S36" s="19"/>
      <c r="T36" s="19"/>
    </row>
    <row r="37" spans="1:20" x14ac:dyDescent="0.2">
      <c r="A37" s="8"/>
      <c r="B37" s="9"/>
      <c r="C37" s="136"/>
      <c r="D37" s="137"/>
      <c r="E37" s="137"/>
      <c r="F37" s="137"/>
      <c r="G37" s="137"/>
      <c r="H37" s="137"/>
      <c r="I37" s="126"/>
      <c r="J37" s="137"/>
      <c r="K37" s="125"/>
      <c r="L37" s="126"/>
      <c r="M37" s="125"/>
      <c r="O37" s="19"/>
      <c r="R37" s="19"/>
      <c r="S37" s="19"/>
      <c r="T37" s="19"/>
    </row>
    <row r="38" spans="1:20" x14ac:dyDescent="0.2">
      <c r="A38" s="24" t="s">
        <v>64</v>
      </c>
      <c r="B38" s="30" t="s">
        <v>41</v>
      </c>
      <c r="C38" s="136">
        <f>SUM(D38:M38)</f>
        <v>6078.93</v>
      </c>
      <c r="D38" s="145">
        <f>300+151.201+2050.764+151.2+1848.032</f>
        <v>4501.1970000000001</v>
      </c>
      <c r="E38" s="146">
        <f>58.5+29.484+399.899+29.484+360.366</f>
        <v>877.73300000000006</v>
      </c>
      <c r="F38" s="137">
        <f>700</f>
        <v>700</v>
      </c>
      <c r="G38" s="137"/>
      <c r="H38" s="137"/>
      <c r="I38" s="126"/>
      <c r="J38" s="137"/>
      <c r="K38" s="125"/>
      <c r="L38" s="126"/>
      <c r="M38" s="125"/>
      <c r="O38" s="19"/>
      <c r="R38" s="19"/>
      <c r="S38" s="19"/>
      <c r="T38" s="19"/>
    </row>
    <row r="39" spans="1:20" x14ac:dyDescent="0.2">
      <c r="A39" s="24" t="s">
        <v>65</v>
      </c>
      <c r="B39" s="30" t="s">
        <v>42</v>
      </c>
      <c r="C39" s="136">
        <f>SUM(D39:M39)</f>
        <v>7219.1880000000001</v>
      </c>
      <c r="D39" s="145">
        <f>-161.54-127.531+300+223.201+2541.967-144.536+219.5+2589.13-178.544</f>
        <v>5261.6470000000008</v>
      </c>
      <c r="E39" s="146">
        <f>-31.5-24.869+58.5+43.524+495.683-28.184+42.803+504.88-34.816</f>
        <v>1026.021</v>
      </c>
      <c r="F39" s="137">
        <f>200+193.04+152.4+172.72+213.36</f>
        <v>931.52</v>
      </c>
      <c r="G39" s="137"/>
      <c r="H39" s="137"/>
      <c r="I39" s="126"/>
      <c r="J39" s="137"/>
      <c r="K39" s="125"/>
      <c r="L39" s="126"/>
      <c r="M39" s="125"/>
      <c r="O39" s="19"/>
      <c r="R39" s="19"/>
      <c r="S39" s="51"/>
      <c r="T39" s="19"/>
    </row>
    <row r="40" spans="1:20" x14ac:dyDescent="0.2">
      <c r="A40" s="24" t="s">
        <v>66</v>
      </c>
      <c r="B40" s="30" t="s">
        <v>43</v>
      </c>
      <c r="C40" s="136">
        <f>SUM(D40:M40)</f>
        <v>7527.4459999999999</v>
      </c>
      <c r="D40" s="145">
        <f>300+172.199+2738.847+181.501+2749.249</f>
        <v>6141.7960000000003</v>
      </c>
      <c r="E40" s="146">
        <f>58.5+33.579+534.075+35.393+536.103</f>
        <v>1197.6500000000001</v>
      </c>
      <c r="F40" s="137">
        <f>188</f>
        <v>188</v>
      </c>
      <c r="G40" s="137"/>
      <c r="H40" s="137"/>
      <c r="I40" s="126"/>
      <c r="J40" s="137"/>
      <c r="K40" s="125"/>
      <c r="L40" s="126"/>
      <c r="M40" s="125"/>
      <c r="O40" s="19"/>
      <c r="R40" s="19"/>
      <c r="S40" s="19"/>
      <c r="T40" s="19"/>
    </row>
    <row r="41" spans="1:20" x14ac:dyDescent="0.2">
      <c r="A41" s="24" t="s">
        <v>67</v>
      </c>
      <c r="B41" s="30" t="s">
        <v>44</v>
      </c>
      <c r="C41" s="136">
        <f>SUM(D41:M41)</f>
        <v>5521.2280000000001</v>
      </c>
      <c r="D41" s="137">
        <f>300+167.398+1977.486+167.398+2007.992</f>
        <v>4620.2740000000003</v>
      </c>
      <c r="E41" s="137">
        <f>58.5+32.643+385.61+32.643+391.558</f>
        <v>900.95400000000006</v>
      </c>
      <c r="F41" s="137"/>
      <c r="G41" s="137"/>
      <c r="H41" s="137"/>
      <c r="I41" s="126"/>
      <c r="J41" s="137"/>
      <c r="K41" s="125"/>
      <c r="L41" s="126"/>
      <c r="M41" s="125"/>
      <c r="O41" s="19"/>
      <c r="R41" s="51"/>
      <c r="S41" s="19"/>
      <c r="T41" s="19"/>
    </row>
    <row r="42" spans="1:20" x14ac:dyDescent="0.2">
      <c r="A42" s="24" t="s">
        <v>68</v>
      </c>
      <c r="B42" s="30" t="s">
        <v>90</v>
      </c>
      <c r="C42" s="122">
        <f>SUM(D42:M42)</f>
        <v>22368.846000000001</v>
      </c>
      <c r="D42" s="137">
        <f>300+802.502+7508.818+748.706+7218.318+325.944</f>
        <v>16904.288</v>
      </c>
      <c r="E42" s="137">
        <f>58.5+156.488+1464.219+145.998+1407.572+31.781</f>
        <v>3264.558</v>
      </c>
      <c r="F42" s="137">
        <f>600+1600</f>
        <v>2200</v>
      </c>
      <c r="G42" s="137"/>
      <c r="H42" s="137"/>
      <c r="I42" s="126"/>
      <c r="J42" s="137"/>
      <c r="K42" s="125"/>
      <c r="L42" s="126"/>
      <c r="M42" s="125"/>
      <c r="O42" s="19"/>
      <c r="R42" s="19"/>
      <c r="S42" s="19"/>
      <c r="T42" s="19"/>
    </row>
    <row r="43" spans="1:20" x14ac:dyDescent="0.2">
      <c r="A43" s="24"/>
      <c r="B43" s="9"/>
      <c r="C43" s="136"/>
      <c r="D43" s="137"/>
      <c r="E43" s="137"/>
      <c r="F43" s="137"/>
      <c r="G43" s="137"/>
      <c r="H43" s="137"/>
      <c r="I43" s="126"/>
      <c r="J43" s="137"/>
      <c r="K43" s="125"/>
      <c r="L43" s="126"/>
      <c r="M43" s="125"/>
      <c r="O43" s="19"/>
      <c r="R43" s="19"/>
      <c r="S43" s="19"/>
      <c r="T43" s="19"/>
    </row>
    <row r="44" spans="1:20" x14ac:dyDescent="0.2">
      <c r="A44" s="41" t="s">
        <v>31</v>
      </c>
      <c r="B44" s="26" t="s">
        <v>82</v>
      </c>
      <c r="C44" s="138">
        <f>SUM(C38:C43)</f>
        <v>48715.637999999999</v>
      </c>
      <c r="D44" s="139">
        <f t="shared" ref="D44:M44" si="3">SUM(D38:D43)</f>
        <v>37429.202000000005</v>
      </c>
      <c r="E44" s="140">
        <f t="shared" si="3"/>
        <v>7266.9160000000002</v>
      </c>
      <c r="F44" s="139">
        <f t="shared" si="3"/>
        <v>4019.52</v>
      </c>
      <c r="G44" s="140">
        <f t="shared" si="3"/>
        <v>0</v>
      </c>
      <c r="H44" s="141">
        <f t="shared" si="3"/>
        <v>0</v>
      </c>
      <c r="I44" s="142">
        <f t="shared" si="3"/>
        <v>0</v>
      </c>
      <c r="J44" s="140">
        <f t="shared" si="3"/>
        <v>0</v>
      </c>
      <c r="K44" s="144">
        <f t="shared" si="3"/>
        <v>0</v>
      </c>
      <c r="L44" s="142">
        <f t="shared" si="3"/>
        <v>0</v>
      </c>
      <c r="M44" s="144">
        <f t="shared" si="3"/>
        <v>0</v>
      </c>
      <c r="O44" s="19"/>
      <c r="R44" s="19"/>
      <c r="S44" s="19"/>
      <c r="T44" s="19"/>
    </row>
    <row r="45" spans="1:20" x14ac:dyDescent="0.2">
      <c r="A45" s="28"/>
      <c r="B45" s="27"/>
      <c r="C45" s="147"/>
      <c r="D45" s="148"/>
      <c r="E45" s="148"/>
      <c r="F45" s="148"/>
      <c r="G45" s="148"/>
      <c r="H45" s="148"/>
      <c r="I45" s="149"/>
      <c r="J45" s="148"/>
      <c r="K45" s="150"/>
      <c r="L45" s="149"/>
      <c r="M45" s="150"/>
      <c r="O45" s="19"/>
      <c r="R45" s="19"/>
      <c r="S45" s="19"/>
      <c r="T45" s="19"/>
    </row>
    <row r="46" spans="1:20" x14ac:dyDescent="0.2">
      <c r="A46" s="17" t="s">
        <v>33</v>
      </c>
      <c r="B46" s="33" t="s">
        <v>45</v>
      </c>
      <c r="C46" s="151">
        <f>SUM(D46:M46)</f>
        <v>19319.832000000002</v>
      </c>
      <c r="D46" s="152">
        <f>340+100+240.999+10964+212.601</f>
        <v>11857.6</v>
      </c>
      <c r="E46" s="153">
        <f>66.3+19.5+46.995+2137.98+41.457</f>
        <v>2312.232</v>
      </c>
      <c r="F46" s="153">
        <f>5150+2927</f>
        <v>8077</v>
      </c>
      <c r="G46" s="154"/>
      <c r="H46" s="154"/>
      <c r="I46" s="155">
        <v>-2927</v>
      </c>
      <c r="J46" s="154"/>
      <c r="K46" s="144"/>
      <c r="L46" s="142"/>
      <c r="M46" s="144"/>
      <c r="O46" s="19"/>
      <c r="R46" s="51"/>
      <c r="S46" s="51"/>
      <c r="T46" s="19"/>
    </row>
    <row r="47" spans="1:20" ht="13.5" thickBot="1" x14ac:dyDescent="0.25">
      <c r="A47" s="8"/>
      <c r="B47" s="34"/>
      <c r="C47" s="136"/>
      <c r="D47" s="137"/>
      <c r="E47" s="137"/>
      <c r="F47" s="137"/>
      <c r="G47" s="137"/>
      <c r="H47" s="137"/>
      <c r="I47" s="126"/>
      <c r="J47" s="137"/>
      <c r="K47" s="125"/>
      <c r="L47" s="126"/>
      <c r="M47" s="125"/>
      <c r="O47" s="19"/>
      <c r="R47" s="19"/>
      <c r="S47" s="19"/>
      <c r="T47" s="19"/>
    </row>
    <row r="48" spans="1:20" ht="22.5" thickBot="1" x14ac:dyDescent="0.25">
      <c r="A48" s="50" t="s">
        <v>75</v>
      </c>
      <c r="B48" s="46" t="s">
        <v>79</v>
      </c>
      <c r="C48" s="156">
        <f>C21+C36+C44+C46</f>
        <v>201508.43200000003</v>
      </c>
      <c r="D48" s="157">
        <f>D21+D36+D44+D46</f>
        <v>129657.53500000002</v>
      </c>
      <c r="E48" s="158">
        <f>E21+E36+E44+E46</f>
        <v>25186.307000000001</v>
      </c>
      <c r="F48" s="158">
        <f t="shared" ref="F48:M48" si="4">F21+F36+F44+F46</f>
        <v>35182.589999999997</v>
      </c>
      <c r="G48" s="158">
        <f t="shared" si="4"/>
        <v>0</v>
      </c>
      <c r="H48" s="158">
        <f t="shared" si="4"/>
        <v>0</v>
      </c>
      <c r="I48" s="159">
        <f t="shared" si="4"/>
        <v>-1587</v>
      </c>
      <c r="J48" s="158">
        <f t="shared" si="4"/>
        <v>13069</v>
      </c>
      <c r="K48" s="160">
        <f t="shared" si="4"/>
        <v>0</v>
      </c>
      <c r="L48" s="159">
        <f t="shared" si="4"/>
        <v>0</v>
      </c>
      <c r="M48" s="160">
        <f t="shared" si="4"/>
        <v>0</v>
      </c>
      <c r="O48" s="19"/>
      <c r="R48" s="19"/>
      <c r="S48" s="19"/>
      <c r="T48" s="19"/>
    </row>
    <row r="49" spans="1:20" x14ac:dyDescent="0.2">
      <c r="A49" s="15"/>
      <c r="B49" s="37"/>
      <c r="C49" s="161"/>
      <c r="D49" s="162"/>
      <c r="E49" s="162"/>
      <c r="F49" s="162"/>
      <c r="G49" s="162"/>
      <c r="H49" s="162"/>
      <c r="I49" s="163"/>
      <c r="J49" s="162"/>
      <c r="K49" s="164"/>
      <c r="L49" s="163"/>
      <c r="M49" s="164"/>
      <c r="O49" s="19"/>
      <c r="R49" s="19"/>
      <c r="S49" s="19"/>
      <c r="T49" s="19"/>
    </row>
    <row r="50" spans="1:20" x14ac:dyDescent="0.2">
      <c r="A50" s="42" t="s">
        <v>76</v>
      </c>
      <c r="B50" s="47" t="s">
        <v>77</v>
      </c>
      <c r="C50" s="165">
        <f>SUM(D50:M50)</f>
        <v>17134.120000000003</v>
      </c>
      <c r="D50" s="166">
        <f>3329.11+200+3220.205+2159.044+275</f>
        <v>9183.3590000000004</v>
      </c>
      <c r="E50" s="167">
        <f>649.176+39+627.94+421.013+53.625</f>
        <v>1790.7539999999999</v>
      </c>
      <c r="F50" s="168">
        <f>425.514+714.804+5019.689</f>
        <v>6160.0070000000005</v>
      </c>
      <c r="G50" s="167"/>
      <c r="H50" s="169"/>
      <c r="I50" s="170"/>
      <c r="J50" s="171"/>
      <c r="K50" s="169"/>
      <c r="L50" s="170"/>
      <c r="M50" s="169"/>
      <c r="O50" s="19"/>
      <c r="R50" s="19"/>
      <c r="S50" s="19"/>
      <c r="T50" s="19"/>
    </row>
    <row r="51" spans="1:20" ht="13.5" thickBot="1" x14ac:dyDescent="0.25">
      <c r="A51" s="14"/>
      <c r="B51" s="48"/>
      <c r="C51" s="136"/>
      <c r="D51" s="137"/>
      <c r="E51" s="137"/>
      <c r="F51" s="137"/>
      <c r="G51" s="137"/>
      <c r="H51" s="137"/>
      <c r="I51" s="126"/>
      <c r="J51" s="137"/>
      <c r="K51" s="125"/>
      <c r="L51" s="126"/>
      <c r="M51" s="125"/>
      <c r="O51" s="19"/>
      <c r="R51" s="19"/>
      <c r="S51" s="19"/>
      <c r="T51" s="19"/>
    </row>
    <row r="52" spans="1:20" ht="13.5" thickBot="1" x14ac:dyDescent="0.25">
      <c r="A52" s="38" t="s">
        <v>78</v>
      </c>
      <c r="B52" s="49" t="s">
        <v>84</v>
      </c>
      <c r="C52" s="172">
        <f>C48+C50</f>
        <v>218642.55200000003</v>
      </c>
      <c r="D52" s="173">
        <f>D48+D50</f>
        <v>138840.89400000003</v>
      </c>
      <c r="E52" s="174">
        <f>E48+E50</f>
        <v>26977.061000000002</v>
      </c>
      <c r="F52" s="174">
        <f t="shared" ref="F52:H52" si="5">F48+F50</f>
        <v>41342.596999999994</v>
      </c>
      <c r="G52" s="175">
        <f t="shared" si="5"/>
        <v>0</v>
      </c>
      <c r="H52" s="175">
        <f t="shared" si="5"/>
        <v>0</v>
      </c>
      <c r="I52" s="176">
        <f>I48+I50</f>
        <v>-1587</v>
      </c>
      <c r="J52" s="175">
        <f t="shared" ref="J52:K52" si="6">J48+J50</f>
        <v>13069</v>
      </c>
      <c r="K52" s="177">
        <f t="shared" si="6"/>
        <v>0</v>
      </c>
      <c r="L52" s="176">
        <f>L48+L50</f>
        <v>0</v>
      </c>
      <c r="M52" s="177">
        <f>M48+M50</f>
        <v>0</v>
      </c>
      <c r="O52" s="19"/>
      <c r="R52" s="19"/>
      <c r="S52" s="19"/>
      <c r="T52" s="19"/>
    </row>
    <row r="53" spans="1:20" x14ac:dyDescent="0.2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"/>
      <c r="O53" s="2"/>
    </row>
    <row r="54" spans="1:20" x14ac:dyDescent="0.2"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"/>
      <c r="O54" s="2"/>
    </row>
  </sheetData>
  <mergeCells count="6">
    <mergeCell ref="L1:M1"/>
    <mergeCell ref="A4:M4"/>
    <mergeCell ref="D9:K9"/>
    <mergeCell ref="D10:H10"/>
    <mergeCell ref="I10:K10"/>
    <mergeCell ref="A6:M6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="110" zoomScaleNormal="110" workbookViewId="0">
      <pane xSplit="2" ySplit="16" topLeftCell="C17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N1" sqref="N1:O1"/>
    </sheetView>
  </sheetViews>
  <sheetFormatPr defaultRowHeight="12.75" x14ac:dyDescent="0.2"/>
  <cols>
    <col min="1" max="1" width="3.85546875" style="1" customWidth="1"/>
    <col min="2" max="2" width="30.7109375" style="1" customWidth="1"/>
    <col min="3" max="3" width="18.42578125" style="54" bestFit="1" customWidth="1"/>
    <col min="4" max="4" width="13.85546875" style="54" bestFit="1" customWidth="1"/>
    <col min="5" max="6" width="10.42578125" style="54" bestFit="1" customWidth="1"/>
    <col min="7" max="7" width="13.85546875" style="54" bestFit="1" customWidth="1"/>
    <col min="8" max="8" width="11.42578125" style="54" bestFit="1" customWidth="1"/>
    <col min="9" max="9" width="10.7109375" style="54" customWidth="1"/>
    <col min="10" max="10" width="13.85546875" style="54" bestFit="1" customWidth="1"/>
    <col min="11" max="11" width="16.7109375" style="54" bestFit="1" customWidth="1"/>
    <col min="12" max="13" width="13.85546875" style="54" bestFit="1" customWidth="1"/>
    <col min="14" max="14" width="11.28515625" style="54" bestFit="1" customWidth="1"/>
    <col min="15" max="15" width="10.7109375" style="54" customWidth="1"/>
    <col min="16" max="16" width="15" style="54" bestFit="1" customWidth="1"/>
    <col min="17" max="18" width="7.7109375" style="1" customWidth="1"/>
    <col min="19" max="16384" width="9.140625" style="1"/>
  </cols>
  <sheetData>
    <row r="1" spans="1:17" x14ac:dyDescent="0.2">
      <c r="M1" s="55"/>
      <c r="N1" s="201" t="s">
        <v>92</v>
      </c>
      <c r="O1" s="201"/>
    </row>
    <row r="2" spans="1:17" x14ac:dyDescent="0.2">
      <c r="M2" s="55"/>
      <c r="N2" s="55"/>
      <c r="O2" s="93"/>
    </row>
    <row r="3" spans="1:17" x14ac:dyDescent="0.2">
      <c r="M3" s="55"/>
      <c r="N3" s="55"/>
      <c r="O3" s="93"/>
    </row>
    <row r="4" spans="1:17" x14ac:dyDescent="0.2">
      <c r="A4" s="202" t="s">
        <v>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7" hidden="1" x14ac:dyDescent="0.2">
      <c r="A5" s="3"/>
      <c r="B5" s="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"/>
    </row>
    <row r="6" spans="1:17" x14ac:dyDescent="0.2">
      <c r="A6" s="3"/>
      <c r="B6" s="202" t="s">
        <v>94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56"/>
      <c r="P6" s="56"/>
      <c r="Q6" s="5"/>
    </row>
    <row r="7" spans="1:17" x14ac:dyDescent="0.2">
      <c r="A7" s="3"/>
      <c r="B7" s="4"/>
      <c r="C7" s="56"/>
      <c r="D7" s="56"/>
      <c r="E7" s="56"/>
      <c r="F7" s="56"/>
      <c r="G7" s="56"/>
      <c r="H7" s="94"/>
      <c r="I7" s="56"/>
      <c r="J7" s="56"/>
      <c r="K7" s="56"/>
      <c r="L7" s="56"/>
      <c r="M7" s="56"/>
      <c r="N7" s="56"/>
      <c r="O7" s="57"/>
      <c r="P7" s="56"/>
      <c r="Q7" s="5"/>
    </row>
    <row r="8" spans="1:17" ht="13.5" thickBot="1" x14ac:dyDescent="0.25">
      <c r="A8" s="3"/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9" t="s">
        <v>0</v>
      </c>
      <c r="P8" s="95"/>
      <c r="Q8" s="20"/>
    </row>
    <row r="9" spans="1:17" ht="13.5" thickBot="1" x14ac:dyDescent="0.25">
      <c r="A9" s="6"/>
      <c r="B9" s="7"/>
      <c r="C9" s="60"/>
      <c r="D9" s="208" t="s">
        <v>1</v>
      </c>
      <c r="E9" s="208"/>
      <c r="F9" s="208"/>
      <c r="G9" s="203"/>
      <c r="H9" s="203"/>
      <c r="I9" s="203"/>
      <c r="J9" s="208"/>
      <c r="K9" s="208"/>
      <c r="L9" s="208"/>
      <c r="M9" s="208"/>
      <c r="N9" s="209" t="s">
        <v>2</v>
      </c>
      <c r="O9" s="204"/>
      <c r="P9" s="96"/>
      <c r="Q9" s="18"/>
    </row>
    <row r="10" spans="1:17" ht="13.5" thickBot="1" x14ac:dyDescent="0.25">
      <c r="A10" s="8"/>
      <c r="B10" s="35"/>
      <c r="C10" s="97"/>
      <c r="D10" s="210" t="s">
        <v>61</v>
      </c>
      <c r="E10" s="211"/>
      <c r="F10" s="211"/>
      <c r="G10" s="211"/>
      <c r="H10" s="211"/>
      <c r="I10" s="212"/>
      <c r="J10" s="210" t="s">
        <v>56</v>
      </c>
      <c r="K10" s="211"/>
      <c r="L10" s="211"/>
      <c r="M10" s="211"/>
      <c r="N10" s="98"/>
      <c r="O10" s="99"/>
      <c r="P10" s="96"/>
      <c r="Q10" s="18"/>
    </row>
    <row r="11" spans="1:17" ht="12.75" customHeight="1" x14ac:dyDescent="0.2">
      <c r="A11" s="21"/>
      <c r="B11" s="10" t="s">
        <v>60</v>
      </c>
      <c r="C11" s="66" t="s">
        <v>3</v>
      </c>
      <c r="D11" s="96"/>
      <c r="E11" s="82"/>
      <c r="F11" s="100"/>
      <c r="G11" s="70"/>
      <c r="H11" s="101"/>
      <c r="I11" s="102"/>
      <c r="J11" s="103"/>
      <c r="K11" s="104"/>
      <c r="L11" s="103"/>
      <c r="M11" s="104"/>
      <c r="N11" s="73" t="s">
        <v>10</v>
      </c>
      <c r="O11" s="74" t="s">
        <v>13</v>
      </c>
      <c r="P11" s="96"/>
      <c r="Q11" s="18"/>
    </row>
    <row r="12" spans="1:17" x14ac:dyDescent="0.2">
      <c r="A12" s="21"/>
      <c r="B12" s="10" t="s">
        <v>20</v>
      </c>
      <c r="C12" s="66" t="s">
        <v>46</v>
      </c>
      <c r="D12" s="105" t="s">
        <v>10</v>
      </c>
      <c r="E12" s="106" t="s">
        <v>10</v>
      </c>
      <c r="F12" s="106" t="s">
        <v>10</v>
      </c>
      <c r="G12" s="73" t="s">
        <v>13</v>
      </c>
      <c r="H12" s="106" t="s">
        <v>49</v>
      </c>
      <c r="I12" s="74" t="s">
        <v>13</v>
      </c>
      <c r="J12" s="107" t="s">
        <v>10</v>
      </c>
      <c r="K12" s="77" t="s">
        <v>10</v>
      </c>
      <c r="L12" s="107" t="s">
        <v>13</v>
      </c>
      <c r="M12" s="77" t="s">
        <v>13</v>
      </c>
      <c r="N12" s="73" t="s">
        <v>17</v>
      </c>
      <c r="O12" s="74" t="s">
        <v>17</v>
      </c>
      <c r="P12" s="96"/>
      <c r="Q12" s="18"/>
    </row>
    <row r="13" spans="1:17" x14ac:dyDescent="0.2">
      <c r="A13" s="22"/>
      <c r="B13" s="10"/>
      <c r="C13" s="66" t="s">
        <v>14</v>
      </c>
      <c r="D13" s="105" t="s">
        <v>46</v>
      </c>
      <c r="E13" s="106" t="s">
        <v>46</v>
      </c>
      <c r="F13" s="106" t="s">
        <v>17</v>
      </c>
      <c r="G13" s="73" t="s">
        <v>46</v>
      </c>
      <c r="H13" s="106" t="s">
        <v>46</v>
      </c>
      <c r="I13" s="74" t="s">
        <v>17</v>
      </c>
      <c r="J13" s="107" t="s">
        <v>57</v>
      </c>
      <c r="K13" s="77" t="s">
        <v>59</v>
      </c>
      <c r="L13" s="107" t="s">
        <v>57</v>
      </c>
      <c r="M13" s="77" t="s">
        <v>59</v>
      </c>
      <c r="N13" s="73"/>
      <c r="O13" s="74"/>
      <c r="P13" s="96"/>
      <c r="Q13" s="18"/>
    </row>
    <row r="14" spans="1:17" x14ac:dyDescent="0.2">
      <c r="A14" s="12" t="s">
        <v>19</v>
      </c>
      <c r="B14" s="10"/>
      <c r="C14" s="83"/>
      <c r="D14" s="75" t="s">
        <v>50</v>
      </c>
      <c r="E14" s="106"/>
      <c r="F14" s="106" t="s">
        <v>54</v>
      </c>
      <c r="G14" s="108" t="s">
        <v>50</v>
      </c>
      <c r="H14" s="106"/>
      <c r="I14" s="74" t="s">
        <v>54</v>
      </c>
      <c r="J14" s="107" t="s">
        <v>55</v>
      </c>
      <c r="K14" s="77" t="s">
        <v>48</v>
      </c>
      <c r="L14" s="107" t="s">
        <v>55</v>
      </c>
      <c r="M14" s="77" t="s">
        <v>48</v>
      </c>
      <c r="N14" s="73"/>
      <c r="O14" s="74"/>
      <c r="P14" s="96"/>
      <c r="Q14" s="18"/>
    </row>
    <row r="15" spans="1:17" x14ac:dyDescent="0.2">
      <c r="A15" s="12"/>
      <c r="B15" s="10"/>
      <c r="C15" s="83"/>
      <c r="D15" s="75" t="s">
        <v>52</v>
      </c>
      <c r="E15" s="106"/>
      <c r="F15" s="106" t="s">
        <v>23</v>
      </c>
      <c r="G15" s="108" t="s">
        <v>52</v>
      </c>
      <c r="H15" s="106"/>
      <c r="I15" s="74" t="s">
        <v>23</v>
      </c>
      <c r="J15" s="107" t="s">
        <v>58</v>
      </c>
      <c r="K15" s="74"/>
      <c r="L15" s="107" t="s">
        <v>58</v>
      </c>
      <c r="M15" s="74"/>
      <c r="N15" s="73"/>
      <c r="O15" s="74"/>
      <c r="P15" s="96"/>
      <c r="Q15" s="18"/>
    </row>
    <row r="16" spans="1:17" x14ac:dyDescent="0.2">
      <c r="A16" s="11"/>
      <c r="B16" s="29"/>
      <c r="C16" s="83"/>
      <c r="D16" s="91"/>
      <c r="E16" s="106"/>
      <c r="F16" s="106"/>
      <c r="G16" s="92"/>
      <c r="H16" s="106"/>
      <c r="I16" s="74"/>
      <c r="J16" s="109"/>
      <c r="K16" s="74"/>
      <c r="L16" s="109"/>
      <c r="M16" s="87"/>
      <c r="N16" s="79"/>
      <c r="O16" s="88"/>
      <c r="P16" s="96"/>
      <c r="Q16" s="18"/>
    </row>
    <row r="17" spans="1:19" x14ac:dyDescent="0.2">
      <c r="A17" s="17">
        <v>1</v>
      </c>
      <c r="B17" s="16">
        <v>2</v>
      </c>
      <c r="C17" s="112">
        <v>3</v>
      </c>
      <c r="D17" s="113">
        <v>4</v>
      </c>
      <c r="E17" s="113">
        <v>5</v>
      </c>
      <c r="F17" s="115">
        <v>6</v>
      </c>
      <c r="G17" s="119">
        <v>7</v>
      </c>
      <c r="H17" s="115">
        <v>8</v>
      </c>
      <c r="I17" s="118">
        <v>9</v>
      </c>
      <c r="J17" s="119">
        <v>10</v>
      </c>
      <c r="K17" s="118">
        <v>11</v>
      </c>
      <c r="L17" s="119">
        <v>12</v>
      </c>
      <c r="M17" s="118">
        <v>13</v>
      </c>
      <c r="N17" s="119">
        <v>14</v>
      </c>
      <c r="O17" s="118">
        <v>15</v>
      </c>
      <c r="P17" s="96"/>
      <c r="Q17" s="18"/>
    </row>
    <row r="18" spans="1:19" x14ac:dyDescent="0.2">
      <c r="A18" s="24"/>
      <c r="B18" s="10"/>
      <c r="C18" s="89"/>
      <c r="D18" s="67"/>
      <c r="E18" s="110"/>
      <c r="F18" s="67"/>
      <c r="G18" s="79"/>
      <c r="H18" s="67"/>
      <c r="I18" s="90"/>
      <c r="J18" s="79"/>
      <c r="K18" s="90"/>
      <c r="L18" s="79"/>
      <c r="M18" s="90"/>
      <c r="N18" s="79"/>
      <c r="O18" s="90"/>
      <c r="P18" s="96"/>
      <c r="Q18" s="18"/>
    </row>
    <row r="19" spans="1:19" x14ac:dyDescent="0.2">
      <c r="A19" s="24" t="s">
        <v>64</v>
      </c>
      <c r="B19" s="30" t="s">
        <v>27</v>
      </c>
      <c r="C19" s="136">
        <f>SUM(D19:O19)</f>
        <v>32587.297999999999</v>
      </c>
      <c r="D19" s="137"/>
      <c r="E19" s="178"/>
      <c r="F19" s="137"/>
      <c r="G19" s="126"/>
      <c r="H19" s="137"/>
      <c r="I19" s="125"/>
      <c r="J19" s="126"/>
      <c r="K19" s="125">
        <f>310.7+717+723.094+3434.432+23350.3+557.231+3494.541-211</f>
        <v>32376.297999999999</v>
      </c>
      <c r="L19" s="126"/>
      <c r="M19" s="125">
        <v>211</v>
      </c>
      <c r="N19" s="126"/>
      <c r="O19" s="125"/>
      <c r="P19" s="96"/>
      <c r="Q19" s="23"/>
      <c r="S19" s="19"/>
    </row>
    <row r="20" spans="1:19" x14ac:dyDescent="0.2">
      <c r="A20" s="8"/>
      <c r="B20" s="31"/>
      <c r="C20" s="136"/>
      <c r="D20" s="137"/>
      <c r="E20" s="178"/>
      <c r="F20" s="137"/>
      <c r="G20" s="126"/>
      <c r="H20" s="137"/>
      <c r="I20" s="125"/>
      <c r="J20" s="126"/>
      <c r="K20" s="125"/>
      <c r="L20" s="126"/>
      <c r="M20" s="125"/>
      <c r="N20" s="126"/>
      <c r="O20" s="125"/>
      <c r="P20" s="96"/>
      <c r="Q20" s="23"/>
      <c r="S20" s="19"/>
    </row>
    <row r="21" spans="1:19" x14ac:dyDescent="0.2">
      <c r="A21" s="41" t="s">
        <v>26</v>
      </c>
      <c r="B21" s="43" t="s">
        <v>80</v>
      </c>
      <c r="C21" s="138">
        <f t="shared" ref="C21:O21" si="0">SUM(C19:C20)</f>
        <v>32587.297999999999</v>
      </c>
      <c r="D21" s="139">
        <f t="shared" si="0"/>
        <v>0</v>
      </c>
      <c r="E21" s="140">
        <f t="shared" si="0"/>
        <v>0</v>
      </c>
      <c r="F21" s="139">
        <f t="shared" si="0"/>
        <v>0</v>
      </c>
      <c r="G21" s="142">
        <f t="shared" si="0"/>
        <v>0</v>
      </c>
      <c r="H21" s="140">
        <f t="shared" si="0"/>
        <v>0</v>
      </c>
      <c r="I21" s="143">
        <f t="shared" si="0"/>
        <v>0</v>
      </c>
      <c r="J21" s="142">
        <f t="shared" si="0"/>
        <v>0</v>
      </c>
      <c r="K21" s="143">
        <f t="shared" si="0"/>
        <v>32376.297999999999</v>
      </c>
      <c r="L21" s="142">
        <f t="shared" si="0"/>
        <v>0</v>
      </c>
      <c r="M21" s="144">
        <f t="shared" si="0"/>
        <v>211</v>
      </c>
      <c r="N21" s="142">
        <f t="shared" si="0"/>
        <v>0</v>
      </c>
      <c r="O21" s="144">
        <f t="shared" si="0"/>
        <v>0</v>
      </c>
      <c r="P21" s="96"/>
      <c r="Q21" s="23"/>
      <c r="S21" s="19"/>
    </row>
    <row r="22" spans="1:19" x14ac:dyDescent="0.2">
      <c r="A22" s="8"/>
      <c r="B22" s="32"/>
      <c r="C22" s="179"/>
      <c r="D22" s="137"/>
      <c r="E22" s="178"/>
      <c r="F22" s="137"/>
      <c r="G22" s="126"/>
      <c r="H22" s="137"/>
      <c r="I22" s="125"/>
      <c r="J22" s="126"/>
      <c r="K22" s="125"/>
      <c r="L22" s="126"/>
      <c r="M22" s="125"/>
      <c r="N22" s="126"/>
      <c r="O22" s="125"/>
      <c r="P22" s="96"/>
      <c r="Q22" s="23"/>
      <c r="S22" s="19"/>
    </row>
    <row r="23" spans="1:19" x14ac:dyDescent="0.2">
      <c r="A23" s="24" t="s">
        <v>64</v>
      </c>
      <c r="B23" s="30" t="s">
        <v>28</v>
      </c>
      <c r="C23" s="136">
        <f t="shared" ref="C23:C35" si="1">SUM(D23:O23)</f>
        <v>6903.811999999999</v>
      </c>
      <c r="D23" s="137"/>
      <c r="E23" s="178"/>
      <c r="F23" s="137">
        <v>1355.2059999999999</v>
      </c>
      <c r="G23" s="126"/>
      <c r="H23" s="137"/>
      <c r="I23" s="125"/>
      <c r="J23" s="126"/>
      <c r="K23" s="125">
        <f>286.8+239+206+15.774+4579.24+211.276+10.516-1423</f>
        <v>4125.6059999999989</v>
      </c>
      <c r="L23" s="126"/>
      <c r="M23" s="125">
        <v>1423</v>
      </c>
      <c r="N23" s="126"/>
      <c r="O23" s="125"/>
      <c r="P23" s="96"/>
      <c r="Q23" s="23"/>
      <c r="S23" s="19"/>
    </row>
    <row r="24" spans="1:19" x14ac:dyDescent="0.2">
      <c r="A24" s="24" t="s">
        <v>65</v>
      </c>
      <c r="B24" s="30" t="s">
        <v>30</v>
      </c>
      <c r="C24" s="136">
        <f t="shared" si="1"/>
        <v>7335.8240000000005</v>
      </c>
      <c r="D24" s="137"/>
      <c r="E24" s="178"/>
      <c r="F24" s="137"/>
      <c r="G24" s="126"/>
      <c r="H24" s="137"/>
      <c r="I24" s="125"/>
      <c r="J24" s="126"/>
      <c r="K24" s="125">
        <f>310.7+358.5+250+69.429+390+5750.34+149.136+57.719</f>
        <v>7335.8240000000005</v>
      </c>
      <c r="L24" s="126"/>
      <c r="M24" s="125"/>
      <c r="N24" s="126"/>
      <c r="O24" s="125"/>
      <c r="P24" s="96"/>
      <c r="Q24" s="23"/>
      <c r="S24" s="19"/>
    </row>
    <row r="25" spans="1:19" x14ac:dyDescent="0.2">
      <c r="A25" s="24" t="s">
        <v>66</v>
      </c>
      <c r="B25" s="30" t="s">
        <v>32</v>
      </c>
      <c r="C25" s="136">
        <f t="shared" si="1"/>
        <v>5135.9750000000004</v>
      </c>
      <c r="D25" s="137"/>
      <c r="E25" s="178"/>
      <c r="F25" s="137"/>
      <c r="G25" s="126"/>
      <c r="H25" s="137"/>
      <c r="I25" s="125"/>
      <c r="J25" s="126"/>
      <c r="K25" s="125">
        <f>286.8+358.5+350+38.002+3924.38+152.243+26.05</f>
        <v>5135.9750000000004</v>
      </c>
      <c r="L25" s="126"/>
      <c r="M25" s="125"/>
      <c r="N25" s="126"/>
      <c r="O25" s="125"/>
      <c r="P25" s="111"/>
      <c r="Q25" s="23"/>
      <c r="S25" s="19"/>
    </row>
    <row r="26" spans="1:19" x14ac:dyDescent="0.2">
      <c r="A26" s="24" t="s">
        <v>67</v>
      </c>
      <c r="B26" s="30" t="s">
        <v>34</v>
      </c>
      <c r="C26" s="136">
        <f t="shared" si="1"/>
        <v>4952.1480000000001</v>
      </c>
      <c r="D26" s="137"/>
      <c r="E26" s="178"/>
      <c r="F26" s="137"/>
      <c r="G26" s="126"/>
      <c r="H26" s="137"/>
      <c r="I26" s="125"/>
      <c r="J26" s="126"/>
      <c r="K26" s="125">
        <f>286.8+358.5+130+8.962+135+3800.1+226.811+5.975</f>
        <v>4952.1480000000001</v>
      </c>
      <c r="L26" s="126"/>
      <c r="M26" s="125"/>
      <c r="N26" s="126"/>
      <c r="O26" s="125"/>
      <c r="P26" s="96"/>
      <c r="Q26" s="23"/>
      <c r="S26" s="19"/>
    </row>
    <row r="27" spans="1:19" x14ac:dyDescent="0.2">
      <c r="A27" s="24" t="s">
        <v>68</v>
      </c>
      <c r="B27" s="30" t="s">
        <v>35</v>
      </c>
      <c r="C27" s="136">
        <f t="shared" si="1"/>
        <v>8831.7170000000006</v>
      </c>
      <c r="D27" s="137"/>
      <c r="E27" s="178"/>
      <c r="F27" s="137"/>
      <c r="G27" s="126"/>
      <c r="H27" s="137"/>
      <c r="I27" s="125"/>
      <c r="J27" s="126"/>
      <c r="K27" s="125">
        <f>334.6+358.5+350+78.153+135+7184.34+329.342+61.782</f>
        <v>8831.7170000000006</v>
      </c>
      <c r="L27" s="126"/>
      <c r="M27" s="125"/>
      <c r="N27" s="126"/>
      <c r="O27" s="125"/>
      <c r="P27" s="96"/>
      <c r="Q27" s="23"/>
      <c r="S27" s="19"/>
    </row>
    <row r="28" spans="1:19" x14ac:dyDescent="0.2">
      <c r="A28" s="24" t="s">
        <v>69</v>
      </c>
      <c r="B28" s="30" t="s">
        <v>36</v>
      </c>
      <c r="C28" s="136">
        <f t="shared" si="1"/>
        <v>5200.6240000000007</v>
      </c>
      <c r="D28" s="137"/>
      <c r="E28" s="178"/>
      <c r="F28" s="137"/>
      <c r="G28" s="126"/>
      <c r="H28" s="137"/>
      <c r="I28" s="125"/>
      <c r="J28" s="126"/>
      <c r="K28" s="125">
        <f>310.7+358.5+350+7.529+4010.42+158.457+5.018</f>
        <v>5200.6240000000007</v>
      </c>
      <c r="L28" s="126"/>
      <c r="M28" s="125"/>
      <c r="N28" s="126"/>
      <c r="O28" s="125"/>
      <c r="P28" s="96"/>
      <c r="Q28" s="23"/>
      <c r="S28" s="19"/>
    </row>
    <row r="29" spans="1:19" x14ac:dyDescent="0.2">
      <c r="A29" s="24" t="s">
        <v>70</v>
      </c>
      <c r="B29" s="30" t="s">
        <v>37</v>
      </c>
      <c r="C29" s="136">
        <f t="shared" si="1"/>
        <v>5091.4030000000002</v>
      </c>
      <c r="D29" s="137"/>
      <c r="E29" s="178"/>
      <c r="F29" s="137"/>
      <c r="G29" s="126"/>
      <c r="H29" s="137"/>
      <c r="I29" s="125"/>
      <c r="J29" s="126"/>
      <c r="K29" s="125">
        <f>286.8+239+350+41.946+3948.28+189.527+35.85</f>
        <v>5091.4030000000002</v>
      </c>
      <c r="L29" s="126"/>
      <c r="M29" s="125"/>
      <c r="N29" s="126"/>
      <c r="O29" s="125"/>
      <c r="P29" s="96"/>
      <c r="Q29" s="23"/>
      <c r="S29" s="19"/>
    </row>
    <row r="30" spans="1:19" x14ac:dyDescent="0.2">
      <c r="A30" s="24" t="s">
        <v>71</v>
      </c>
      <c r="B30" s="30" t="s">
        <v>38</v>
      </c>
      <c r="C30" s="136">
        <f>SUM(D30:O30)</f>
        <v>7025.5179999999973</v>
      </c>
      <c r="D30" s="137"/>
      <c r="E30" s="178"/>
      <c r="F30" s="137"/>
      <c r="G30" s="126"/>
      <c r="H30" s="137"/>
      <c r="I30" s="125"/>
      <c r="J30" s="126"/>
      <c r="K30" s="125">
        <f>382.4+358.5+344+107.192+135+119.5+2681.675+6457.78+792+285.844+3905.439-11482.004+88.192</f>
        <v>4175.5179999999973</v>
      </c>
      <c r="L30" s="126"/>
      <c r="M30" s="125">
        <f>-250+3100</f>
        <v>2850</v>
      </c>
      <c r="N30" s="126"/>
      <c r="O30" s="125"/>
      <c r="P30" s="96"/>
      <c r="Q30" s="23"/>
      <c r="S30" s="19"/>
    </row>
    <row r="31" spans="1:19" x14ac:dyDescent="0.2">
      <c r="A31" s="24" t="s">
        <v>74</v>
      </c>
      <c r="B31" s="30" t="s">
        <v>39</v>
      </c>
      <c r="C31" s="136">
        <f t="shared" si="1"/>
        <v>30080.919000000002</v>
      </c>
      <c r="D31" s="137"/>
      <c r="E31" s="178"/>
      <c r="F31" s="137"/>
      <c r="G31" s="126"/>
      <c r="H31" s="137"/>
      <c r="I31" s="125"/>
      <c r="J31" s="126"/>
      <c r="K31" s="125">
        <f>310.7+358.5+350+7246.48+326.235+11565.004-1</f>
        <v>20155.919000000002</v>
      </c>
      <c r="L31" s="126"/>
      <c r="M31" s="125">
        <f>9757+167+1</f>
        <v>9925</v>
      </c>
      <c r="N31" s="126"/>
      <c r="O31" s="125"/>
      <c r="P31" s="96"/>
      <c r="Q31" s="23"/>
      <c r="S31" s="19"/>
    </row>
    <row r="32" spans="1:19" x14ac:dyDescent="0.2">
      <c r="A32" s="24" t="s">
        <v>72</v>
      </c>
      <c r="B32" s="30" t="s">
        <v>40</v>
      </c>
      <c r="C32" s="136">
        <f t="shared" si="1"/>
        <v>5319.2329999999993</v>
      </c>
      <c r="D32" s="137"/>
      <c r="E32" s="178"/>
      <c r="F32" s="137"/>
      <c r="G32" s="126"/>
      <c r="H32" s="137"/>
      <c r="I32" s="125"/>
      <c r="J32" s="126"/>
      <c r="K32" s="125">
        <f>286.8+358.5+270+31.905+4206.4+142.922+22.706</f>
        <v>5319.2329999999993</v>
      </c>
      <c r="L32" s="126"/>
      <c r="M32" s="125"/>
      <c r="N32" s="126"/>
      <c r="O32" s="125"/>
      <c r="P32" s="96"/>
      <c r="Q32" s="23"/>
      <c r="S32" s="19"/>
    </row>
    <row r="33" spans="1:21" x14ac:dyDescent="0.2">
      <c r="A33" s="24" t="s">
        <v>73</v>
      </c>
      <c r="B33" s="30" t="s">
        <v>85</v>
      </c>
      <c r="C33" s="136">
        <f t="shared" si="1"/>
        <v>7482.7170000000006</v>
      </c>
      <c r="D33" s="137"/>
      <c r="E33" s="178"/>
      <c r="F33" s="137"/>
      <c r="G33" s="126"/>
      <c r="H33" s="137"/>
      <c r="I33" s="125"/>
      <c r="J33" s="126"/>
      <c r="K33" s="125">
        <f>310.7+239+350+31.548+6257.02+273.416+21.033</f>
        <v>7482.7170000000006</v>
      </c>
      <c r="L33" s="126"/>
      <c r="M33" s="125"/>
      <c r="N33" s="126"/>
      <c r="O33" s="125"/>
      <c r="P33" s="96"/>
      <c r="Q33" s="23"/>
      <c r="S33" s="19"/>
    </row>
    <row r="34" spans="1:21" x14ac:dyDescent="0.2">
      <c r="A34" s="24" t="s">
        <v>87</v>
      </c>
      <c r="B34" s="30" t="s">
        <v>88</v>
      </c>
      <c r="C34" s="136">
        <f t="shared" si="1"/>
        <v>7525.7739999999994</v>
      </c>
      <c r="D34" s="137"/>
      <c r="E34" s="178"/>
      <c r="F34" s="137"/>
      <c r="G34" s="126"/>
      <c r="H34" s="137"/>
      <c r="I34" s="125"/>
      <c r="J34" s="126"/>
      <c r="K34" s="125">
        <f>310.7+358.5+340+6323.94+192.634</f>
        <v>7525.7739999999994</v>
      </c>
      <c r="L34" s="126"/>
      <c r="M34" s="125"/>
      <c r="N34" s="126"/>
      <c r="O34" s="125"/>
      <c r="P34" s="96"/>
      <c r="Q34" s="23"/>
      <c r="S34" s="19"/>
    </row>
    <row r="35" spans="1:21" x14ac:dyDescent="0.2">
      <c r="A35" s="24"/>
      <c r="B35" s="9"/>
      <c r="C35" s="136">
        <f t="shared" si="1"/>
        <v>0</v>
      </c>
      <c r="D35" s="137"/>
      <c r="E35" s="178"/>
      <c r="F35" s="137"/>
      <c r="G35" s="126"/>
      <c r="H35" s="137"/>
      <c r="I35" s="125"/>
      <c r="J35" s="126"/>
      <c r="K35" s="125"/>
      <c r="L35" s="126"/>
      <c r="M35" s="125"/>
      <c r="N35" s="126"/>
      <c r="O35" s="125"/>
      <c r="P35" s="96"/>
      <c r="Q35" s="23"/>
      <c r="S35" s="19"/>
    </row>
    <row r="36" spans="1:21" x14ac:dyDescent="0.2">
      <c r="A36" s="41" t="s">
        <v>29</v>
      </c>
      <c r="B36" s="26" t="s">
        <v>81</v>
      </c>
      <c r="C36" s="138">
        <f>SUM(C23:C35)</f>
        <v>100885.664</v>
      </c>
      <c r="D36" s="139">
        <f t="shared" ref="D36:O36" si="2">SUM(D23:D35)</f>
        <v>0</v>
      </c>
      <c r="E36" s="140">
        <f t="shared" si="2"/>
        <v>0</v>
      </c>
      <c r="F36" s="139">
        <f t="shared" si="2"/>
        <v>1355.2059999999999</v>
      </c>
      <c r="G36" s="142">
        <f t="shared" si="2"/>
        <v>0</v>
      </c>
      <c r="H36" s="140">
        <f t="shared" si="2"/>
        <v>0</v>
      </c>
      <c r="I36" s="143">
        <f t="shared" si="2"/>
        <v>0</v>
      </c>
      <c r="J36" s="142">
        <f>SUM(J23:J35)</f>
        <v>0</v>
      </c>
      <c r="K36" s="143">
        <f>SUM(K23:K35)</f>
        <v>85332.457999999999</v>
      </c>
      <c r="L36" s="142">
        <f t="shared" si="2"/>
        <v>0</v>
      </c>
      <c r="M36" s="144">
        <f t="shared" si="2"/>
        <v>14198</v>
      </c>
      <c r="N36" s="142">
        <f t="shared" si="2"/>
        <v>0</v>
      </c>
      <c r="O36" s="144">
        <f t="shared" si="2"/>
        <v>0</v>
      </c>
      <c r="P36" s="96"/>
      <c r="Q36" s="23"/>
      <c r="S36" s="19"/>
    </row>
    <row r="37" spans="1:21" x14ac:dyDescent="0.2">
      <c r="A37" s="8"/>
      <c r="B37" s="9"/>
      <c r="C37" s="136"/>
      <c r="D37" s="137"/>
      <c r="E37" s="178"/>
      <c r="F37" s="137"/>
      <c r="G37" s="126"/>
      <c r="H37" s="137"/>
      <c r="I37" s="125"/>
      <c r="J37" s="126"/>
      <c r="K37" s="125"/>
      <c r="L37" s="126"/>
      <c r="M37" s="125"/>
      <c r="N37" s="126"/>
      <c r="O37" s="125"/>
      <c r="P37" s="96"/>
      <c r="Q37" s="23"/>
      <c r="S37" s="19"/>
    </row>
    <row r="38" spans="1:21" x14ac:dyDescent="0.2">
      <c r="A38" s="24" t="s">
        <v>64</v>
      </c>
      <c r="B38" s="30" t="s">
        <v>41</v>
      </c>
      <c r="C38" s="136">
        <f>SUM(D38:O38)</f>
        <v>6078.93</v>
      </c>
      <c r="D38" s="137"/>
      <c r="E38" s="178"/>
      <c r="F38" s="137"/>
      <c r="G38" s="126"/>
      <c r="H38" s="137"/>
      <c r="I38" s="125"/>
      <c r="J38" s="126"/>
      <c r="K38" s="125">
        <f>700+358.5+180.685+2450.663+180.684+2208.398</f>
        <v>6078.93</v>
      </c>
      <c r="L38" s="126"/>
      <c r="M38" s="125"/>
      <c r="N38" s="126"/>
      <c r="O38" s="125"/>
      <c r="P38" s="96"/>
      <c r="Q38" s="23"/>
      <c r="S38" s="19"/>
    </row>
    <row r="39" spans="1:21" x14ac:dyDescent="0.2">
      <c r="A39" s="24" t="s">
        <v>65</v>
      </c>
      <c r="B39" s="30" t="s">
        <v>42</v>
      </c>
      <c r="C39" s="136">
        <f>SUM(D39:O39)</f>
        <v>7219.1880000000001</v>
      </c>
      <c r="D39" s="137"/>
      <c r="E39" s="178"/>
      <c r="F39" s="137"/>
      <c r="G39" s="126"/>
      <c r="H39" s="137"/>
      <c r="I39" s="125"/>
      <c r="J39" s="126"/>
      <c r="K39" s="125">
        <f>200+358.5+3037.65+266.725+262.303+3094.01</f>
        <v>7219.1880000000001</v>
      </c>
      <c r="L39" s="126"/>
      <c r="M39" s="125"/>
      <c r="N39" s="126"/>
      <c r="O39" s="125"/>
      <c r="P39" s="96"/>
      <c r="Q39" s="23"/>
      <c r="S39" s="19"/>
    </row>
    <row r="40" spans="1:21" x14ac:dyDescent="0.2">
      <c r="A40" s="24" t="s">
        <v>66</v>
      </c>
      <c r="B40" s="30" t="s">
        <v>43</v>
      </c>
      <c r="C40" s="136">
        <f>SUM(D40:O40)</f>
        <v>7527.4459999999999</v>
      </c>
      <c r="D40" s="137"/>
      <c r="E40" s="178"/>
      <c r="F40" s="137"/>
      <c r="G40" s="126"/>
      <c r="H40" s="137"/>
      <c r="I40" s="125"/>
      <c r="J40" s="124"/>
      <c r="K40" s="125">
        <f>188+358.5+205.778+3272.922+216.894+3285.352</f>
        <v>7527.4459999999999</v>
      </c>
      <c r="L40" s="126"/>
      <c r="M40" s="125"/>
      <c r="N40" s="126"/>
      <c r="O40" s="125"/>
      <c r="P40" s="96"/>
      <c r="Q40" s="23"/>
      <c r="S40" s="19"/>
    </row>
    <row r="41" spans="1:21" x14ac:dyDescent="0.2">
      <c r="A41" s="24" t="s">
        <v>67</v>
      </c>
      <c r="B41" s="30" t="s">
        <v>44</v>
      </c>
      <c r="C41" s="136">
        <f>SUM(D41:O41)</f>
        <v>5521.2280000000001</v>
      </c>
      <c r="D41" s="137"/>
      <c r="E41" s="178"/>
      <c r="F41" s="137"/>
      <c r="G41" s="126"/>
      <c r="H41" s="137"/>
      <c r="I41" s="125"/>
      <c r="J41" s="126"/>
      <c r="K41" s="125">
        <f>358.5+200.041+2363.096+200.041+2399.55</f>
        <v>5521.2280000000001</v>
      </c>
      <c r="L41" s="126"/>
      <c r="M41" s="125"/>
      <c r="N41" s="126"/>
      <c r="O41" s="125"/>
      <c r="P41" s="96"/>
      <c r="Q41" s="23"/>
      <c r="S41" s="19"/>
    </row>
    <row r="42" spans="1:21" x14ac:dyDescent="0.2">
      <c r="A42" s="24" t="s">
        <v>68</v>
      </c>
      <c r="B42" s="30" t="s">
        <v>90</v>
      </c>
      <c r="C42" s="136">
        <f>SUM(D42:O42)</f>
        <v>22368.845999999998</v>
      </c>
      <c r="D42" s="137"/>
      <c r="E42" s="178"/>
      <c r="F42" s="137">
        <f>1600+357.725</f>
        <v>1957.7249999999999</v>
      </c>
      <c r="G42" s="126"/>
      <c r="H42" s="137"/>
      <c r="I42" s="125"/>
      <c r="J42" s="126"/>
      <c r="K42" s="125">
        <f>600+358.5+958.99+8973.037+894.704+8625.89</f>
        <v>20411.120999999999</v>
      </c>
      <c r="L42" s="126"/>
      <c r="M42" s="125"/>
      <c r="N42" s="126"/>
      <c r="O42" s="125"/>
      <c r="P42" s="96"/>
      <c r="Q42" s="23"/>
      <c r="S42" s="19"/>
    </row>
    <row r="43" spans="1:21" x14ac:dyDescent="0.2">
      <c r="A43" s="24"/>
      <c r="B43" s="30"/>
      <c r="C43" s="136"/>
      <c r="D43" s="137"/>
      <c r="E43" s="178"/>
      <c r="F43" s="137"/>
      <c r="G43" s="126"/>
      <c r="H43" s="137"/>
      <c r="I43" s="125"/>
      <c r="J43" s="126"/>
      <c r="K43" s="125"/>
      <c r="L43" s="126"/>
      <c r="M43" s="125"/>
      <c r="N43" s="126"/>
      <c r="O43" s="125"/>
      <c r="P43" s="96"/>
      <c r="Q43" s="23"/>
      <c r="S43" s="19"/>
    </row>
    <row r="44" spans="1:21" x14ac:dyDescent="0.2">
      <c r="A44" s="41" t="s">
        <v>31</v>
      </c>
      <c r="B44" s="26" t="s">
        <v>83</v>
      </c>
      <c r="C44" s="138">
        <f>SUM(C38:C43)</f>
        <v>48715.637999999992</v>
      </c>
      <c r="D44" s="139">
        <f t="shared" ref="D44:O44" si="3">SUM(D38:D43)</f>
        <v>0</v>
      </c>
      <c r="E44" s="140">
        <f t="shared" si="3"/>
        <v>0</v>
      </c>
      <c r="F44" s="139">
        <f t="shared" si="3"/>
        <v>1957.7249999999999</v>
      </c>
      <c r="G44" s="142">
        <f t="shared" si="3"/>
        <v>0</v>
      </c>
      <c r="H44" s="140">
        <f t="shared" si="3"/>
        <v>0</v>
      </c>
      <c r="I44" s="143">
        <f t="shared" si="3"/>
        <v>0</v>
      </c>
      <c r="J44" s="142">
        <f>SUM(J38:J43)</f>
        <v>0</v>
      </c>
      <c r="K44" s="143">
        <f t="shared" si="3"/>
        <v>46757.913</v>
      </c>
      <c r="L44" s="142">
        <f t="shared" si="3"/>
        <v>0</v>
      </c>
      <c r="M44" s="144">
        <f t="shared" si="3"/>
        <v>0</v>
      </c>
      <c r="N44" s="142">
        <f t="shared" si="3"/>
        <v>0</v>
      </c>
      <c r="O44" s="144">
        <f t="shared" si="3"/>
        <v>0</v>
      </c>
      <c r="P44" s="96"/>
      <c r="Q44" s="23"/>
      <c r="R44" s="18"/>
      <c r="S44" s="19"/>
      <c r="U44" s="19"/>
    </row>
    <row r="45" spans="1:21" x14ac:dyDescent="0.2">
      <c r="A45" s="28"/>
      <c r="B45" s="27"/>
      <c r="C45" s="147"/>
      <c r="D45" s="148"/>
      <c r="E45" s="180"/>
      <c r="F45" s="148"/>
      <c r="G45" s="149"/>
      <c r="H45" s="148"/>
      <c r="I45" s="150"/>
      <c r="J45" s="149"/>
      <c r="K45" s="150"/>
      <c r="L45" s="149"/>
      <c r="M45" s="150"/>
      <c r="N45" s="149"/>
      <c r="O45" s="150"/>
      <c r="P45" s="96"/>
      <c r="Q45" s="23"/>
      <c r="R45" s="18"/>
      <c r="S45" s="19"/>
      <c r="U45" s="19"/>
    </row>
    <row r="46" spans="1:21" x14ac:dyDescent="0.2">
      <c r="A46" s="17" t="s">
        <v>33</v>
      </c>
      <c r="B46" s="33" t="s">
        <v>45</v>
      </c>
      <c r="C46" s="181">
        <f>SUM(D46:M46)</f>
        <v>19319.831999999999</v>
      </c>
      <c r="D46" s="182"/>
      <c r="E46" s="140"/>
      <c r="F46" s="182"/>
      <c r="G46" s="142"/>
      <c r="H46" s="183"/>
      <c r="I46" s="184"/>
      <c r="J46" s="142"/>
      <c r="K46" s="185">
        <f>406.3+119.5+287.994+13101.98+5150+254.058+2927</f>
        <v>22246.831999999999</v>
      </c>
      <c r="L46" s="142"/>
      <c r="M46" s="186">
        <v>-2927</v>
      </c>
      <c r="N46" s="142"/>
      <c r="O46" s="144"/>
      <c r="P46" s="96"/>
      <c r="Q46" s="23"/>
      <c r="R46" s="18"/>
      <c r="S46" s="19"/>
      <c r="U46" s="19"/>
    </row>
    <row r="47" spans="1:21" ht="13.5" thickBot="1" x14ac:dyDescent="0.25">
      <c r="A47" s="8"/>
      <c r="B47" s="34"/>
      <c r="C47" s="136"/>
      <c r="D47" s="137"/>
      <c r="E47" s="178"/>
      <c r="F47" s="137"/>
      <c r="G47" s="126"/>
      <c r="H47" s="137"/>
      <c r="I47" s="125"/>
      <c r="J47" s="126"/>
      <c r="K47" s="125"/>
      <c r="L47" s="126"/>
      <c r="M47" s="125"/>
      <c r="N47" s="126"/>
      <c r="O47" s="125"/>
      <c r="P47" s="96"/>
      <c r="Q47" s="23"/>
      <c r="R47" s="18"/>
    </row>
    <row r="48" spans="1:21" ht="22.5" thickBot="1" x14ac:dyDescent="0.25">
      <c r="A48" s="50" t="s">
        <v>75</v>
      </c>
      <c r="B48" s="46" t="s">
        <v>79</v>
      </c>
      <c r="C48" s="156">
        <f t="shared" ref="C48:M48" si="4">C21+C36+C44+C46</f>
        <v>201508.43199999997</v>
      </c>
      <c r="D48" s="187">
        <f>D21+D36+D44+D46</f>
        <v>0</v>
      </c>
      <c r="E48" s="188">
        <f t="shared" si="4"/>
        <v>0</v>
      </c>
      <c r="F48" s="189">
        <f t="shared" si="4"/>
        <v>3312.9309999999996</v>
      </c>
      <c r="G48" s="190">
        <f t="shared" si="4"/>
        <v>0</v>
      </c>
      <c r="H48" s="191">
        <f t="shared" si="4"/>
        <v>0</v>
      </c>
      <c r="I48" s="192">
        <f t="shared" si="4"/>
        <v>0</v>
      </c>
      <c r="J48" s="190">
        <f t="shared" si="4"/>
        <v>0</v>
      </c>
      <c r="K48" s="177">
        <f>K21+K36+K44+K46</f>
        <v>186713.50099999999</v>
      </c>
      <c r="L48" s="190">
        <f t="shared" si="4"/>
        <v>0</v>
      </c>
      <c r="M48" s="177">
        <f t="shared" si="4"/>
        <v>11482</v>
      </c>
      <c r="N48" s="190"/>
      <c r="O48" s="192"/>
      <c r="P48" s="96"/>
      <c r="Q48" s="23"/>
    </row>
    <row r="49" spans="1:17" x14ac:dyDescent="0.2">
      <c r="A49" s="15"/>
      <c r="B49" s="37"/>
      <c r="C49" s="161"/>
      <c r="D49" s="193"/>
      <c r="E49" s="194"/>
      <c r="F49" s="137"/>
      <c r="G49" s="126"/>
      <c r="H49" s="137"/>
      <c r="I49" s="125"/>
      <c r="J49" s="126"/>
      <c r="K49" s="125"/>
      <c r="L49" s="126"/>
      <c r="M49" s="125"/>
      <c r="N49" s="126"/>
      <c r="O49" s="125"/>
      <c r="P49" s="96"/>
      <c r="Q49" s="23"/>
    </row>
    <row r="50" spans="1:17" x14ac:dyDescent="0.2">
      <c r="A50" s="42" t="s">
        <v>76</v>
      </c>
      <c r="B50" s="47" t="s">
        <v>77</v>
      </c>
      <c r="C50" s="181">
        <f>SUM(D50:M50)</f>
        <v>17134.120000000003</v>
      </c>
      <c r="D50" s="137"/>
      <c r="E50" s="168">
        <v>5019.6890000000003</v>
      </c>
      <c r="F50" s="195"/>
      <c r="G50" s="170"/>
      <c r="H50" s="171"/>
      <c r="I50" s="169"/>
      <c r="J50" s="170"/>
      <c r="K50" s="169">
        <f>3978.286+239+3848.145+754.139+3294.861</f>
        <v>12114.431</v>
      </c>
      <c r="L50" s="170"/>
      <c r="M50" s="169"/>
      <c r="N50" s="170"/>
      <c r="O50" s="169"/>
      <c r="P50" s="96"/>
      <c r="Q50" s="23"/>
    </row>
    <row r="51" spans="1:17" ht="13.5" thickBot="1" x14ac:dyDescent="0.25">
      <c r="A51" s="14"/>
      <c r="B51" s="48"/>
      <c r="C51" s="136"/>
      <c r="D51" s="196"/>
      <c r="E51" s="197"/>
      <c r="F51" s="137"/>
      <c r="G51" s="126"/>
      <c r="H51" s="137"/>
      <c r="I51" s="125"/>
      <c r="J51" s="126"/>
      <c r="K51" s="125"/>
      <c r="L51" s="126"/>
      <c r="M51" s="125"/>
      <c r="N51" s="126"/>
      <c r="O51" s="125"/>
      <c r="P51" s="96"/>
      <c r="Q51" s="23"/>
    </row>
    <row r="52" spans="1:17" ht="13.5" thickBot="1" x14ac:dyDescent="0.25">
      <c r="A52" s="36" t="s">
        <v>78</v>
      </c>
      <c r="B52" s="49" t="s">
        <v>84</v>
      </c>
      <c r="C52" s="172">
        <f t="shared" ref="C52:O52" si="5">C48+C50</f>
        <v>218642.55199999997</v>
      </c>
      <c r="D52" s="198">
        <f>D48+D50</f>
        <v>0</v>
      </c>
      <c r="E52" s="199">
        <f t="shared" si="5"/>
        <v>5019.6890000000003</v>
      </c>
      <c r="F52" s="200">
        <f t="shared" si="5"/>
        <v>3312.9309999999996</v>
      </c>
      <c r="G52" s="198">
        <f t="shared" si="5"/>
        <v>0</v>
      </c>
      <c r="H52" s="199">
        <f t="shared" si="5"/>
        <v>0</v>
      </c>
      <c r="I52" s="200">
        <f t="shared" si="5"/>
        <v>0</v>
      </c>
      <c r="J52" s="198">
        <f t="shared" si="5"/>
        <v>0</v>
      </c>
      <c r="K52" s="200">
        <f t="shared" si="5"/>
        <v>198827.932</v>
      </c>
      <c r="L52" s="198">
        <f t="shared" si="5"/>
        <v>0</v>
      </c>
      <c r="M52" s="200">
        <f>M48+M50</f>
        <v>11482</v>
      </c>
      <c r="N52" s="198">
        <f t="shared" si="5"/>
        <v>0</v>
      </c>
      <c r="O52" s="200">
        <f t="shared" si="5"/>
        <v>0</v>
      </c>
      <c r="P52" s="96"/>
      <c r="Q52" s="23"/>
    </row>
    <row r="53" spans="1:17" x14ac:dyDescent="0.2">
      <c r="C53" s="55"/>
      <c r="P53" s="96"/>
      <c r="Q53" s="23"/>
    </row>
    <row r="54" spans="1:17" hidden="1" x14ac:dyDescent="0.2">
      <c r="C54" s="55"/>
      <c r="P54" s="96"/>
      <c r="Q54" s="23" t="e">
        <f>C54-'5.sz. melléklet'!#REF!</f>
        <v>#REF!</v>
      </c>
    </row>
    <row r="55" spans="1:17" hidden="1" x14ac:dyDescent="0.2">
      <c r="B55" s="19"/>
      <c r="C55" s="55" t="s">
        <v>91</v>
      </c>
      <c r="P55" s="96"/>
      <c r="Q55" s="23"/>
    </row>
    <row r="56" spans="1:17" hidden="1" x14ac:dyDescent="0.2">
      <c r="B56" s="19">
        <v>2400000</v>
      </c>
      <c r="C56" s="55"/>
      <c r="P56" s="96"/>
      <c r="Q56" s="23"/>
    </row>
    <row r="57" spans="1:17" hidden="1" x14ac:dyDescent="0.2">
      <c r="B57" s="19">
        <v>378900</v>
      </c>
      <c r="C57" s="55"/>
      <c r="D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6"/>
      <c r="Q57" s="23"/>
    </row>
    <row r="58" spans="1:17" hidden="1" x14ac:dyDescent="0.2">
      <c r="B58" s="19">
        <v>2500000</v>
      </c>
      <c r="C58" s="55"/>
      <c r="D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96"/>
      <c r="Q58" s="23"/>
    </row>
    <row r="59" spans="1:17" hidden="1" x14ac:dyDescent="0.2">
      <c r="B59" s="19"/>
      <c r="C59" s="54">
        <v>702648</v>
      </c>
      <c r="F59" s="55"/>
      <c r="G59" s="55"/>
      <c r="H59" s="55"/>
      <c r="I59" s="55"/>
      <c r="M59" s="55"/>
      <c r="N59" s="55"/>
      <c r="O59" s="55"/>
      <c r="P59" s="96"/>
      <c r="Q59" s="23"/>
    </row>
    <row r="60" spans="1:17" hidden="1" x14ac:dyDescent="0.2">
      <c r="B60" s="19">
        <v>1600000</v>
      </c>
      <c r="C60" s="55"/>
      <c r="F60" s="55"/>
      <c r="G60" s="55"/>
      <c r="H60" s="55"/>
      <c r="I60" s="55"/>
      <c r="M60" s="55"/>
      <c r="N60" s="55"/>
      <c r="O60" s="55"/>
      <c r="P60" s="96"/>
      <c r="Q60" s="23"/>
    </row>
    <row r="61" spans="1:17" hidden="1" x14ac:dyDescent="0.2">
      <c r="B61" s="19"/>
      <c r="C61" s="54">
        <v>1288000</v>
      </c>
      <c r="F61" s="55"/>
      <c r="G61" s="55"/>
      <c r="H61" s="55"/>
      <c r="I61" s="55"/>
      <c r="M61" s="55"/>
      <c r="N61" s="55"/>
      <c r="O61" s="55"/>
      <c r="P61" s="96"/>
      <c r="Q61" s="23"/>
    </row>
    <row r="62" spans="1:17" hidden="1" x14ac:dyDescent="0.2">
      <c r="B62" s="19">
        <v>1166000</v>
      </c>
      <c r="C62" s="55"/>
      <c r="F62" s="55"/>
      <c r="G62" s="55"/>
      <c r="H62" s="55"/>
      <c r="I62" s="55"/>
      <c r="M62" s="55"/>
      <c r="N62" s="55"/>
      <c r="O62" s="55"/>
      <c r="P62" s="96"/>
      <c r="Q62" s="23"/>
    </row>
    <row r="63" spans="1:17" hidden="1" x14ac:dyDescent="0.2">
      <c r="B63" s="19">
        <v>4816560</v>
      </c>
      <c r="C63" s="55"/>
      <c r="F63" s="55"/>
      <c r="G63" s="55"/>
      <c r="H63" s="55"/>
      <c r="I63" s="55"/>
      <c r="M63" s="55"/>
      <c r="N63" s="55"/>
      <c r="O63" s="55"/>
      <c r="P63" s="96"/>
      <c r="Q63" s="23"/>
    </row>
    <row r="64" spans="1:17" hidden="1" x14ac:dyDescent="0.2">
      <c r="B64" s="19"/>
      <c r="C64" s="54">
        <v>4976624</v>
      </c>
      <c r="F64" s="55"/>
      <c r="G64" s="55"/>
      <c r="H64" s="55"/>
      <c r="I64" s="55"/>
      <c r="M64" s="55"/>
      <c r="N64" s="55"/>
      <c r="O64" s="55"/>
      <c r="P64" s="96"/>
      <c r="Q64" s="23"/>
    </row>
    <row r="65" spans="2:17" hidden="1" x14ac:dyDescent="0.2">
      <c r="B65" s="19">
        <v>23507261</v>
      </c>
      <c r="C65" s="55"/>
      <c r="F65" s="55"/>
      <c r="G65" s="55"/>
      <c r="H65" s="55"/>
      <c r="I65" s="55"/>
      <c r="M65" s="55"/>
      <c r="N65" s="55"/>
      <c r="O65" s="55"/>
      <c r="P65" s="96"/>
      <c r="Q65" s="23"/>
    </row>
    <row r="66" spans="2:17" hidden="1" x14ac:dyDescent="0.2">
      <c r="B66" s="19">
        <v>7290774</v>
      </c>
      <c r="C66" s="55"/>
      <c r="D66" s="55"/>
      <c r="F66" s="55"/>
      <c r="G66" s="55"/>
      <c r="H66" s="55"/>
      <c r="I66" s="55"/>
      <c r="M66" s="55"/>
      <c r="N66" s="55"/>
      <c r="O66" s="55"/>
      <c r="P66" s="96"/>
      <c r="Q66" s="23"/>
    </row>
    <row r="67" spans="2:17" hidden="1" x14ac:dyDescent="0.2">
      <c r="B67" s="19">
        <v>1570000</v>
      </c>
      <c r="C67" s="55"/>
      <c r="D67" s="55"/>
      <c r="F67" s="55"/>
      <c r="G67" s="55"/>
      <c r="H67" s="55"/>
      <c r="I67" s="55"/>
      <c r="M67" s="55"/>
      <c r="N67" s="55"/>
      <c r="O67" s="55"/>
      <c r="P67" s="96"/>
      <c r="Q67" s="23"/>
    </row>
    <row r="68" spans="2:17" hidden="1" x14ac:dyDescent="0.2">
      <c r="B68" s="19">
        <v>10550000</v>
      </c>
      <c r="C68" s="55"/>
      <c r="D68" s="55"/>
      <c r="F68" s="55"/>
      <c r="G68" s="55"/>
      <c r="H68" s="55"/>
      <c r="I68" s="55"/>
      <c r="M68" s="55"/>
      <c r="N68" s="55"/>
      <c r="O68" s="55"/>
      <c r="P68" s="96"/>
      <c r="Q68" s="23"/>
    </row>
    <row r="69" spans="2:17" hidden="1" x14ac:dyDescent="0.2">
      <c r="B69" s="19">
        <v>6600000</v>
      </c>
      <c r="C69" s="55"/>
      <c r="D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96"/>
      <c r="Q69" s="23"/>
    </row>
    <row r="70" spans="2:17" hidden="1" x14ac:dyDescent="0.2">
      <c r="B70" s="19">
        <v>4392000</v>
      </c>
      <c r="C70" s="55"/>
      <c r="D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96"/>
      <c r="Q70" s="23"/>
    </row>
    <row r="71" spans="2:17" hidden="1" x14ac:dyDescent="0.2">
      <c r="B71" s="19">
        <v>4514000</v>
      </c>
      <c r="C71" s="55"/>
      <c r="D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96"/>
      <c r="Q71" s="23"/>
    </row>
    <row r="72" spans="2:17" hidden="1" x14ac:dyDescent="0.2">
      <c r="B72" s="19"/>
      <c r="C72" s="55">
        <v>244000</v>
      </c>
      <c r="D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23"/>
    </row>
    <row r="73" spans="2:17" hidden="1" x14ac:dyDescent="0.2">
      <c r="B73" s="19">
        <v>1464000</v>
      </c>
      <c r="C73" s="55"/>
      <c r="D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23"/>
    </row>
    <row r="74" spans="2:17" hidden="1" x14ac:dyDescent="0.2">
      <c r="B74" s="19"/>
      <c r="C74" s="54">
        <v>10000000</v>
      </c>
      <c r="D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23"/>
    </row>
    <row r="75" spans="2:17" hidden="1" x14ac:dyDescent="0.2">
      <c r="B75" s="19">
        <v>2658136</v>
      </c>
      <c r="D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23"/>
    </row>
    <row r="76" spans="2:17" hidden="1" x14ac:dyDescent="0.2">
      <c r="B76" s="19">
        <v>1291000</v>
      </c>
      <c r="D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23"/>
    </row>
    <row r="77" spans="2:17" hidden="1" x14ac:dyDescent="0.2">
      <c r="B77" s="19">
        <v>10595000</v>
      </c>
      <c r="D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23"/>
    </row>
    <row r="78" spans="2:17" hidden="1" x14ac:dyDescent="0.2">
      <c r="B78" s="19">
        <f>219676+180996</f>
        <v>400672</v>
      </c>
      <c r="C78" s="55"/>
      <c r="D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23"/>
    </row>
    <row r="79" spans="2:17" hidden="1" x14ac:dyDescent="0.2">
      <c r="C79" s="55">
        <v>3285142</v>
      </c>
      <c r="D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23"/>
    </row>
    <row r="80" spans="2:17" hidden="1" x14ac:dyDescent="0.2">
      <c r="B80" s="19">
        <v>1695750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23"/>
    </row>
    <row r="81" spans="2:17" hidden="1" x14ac:dyDescent="0.2">
      <c r="B81" s="19">
        <v>3522994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23"/>
    </row>
    <row r="82" spans="2:17" hidden="1" x14ac:dyDescent="0.2">
      <c r="B82" s="19">
        <v>2968000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23"/>
    </row>
    <row r="83" spans="2:17" hidden="1" x14ac:dyDescent="0.2">
      <c r="B83" s="19">
        <v>2228000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23"/>
    </row>
    <row r="84" spans="2:17" hidden="1" x14ac:dyDescent="0.2">
      <c r="B84" s="19">
        <v>3182000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23"/>
    </row>
    <row r="85" spans="2:17" hidden="1" x14ac:dyDescent="0.2">
      <c r="B85" s="19">
        <v>3405000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23"/>
    </row>
    <row r="86" spans="2:17" hidden="1" x14ac:dyDescent="0.2">
      <c r="B86" s="19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23"/>
    </row>
    <row r="87" spans="2:17" hidden="1" x14ac:dyDescent="0.2">
      <c r="B87" s="19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23"/>
    </row>
    <row r="88" spans="2:17" hidden="1" x14ac:dyDescent="0.2">
      <c r="B88" s="19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23"/>
    </row>
    <row r="89" spans="2:17" hidden="1" x14ac:dyDescent="0.2">
      <c r="B89" s="19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23"/>
    </row>
    <row r="90" spans="2:17" hidden="1" x14ac:dyDescent="0.2">
      <c r="B90" s="19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23"/>
    </row>
    <row r="91" spans="2:17" hidden="1" x14ac:dyDescent="0.2">
      <c r="B91" s="19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23"/>
    </row>
    <row r="92" spans="2:17" x14ac:dyDescent="0.2">
      <c r="B92" s="1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23"/>
    </row>
    <row r="93" spans="2:17" x14ac:dyDescent="0.2">
      <c r="B93" s="1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23"/>
    </row>
    <row r="94" spans="2:17" x14ac:dyDescent="0.2">
      <c r="B94" s="19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23"/>
    </row>
    <row r="95" spans="2:17" x14ac:dyDescent="0.2">
      <c r="B95" s="19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23"/>
    </row>
    <row r="96" spans="2:17" x14ac:dyDescent="0.2">
      <c r="B96" s="19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23"/>
    </row>
    <row r="97" spans="2:17" x14ac:dyDescent="0.2">
      <c r="B97" s="19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23"/>
    </row>
    <row r="98" spans="2:17" x14ac:dyDescent="0.2">
      <c r="B98" s="19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23"/>
    </row>
    <row r="99" spans="2:17" x14ac:dyDescent="0.2">
      <c r="B99" s="19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23"/>
    </row>
    <row r="100" spans="2:17" x14ac:dyDescent="0.2">
      <c r="B100" s="19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23"/>
    </row>
    <row r="101" spans="2:17" x14ac:dyDescent="0.2">
      <c r="B101" s="19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23"/>
    </row>
    <row r="102" spans="2:17" x14ac:dyDescent="0.2">
      <c r="B102" s="19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23"/>
    </row>
    <row r="103" spans="2:17" x14ac:dyDescent="0.2">
      <c r="B103" s="19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23"/>
    </row>
    <row r="104" spans="2:17" x14ac:dyDescent="0.2">
      <c r="B104" s="5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2"/>
    </row>
    <row r="105" spans="2:17" x14ac:dyDescent="0.2">
      <c r="B105" s="5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2"/>
    </row>
    <row r="106" spans="2:17" x14ac:dyDescent="0.2">
      <c r="B106" s="5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2"/>
    </row>
    <row r="107" spans="2:17" x14ac:dyDescent="0.2">
      <c r="B107" s="19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2"/>
    </row>
    <row r="108" spans="2:17" x14ac:dyDescent="0.2">
      <c r="B108" s="19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2"/>
    </row>
    <row r="109" spans="2:17" x14ac:dyDescent="0.2">
      <c r="B109" s="19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2"/>
    </row>
    <row r="110" spans="2:17" x14ac:dyDescent="0.2">
      <c r="B110" s="1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2"/>
    </row>
    <row r="111" spans="2:17" x14ac:dyDescent="0.2">
      <c r="B111" s="19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2"/>
    </row>
    <row r="112" spans="2:17" x14ac:dyDescent="0.2">
      <c r="B112" s="19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2"/>
    </row>
    <row r="113" spans="2:17" x14ac:dyDescent="0.2">
      <c r="B113" s="19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2"/>
    </row>
    <row r="114" spans="2:17" x14ac:dyDescent="0.2">
      <c r="B114" s="19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2"/>
    </row>
    <row r="115" spans="2:17" x14ac:dyDescent="0.2">
      <c r="B115" s="1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2"/>
    </row>
    <row r="116" spans="2:17" x14ac:dyDescent="0.2">
      <c r="B116" s="19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2"/>
    </row>
    <row r="117" spans="2:17" x14ac:dyDescent="0.2">
      <c r="B117" s="19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2"/>
    </row>
    <row r="118" spans="2:17" x14ac:dyDescent="0.2">
      <c r="B118" s="19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2"/>
    </row>
    <row r="119" spans="2:17" x14ac:dyDescent="0.2">
      <c r="B119" s="19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2"/>
    </row>
    <row r="120" spans="2:17" x14ac:dyDescent="0.2">
      <c r="B120" s="19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2"/>
    </row>
    <row r="121" spans="2:17" x14ac:dyDescent="0.2">
      <c r="B121" s="1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2"/>
    </row>
    <row r="122" spans="2:17" x14ac:dyDescent="0.2">
      <c r="B122" s="19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2"/>
    </row>
    <row r="123" spans="2:17" x14ac:dyDescent="0.2">
      <c r="B123" s="19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2"/>
    </row>
    <row r="124" spans="2:17" x14ac:dyDescent="0.2">
      <c r="B124" s="19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2"/>
    </row>
    <row r="125" spans="2:17" x14ac:dyDescent="0.2">
      <c r="B125" s="19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2"/>
    </row>
    <row r="126" spans="2:17" x14ac:dyDescent="0.2">
      <c r="B126" s="19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2"/>
    </row>
    <row r="127" spans="2:17" x14ac:dyDescent="0.2">
      <c r="B127" s="19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2"/>
    </row>
    <row r="128" spans="2:17" x14ac:dyDescent="0.2">
      <c r="B128" s="19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2"/>
    </row>
    <row r="129" spans="3:17" x14ac:dyDescent="0.2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2"/>
    </row>
    <row r="130" spans="3:17" x14ac:dyDescent="0.2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2"/>
    </row>
    <row r="131" spans="3:17" x14ac:dyDescent="0.2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2"/>
    </row>
    <row r="132" spans="3:17" x14ac:dyDescent="0.2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2"/>
    </row>
  </sheetData>
  <mergeCells count="7">
    <mergeCell ref="N1:O1"/>
    <mergeCell ref="D9:M9"/>
    <mergeCell ref="N9:O9"/>
    <mergeCell ref="D10:I10"/>
    <mergeCell ref="J10:M10"/>
    <mergeCell ref="A4:O4"/>
    <mergeCell ref="B6:N6"/>
  </mergeCells>
  <phoneticPr fontId="19" type="noConversion"/>
  <printOptions horizontalCentered="1" verticalCentered="1"/>
  <pageMargins left="7.874015748031496E-2" right="7.874015748031496E-2" top="0.31496062992125984" bottom="0.31496062992125984" header="0.19685039370078741" footer="0.1574803149606299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5.sz. melléklet</vt:lpstr>
      <vt:lpstr>6. sz. melléklet</vt:lpstr>
      <vt:lpstr>'5.sz. melléklet'!Nyomtatási_terület</vt:lpstr>
      <vt:lpstr>'6. sz. melléklet'!Nyomtatási_terület</vt:lpstr>
    </vt:vector>
  </TitlesOfParts>
  <Company>Budapest 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</dc:creator>
  <cp:lastModifiedBy>Balog Lászlóné Zsuzsa</cp:lastModifiedBy>
  <cp:lastPrinted>2018-10-03T14:12:47Z</cp:lastPrinted>
  <dcterms:created xsi:type="dcterms:W3CDTF">2013-05-29T08:17:59Z</dcterms:created>
  <dcterms:modified xsi:type="dcterms:W3CDTF">2018-10-03T14:13:43Z</dcterms:modified>
</cp:coreProperties>
</file>