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115" windowHeight="10230" activeTab="0"/>
  </bookViews>
  <sheets>
    <sheet name="5_sz_melléklet" sheetId="1" r:id="rId1"/>
  </sheets>
  <externalReferences>
    <externalReference r:id="rId4"/>
  </externalReferences>
  <definedNames>
    <definedName name="Excel_BuiltIn_Print_Area_100_1" localSheetId="0">#REF!</definedName>
    <definedName name="Excel_BuiltIn_Print_Area_109_1" localSheetId="0">#REF!</definedName>
    <definedName name="Excel_BuiltIn_Print_Area_109_1">#REF!</definedName>
    <definedName name="Excel_BuiltIn_Print_Area_111" localSheetId="0">#REF!</definedName>
    <definedName name="Excel_BuiltIn_Print_Area_14_1">#REF!</definedName>
    <definedName name="Excel_BuiltIn_Print_Area_14_1_1">#REF!</definedName>
    <definedName name="Excel_BuiltIn_Print_Area_29_1">#REF!</definedName>
    <definedName name="Excel_BuiltIn_Print_Area_29_1_1">#REF!</definedName>
    <definedName name="Excel_BuiltIn_Print_Area_31_1">#REF!</definedName>
    <definedName name="Excel_BuiltIn_Print_Area_32_1">#REF!</definedName>
    <definedName name="Excel_BuiltIn_Print_Area_34_1">#REF!</definedName>
    <definedName name="Excel_BuiltIn_Print_Area_37_1">#REF!</definedName>
    <definedName name="Excel_BuiltIn_Print_Area_55_1">#REF!</definedName>
    <definedName name="_xlnm.Print_Area" localSheetId="0">'5_sz_melléklet'!$A$1:$M$52</definedName>
    <definedName name="pm">#REF!</definedName>
  </definedNames>
  <calcPr fullCalcOnLoad="1"/>
</workbook>
</file>

<file path=xl/sharedStrings.xml><?xml version="1.0" encoding="utf-8"?>
<sst xmlns="http://schemas.openxmlformats.org/spreadsheetml/2006/main" count="96" uniqueCount="83">
  <si>
    <t>Működési költségvetési kiadások</t>
  </si>
  <si>
    <t>Felhalmozási költségvetési kiadások</t>
  </si>
  <si>
    <t>Költségvetési</t>
  </si>
  <si>
    <t>Munkaadókat</t>
  </si>
  <si>
    <t>Létszám adatok</t>
  </si>
  <si>
    <t>kiadások</t>
  </si>
  <si>
    <t>Személyi</t>
  </si>
  <si>
    <t>terhelő</t>
  </si>
  <si>
    <t>Dologi</t>
  </si>
  <si>
    <t>Ellátottak</t>
  </si>
  <si>
    <t>Támogatásértékű</t>
  </si>
  <si>
    <t>Működési</t>
  </si>
  <si>
    <t>Beruházások</t>
  </si>
  <si>
    <t>Felújítások</t>
  </si>
  <si>
    <t>Felhalmozási</t>
  </si>
  <si>
    <t>összesen</t>
  </si>
  <si>
    <t>juttatások</t>
  </si>
  <si>
    <t>járulékok,</t>
  </si>
  <si>
    <t>pénzbeli</t>
  </si>
  <si>
    <t>működési</t>
  </si>
  <si>
    <t>célú</t>
  </si>
  <si>
    <t>felhalmozási</t>
  </si>
  <si>
    <t>Közfog-</t>
  </si>
  <si>
    <t>Ssz.</t>
  </si>
  <si>
    <t>megnevezése</t>
  </si>
  <si>
    <t>szocilis</t>
  </si>
  <si>
    <t>juttatásai</t>
  </si>
  <si>
    <t>kiadás</t>
  </si>
  <si>
    <t>pénzeszköz</t>
  </si>
  <si>
    <t>január</t>
  </si>
  <si>
    <t>szeptember</t>
  </si>
  <si>
    <t>lalkoztatottak</t>
  </si>
  <si>
    <t>hozzájárulási</t>
  </si>
  <si>
    <t>átadások</t>
  </si>
  <si>
    <t>1-jétől</t>
  </si>
  <si>
    <t>adó</t>
  </si>
  <si>
    <t>fő</t>
  </si>
  <si>
    <t>1.</t>
  </si>
  <si>
    <t xml:space="preserve">Egyesített Bölcsődék </t>
  </si>
  <si>
    <t>EGYESÍTETT BÖLCSŐDÉK ÖSSZESEN:</t>
  </si>
  <si>
    <t>Bolyai Utcai Óvoda</t>
  </si>
  <si>
    <t>2.</t>
  </si>
  <si>
    <t>Budakeszi Úti Óvoda</t>
  </si>
  <si>
    <t>3.</t>
  </si>
  <si>
    <t>Hűvösvölgyi Gesztenyéskert Óvoda</t>
  </si>
  <si>
    <t>4.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</si>
  <si>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</si>
  <si>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</si>
  <si>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</si>
  <si>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</si>
  <si>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</si>
  <si>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</si>
  <si>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</si>
  <si>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Virágárok Óvoda</t>
  </si>
  <si>
    <t>ÓVODÁK ÖSSZESEN:</t>
  </si>
  <si>
    <t>ÉNO</t>
  </si>
  <si>
    <t xml:space="preserve">I. Gondozási Központ </t>
  </si>
  <si>
    <t xml:space="preserve">II. Gondozási Központ </t>
  </si>
  <si>
    <t xml:space="preserve">III. Gondozási Központ </t>
  </si>
  <si>
    <t>Családsegítő Központ.</t>
  </si>
  <si>
    <t>HUMÁN SZOLGÁLTATÁS ÖSSZESEN:</t>
  </si>
  <si>
    <t>Intézmény Működtetési Központ</t>
  </si>
  <si>
    <t xml:space="preserve">Intézmény </t>
  </si>
  <si>
    <t>a.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</si>
  <si>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</si>
  <si>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</si>
  <si>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</si>
  <si>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</si>
  <si>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</si>
  <si>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</si>
  <si>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</si>
  <si>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</si>
  <si>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</si>
  <si>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</si>
  <si>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</si>
  <si>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I.</t>
  </si>
  <si>
    <t>ÖNÁLLÓAN MŰKÖDŐK ÖSSZESEN:(1+2+3+4)</t>
  </si>
  <si>
    <t>Egészségügyi Szolgálat</t>
  </si>
  <si>
    <t>II.</t>
  </si>
  <si>
    <t>MINDÖSSZESEN: (I.+II.)</t>
  </si>
  <si>
    <t>A</t>
  </si>
  <si>
    <t xml:space="preserve">Budapest Főváros II. Kerületi Önkormányzat által fenntartott intézmények kiadási előirányzat változásai 2013. június 1-től - június 30-áig </t>
  </si>
  <si>
    <t>5. sz. melléklet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</si>
</sst>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/mm/dd;@"/>
    <numFmt numFmtId="166" formatCode="#,##0.0"/>
    <numFmt numFmtId="167" formatCode="0.00000%"/>
    <numFmt numFmtId="168" formatCode="_-* #,##0.00\ _F_t_-;\-* #,##0.00\ _F_t_-;_-* \-??\ _F_t_-;_-@_-"/>
    <numFmt numFmtId="169" formatCode="_(* #,##0_);_(* \(#,##0\);_(* \-??_);_(@_)"/>
    <numFmt numFmtId="170" formatCode="0.0"/>
    <numFmt numFmtId="171" formatCode="_(* #,##0.0_);_(* \(#,##0.0\);_(* \-??_);_(@_)"/>
    <numFmt numFmtId="172" formatCode="_(* #,##0.00_);_(* \(#,##0.00\);_(* \-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[Red]\-#,##0\ "/>
    <numFmt numFmtId="177" formatCode="#,##0&quot;Ft&quot;;\-#,##0&quot;Ft&quot;"/>
    <numFmt numFmtId="178" formatCode="#,##0&quot;Ft&quot;;[Red]\-#,##0&quot;Ft&quot;"/>
    <numFmt numFmtId="179" formatCode="#,##0.00&quot;Ft&quot;;\-#,##0.00&quot;Ft&quot;"/>
    <numFmt numFmtId="180" formatCode="#,##0.00&quot;Ft&quot;;[Red]\-#,##0.00&quot;Ft&quot;"/>
    <numFmt numFmtId="181" formatCode="_-* #,##0&quot;Ft&quot;_-;\-* #,##0&quot;Ft&quot;_-;_-* &quot;-&quot;&quot;Ft&quot;_-;_-@_-"/>
    <numFmt numFmtId="182" formatCode="_-* #,##0_F_t_-;\-* #,##0_F_t_-;_-* &quot;-&quot;_F_t_-;_-@_-"/>
    <numFmt numFmtId="183" formatCode="_-* #,##0.00&quot;Ft&quot;_-;\-* #,##0.00&quot;Ft&quot;_-;_-* &quot;-&quot;??&quot;Ft&quot;_-;_-@_-"/>
    <numFmt numFmtId="184" formatCode="_-* #,##0.00_F_t_-;\-* #,##0.00_F_t_-;_-* &quot;-&quot;??_F_t_-;_-@_-"/>
    <numFmt numFmtId="185" formatCode="#,##0&quot; Ft&quot;;\-#,##0&quot; Ft&quot;"/>
    <numFmt numFmtId="186" formatCode="#,##0&quot; Ft&quot;;[Red]\-#,##0&quot; Ft&quot;"/>
    <numFmt numFmtId="187" formatCode="#,##0.00&quot; Ft&quot;;\-#,##0.00&quot; Ft&quot;"/>
    <numFmt numFmtId="188" formatCode="#,##0.00&quot; Ft&quot;;[Red]\-#,##0.00&quot; Ft&quot;"/>
    <numFmt numFmtId="189" formatCode="0__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;\-#,##0"/>
    <numFmt numFmtId="199" formatCode="#,##0;[Red]\-#,##0"/>
    <numFmt numFmtId="200" formatCode="#,##0.00;\-#,##0.00"/>
    <numFmt numFmtId="201" formatCode="#,##0.00;[Red]\-#,##0.00"/>
    <numFmt numFmtId="202" formatCode="#\ ?/?"/>
    <numFmt numFmtId="203" formatCode="#\ ??/??"/>
    <numFmt numFmtId="204" formatCode="0.000"/>
    <numFmt numFmtId="205" formatCode="0.0000"/>
    <numFmt numFmtId="206" formatCode="0.00000"/>
    <numFmt numFmtId="207" formatCode="#,##0.0_)"/>
    <numFmt numFmtId="208" formatCode="#,##0.0;\-#,##0.0"/>
    <numFmt numFmtId="209" formatCode="#,##0.0\ \ "/>
    <numFmt numFmtId="210" formatCode="???,???,???,???,???,??0.0"/>
    <numFmt numFmtId="211" formatCode="#,##0.0\ _F_t;[Red]\-#,##0.0\ _F_t"/>
    <numFmt numFmtId="212" formatCode="General_)"/>
    <numFmt numFmtId="213" formatCode="#,##0_);\(#,##0\)"/>
    <numFmt numFmtId="214" formatCode="#,##0.000"/>
    <numFmt numFmtId="215" formatCode="#,##0.00_ ;[Red]\-#,##0.00\ "/>
    <numFmt numFmtId="216" formatCode="#,##0.0000000000"/>
    <numFmt numFmtId="217" formatCode="#,##0.000_ ;[Red]\-#,##0.000\ "/>
    <numFmt numFmtId="218" formatCode="_-* #,##0.0\ _F_t_-;\-* #,##0.0\ _F_t_-;_-* \-??\ _F_t_-;_-@_-"/>
    <numFmt numFmtId="219" formatCode="_-* #,##0.000\ _F_t_-;\-* #,##0.000\ _F_t_-;_-* \-??\ _F_t_-;_-@_-"/>
    <numFmt numFmtId="220" formatCode="_-* #,##0.0000\ _F_t_-;\-* #,##0.0000\ _F_t_-;_-* \-??\ _F_t_-;_-@_-"/>
    <numFmt numFmtId="221" formatCode="_-* #,##0\ _F_t_-;\-* #,##0\ _F_t_-;_-* \-??\ _F_t_-;_-@_-"/>
    <numFmt numFmtId="222" formatCode="#,##0.0000"/>
  </numFmts>
  <fonts count="3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1" fillId="24" borderId="0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7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30" fillId="0" borderId="12" xfId="0" applyFont="1" applyBorder="1" applyAlignment="1">
      <alignment/>
    </xf>
    <xf numFmtId="3" fontId="24" fillId="0" borderId="13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30" fillId="0" borderId="12" xfId="0" applyFont="1" applyFill="1" applyBorder="1" applyAlignment="1">
      <alignment horizontal="left"/>
    </xf>
    <xf numFmtId="0" fontId="29" fillId="0" borderId="27" xfId="0" applyFont="1" applyFill="1" applyBorder="1" applyAlignment="1">
      <alignment/>
    </xf>
    <xf numFmtId="3" fontId="29" fillId="0" borderId="24" xfId="0" applyNumberFormat="1" applyFont="1" applyBorder="1" applyAlignment="1">
      <alignment horizontal="right"/>
    </xf>
    <xf numFmtId="3" fontId="29" fillId="0" borderId="23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9" xfId="0" applyFont="1" applyBorder="1" applyAlignment="1">
      <alignment/>
    </xf>
    <xf numFmtId="0" fontId="22" fillId="0" borderId="34" xfId="0" applyFont="1" applyBorder="1" applyAlignment="1">
      <alignment/>
    </xf>
    <xf numFmtId="3" fontId="24" fillId="0" borderId="31" xfId="0" applyNumberFormat="1" applyFont="1" applyBorder="1" applyAlignment="1">
      <alignment horizontal="right"/>
    </xf>
    <xf numFmtId="170" fontId="24" fillId="0" borderId="11" xfId="0" applyNumberFormat="1" applyFont="1" applyBorder="1" applyAlignment="1">
      <alignment/>
    </xf>
    <xf numFmtId="170" fontId="24" fillId="0" borderId="14" xfId="0" applyNumberFormat="1" applyFont="1" applyBorder="1" applyAlignment="1">
      <alignment/>
    </xf>
    <xf numFmtId="0" fontId="24" fillId="0" borderId="12" xfId="0" applyFont="1" applyFill="1" applyBorder="1" applyAlignment="1">
      <alignment/>
    </xf>
    <xf numFmtId="3" fontId="29" fillId="0" borderId="23" xfId="0" applyNumberFormat="1" applyFont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3" fontId="29" fillId="0" borderId="28" xfId="0" applyNumberFormat="1" applyFont="1" applyBorder="1" applyAlignment="1">
      <alignment horizontal="right"/>
    </xf>
    <xf numFmtId="3" fontId="29" fillId="0" borderId="33" xfId="0" applyNumberFormat="1" applyFont="1" applyBorder="1" applyAlignment="1">
      <alignment horizontal="right"/>
    </xf>
    <xf numFmtId="170" fontId="29" fillId="0" borderId="28" xfId="0" applyNumberFormat="1" applyFont="1" applyBorder="1" applyAlignment="1">
      <alignment horizontal="right"/>
    </xf>
    <xf numFmtId="170" fontId="29" fillId="0" borderId="26" xfId="0" applyNumberFormat="1" applyFont="1" applyBorder="1" applyAlignment="1">
      <alignment/>
    </xf>
    <xf numFmtId="3" fontId="29" fillId="0" borderId="29" xfId="0" applyNumberFormat="1" applyFont="1" applyBorder="1" applyAlignment="1">
      <alignment horizontal="right"/>
    </xf>
    <xf numFmtId="0" fontId="29" fillId="0" borderId="27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12" xfId="0" applyFont="1" applyBorder="1" applyAlignment="1">
      <alignment/>
    </xf>
    <xf numFmtId="3" fontId="29" fillId="0" borderId="13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32" xfId="0" applyNumberFormat="1" applyFont="1" applyBorder="1" applyAlignment="1">
      <alignment horizontal="right"/>
    </xf>
    <xf numFmtId="170" fontId="29" fillId="0" borderId="11" xfId="0" applyNumberFormat="1" applyFont="1" applyBorder="1" applyAlignment="1">
      <alignment horizontal="right"/>
    </xf>
    <xf numFmtId="170" fontId="29" fillId="0" borderId="14" xfId="0" applyNumberFormat="1" applyFont="1" applyBorder="1" applyAlignment="1">
      <alignment/>
    </xf>
    <xf numFmtId="0" fontId="30" fillId="0" borderId="33" xfId="0" applyFont="1" applyBorder="1" applyAlignment="1">
      <alignment/>
    </xf>
    <xf numFmtId="3" fontId="24" fillId="0" borderId="24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9" fillId="0" borderId="27" xfId="0" applyNumberFormat="1" applyFont="1" applyBorder="1" applyAlignment="1">
      <alignment horizontal="right"/>
    </xf>
    <xf numFmtId="170" fontId="24" fillId="0" borderId="28" xfId="0" applyNumberFormat="1" applyFont="1" applyBorder="1" applyAlignment="1">
      <alignment horizontal="right"/>
    </xf>
    <xf numFmtId="170" fontId="24" fillId="0" borderId="26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3" fontId="29" fillId="0" borderId="35" xfId="0" applyNumberFormat="1" applyFont="1" applyBorder="1" applyAlignment="1">
      <alignment horizontal="right"/>
    </xf>
    <xf numFmtId="170" fontId="29" fillId="0" borderId="36" xfId="0" applyNumberFormat="1" applyFont="1" applyBorder="1" applyAlignment="1">
      <alignment horizontal="right"/>
    </xf>
    <xf numFmtId="170" fontId="29" fillId="0" borderId="37" xfId="0" applyNumberFormat="1" applyFont="1" applyBorder="1" applyAlignment="1">
      <alignment/>
    </xf>
    <xf numFmtId="3" fontId="24" fillId="0" borderId="0" xfId="0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4" fillId="0" borderId="21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9" fillId="0" borderId="38" xfId="0" applyFont="1" applyBorder="1" applyAlignment="1">
      <alignment/>
    </xf>
    <xf numFmtId="3" fontId="29" fillId="0" borderId="39" xfId="0" applyNumberFormat="1" applyFont="1" applyBorder="1" applyAlignment="1">
      <alignment horizontal="right"/>
    </xf>
    <xf numFmtId="3" fontId="29" fillId="0" borderId="40" xfId="0" applyNumberFormat="1" applyFont="1" applyBorder="1" applyAlignment="1">
      <alignment horizontal="right"/>
    </xf>
    <xf numFmtId="3" fontId="29" fillId="0" borderId="41" xfId="0" applyNumberFormat="1" applyFont="1" applyBorder="1" applyAlignment="1">
      <alignment horizontal="right"/>
    </xf>
    <xf numFmtId="3" fontId="29" fillId="0" borderId="42" xfId="0" applyNumberFormat="1" applyFont="1" applyBorder="1" applyAlignment="1">
      <alignment horizontal="right"/>
    </xf>
    <xf numFmtId="170" fontId="22" fillId="0" borderId="0" xfId="0" applyNumberFormat="1" applyFont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46" xfId="0" applyFont="1" applyBorder="1" applyAlignment="1">
      <alignment/>
    </xf>
    <xf numFmtId="0" fontId="27" fillId="0" borderId="47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3" fontId="24" fillId="0" borderId="13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170" fontId="24" fillId="0" borderId="11" xfId="0" applyNumberFormat="1" applyFont="1" applyBorder="1" applyAlignment="1">
      <alignment horizontal="right"/>
    </xf>
    <xf numFmtId="170" fontId="24" fillId="0" borderId="14" xfId="0" applyNumberFormat="1" applyFont="1" applyBorder="1" applyAlignment="1">
      <alignment/>
    </xf>
    <xf numFmtId="0" fontId="29" fillId="0" borderId="48" xfId="0" applyFont="1" applyBorder="1" applyAlignment="1">
      <alignment horizontal="center"/>
    </xf>
    <xf numFmtId="0" fontId="26" fillId="0" borderId="38" xfId="0" applyFont="1" applyBorder="1" applyAlignment="1">
      <alignment/>
    </xf>
    <xf numFmtId="3" fontId="29" fillId="0" borderId="39" xfId="0" applyNumberFormat="1" applyFont="1" applyBorder="1" applyAlignment="1">
      <alignment horizontal="right"/>
    </xf>
    <xf numFmtId="3" fontId="24" fillId="0" borderId="40" xfId="0" applyNumberFormat="1" applyFont="1" applyBorder="1" applyAlignment="1">
      <alignment horizontal="right"/>
    </xf>
    <xf numFmtId="3" fontId="24" fillId="0" borderId="41" xfId="0" applyNumberFormat="1" applyFont="1" applyBorder="1" applyAlignment="1">
      <alignment horizontal="right"/>
    </xf>
    <xf numFmtId="3" fontId="24" fillId="0" borderId="42" xfId="0" applyNumberFormat="1" applyFont="1" applyBorder="1" applyAlignment="1">
      <alignment horizontal="right"/>
    </xf>
    <xf numFmtId="3" fontId="24" fillId="0" borderId="49" xfId="0" applyNumberFormat="1" applyFont="1" applyBorder="1" applyAlignment="1">
      <alignment horizontal="right"/>
    </xf>
    <xf numFmtId="0" fontId="30" fillId="0" borderId="27" xfId="0" applyFont="1" applyBorder="1" applyAlignment="1">
      <alignment/>
    </xf>
    <xf numFmtId="3" fontId="24" fillId="0" borderId="26" xfId="0" applyNumberFormat="1" applyFont="1" applyBorder="1" applyAlignment="1">
      <alignment horizontal="right"/>
    </xf>
    <xf numFmtId="0" fontId="29" fillId="0" borderId="48" xfId="0" applyFont="1" applyBorder="1" applyAlignment="1">
      <alignment horizontal="center"/>
    </xf>
    <xf numFmtId="3" fontId="29" fillId="0" borderId="38" xfId="0" applyNumberFormat="1" applyFont="1" applyBorder="1" applyAlignment="1">
      <alignment horizontal="right"/>
    </xf>
    <xf numFmtId="3" fontId="24" fillId="0" borderId="28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ARSZJ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zsu_C\2011_ment&#233;sek\R&#233;gi%2013_t_&#193;gi&#233;%20f&#233;l&#233;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="110" zoomScaleNormal="110" workbookViewId="0" topLeftCell="A1">
      <pane xSplit="3" ySplit="15" topLeftCell="I16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L1" sqref="L1:M1"/>
    </sheetView>
  </sheetViews>
  <sheetFormatPr defaultColWidth="9.00390625" defaultRowHeight="12.75"/>
  <cols>
    <col min="1" max="1" width="3.875" style="1" customWidth="1"/>
    <col min="2" max="2" width="35.75390625" style="1" customWidth="1"/>
    <col min="3" max="13" width="10.75390625" style="1" customWidth="1"/>
    <col min="14" max="16" width="7.75390625" style="1" hidden="1" customWidth="1"/>
    <col min="17" max="17" width="8.75390625" style="1" customWidth="1"/>
    <col min="18" max="19" width="7.75390625" style="1" customWidth="1"/>
    <col min="20" max="16384" width="9.125" style="1" customWidth="1"/>
  </cols>
  <sheetData>
    <row r="1" spans="12:16" ht="12.75">
      <c r="L1" s="141" t="s">
        <v>82</v>
      </c>
      <c r="M1" s="141"/>
      <c r="N1" s="141"/>
      <c r="O1" s="141"/>
      <c r="P1" s="3"/>
    </row>
    <row r="2" spans="14:16" ht="12.75">
      <c r="N2" s="2"/>
      <c r="O2" s="2"/>
      <c r="P2" s="3"/>
    </row>
    <row r="3" spans="1:13" ht="12.75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8" ht="12.75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6" ht="13.5" thickBot="1">
      <c r="A8" s="7"/>
      <c r="B8" s="115"/>
      <c r="C8" s="116"/>
      <c r="D8" s="145" t="s">
        <v>0</v>
      </c>
      <c r="E8" s="145"/>
      <c r="F8" s="145"/>
      <c r="G8" s="145"/>
      <c r="H8" s="145"/>
      <c r="I8" s="145"/>
      <c r="J8" s="146" t="s">
        <v>1</v>
      </c>
      <c r="K8" s="145"/>
      <c r="L8" s="145"/>
      <c r="M8" s="147"/>
      <c r="N8" s="117"/>
      <c r="O8" s="118"/>
      <c r="P8" s="119"/>
    </row>
    <row r="9" spans="1:16" ht="12.75" customHeight="1">
      <c r="A9" s="10"/>
      <c r="B9" s="11"/>
      <c r="C9" s="12" t="s">
        <v>2</v>
      </c>
      <c r="D9" s="13"/>
      <c r="E9" s="14" t="s">
        <v>3</v>
      </c>
      <c r="F9" s="14"/>
      <c r="G9" s="15"/>
      <c r="H9" s="14"/>
      <c r="I9" s="9"/>
      <c r="J9" s="8"/>
      <c r="K9" s="16"/>
      <c r="L9" s="14"/>
      <c r="M9" s="120"/>
      <c r="N9" s="148" t="s">
        <v>4</v>
      </c>
      <c r="O9" s="149"/>
      <c r="P9" s="150"/>
    </row>
    <row r="10" spans="1:16" ht="13.5" thickBot="1">
      <c r="A10" s="10"/>
      <c r="B10" s="15" t="s">
        <v>62</v>
      </c>
      <c r="C10" s="12" t="s">
        <v>5</v>
      </c>
      <c r="D10" s="18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5" t="s">
        <v>11</v>
      </c>
      <c r="J10" s="17" t="s">
        <v>12</v>
      </c>
      <c r="K10" s="19" t="s">
        <v>13</v>
      </c>
      <c r="L10" s="14" t="s">
        <v>10</v>
      </c>
      <c r="M10" s="121" t="s">
        <v>14</v>
      </c>
      <c r="N10" s="20"/>
      <c r="O10" s="21"/>
      <c r="P10" s="22"/>
    </row>
    <row r="11" spans="1:16" ht="12.75">
      <c r="A11" s="23"/>
      <c r="B11" s="15" t="s">
        <v>24</v>
      </c>
      <c r="C11" s="12" t="s">
        <v>15</v>
      </c>
      <c r="D11" s="18" t="s">
        <v>16</v>
      </c>
      <c r="E11" s="14" t="s">
        <v>17</v>
      </c>
      <c r="F11" s="14" t="s">
        <v>5</v>
      </c>
      <c r="G11" s="15" t="s">
        <v>18</v>
      </c>
      <c r="H11" s="14" t="s">
        <v>19</v>
      </c>
      <c r="I11" s="15" t="s">
        <v>20</v>
      </c>
      <c r="J11" s="17"/>
      <c r="K11" s="19"/>
      <c r="L11" s="14" t="s">
        <v>21</v>
      </c>
      <c r="M11" s="121" t="s">
        <v>20</v>
      </c>
      <c r="N11" s="24"/>
      <c r="O11" s="25"/>
      <c r="P11" s="26" t="s">
        <v>22</v>
      </c>
    </row>
    <row r="12" spans="1:16" ht="12.75">
      <c r="A12" s="27" t="s">
        <v>23</v>
      </c>
      <c r="B12" s="15"/>
      <c r="C12" s="28"/>
      <c r="D12" s="13"/>
      <c r="E12" s="19" t="s">
        <v>25</v>
      </c>
      <c r="F12" s="14"/>
      <c r="G12" s="15" t="s">
        <v>26</v>
      </c>
      <c r="H12" s="14" t="s">
        <v>27</v>
      </c>
      <c r="I12" s="15" t="s">
        <v>28</v>
      </c>
      <c r="J12" s="8"/>
      <c r="K12" s="16"/>
      <c r="L12" s="14" t="s">
        <v>27</v>
      </c>
      <c r="M12" s="121" t="s">
        <v>28</v>
      </c>
      <c r="N12" s="29" t="s">
        <v>29</v>
      </c>
      <c r="O12" s="30" t="s">
        <v>30</v>
      </c>
      <c r="P12" s="26" t="s">
        <v>31</v>
      </c>
    </row>
    <row r="13" spans="1:16" ht="12.75">
      <c r="A13" s="31"/>
      <c r="B13" s="15"/>
      <c r="C13" s="28"/>
      <c r="D13" s="13"/>
      <c r="E13" s="19" t="s">
        <v>32</v>
      </c>
      <c r="F13" s="14"/>
      <c r="G13" s="15"/>
      <c r="H13" s="14"/>
      <c r="I13" s="15" t="s">
        <v>33</v>
      </c>
      <c r="J13" s="32"/>
      <c r="K13" s="33"/>
      <c r="L13" s="14"/>
      <c r="M13" s="121" t="s">
        <v>33</v>
      </c>
      <c r="N13" s="143" t="s">
        <v>34</v>
      </c>
      <c r="O13" s="144"/>
      <c r="P13" s="26"/>
    </row>
    <row r="14" spans="1:16" ht="12.75">
      <c r="A14" s="23"/>
      <c r="B14" s="34"/>
      <c r="C14" s="35"/>
      <c r="D14" s="13"/>
      <c r="E14" s="19" t="s">
        <v>35</v>
      </c>
      <c r="F14" s="14"/>
      <c r="G14" s="13"/>
      <c r="H14" s="16"/>
      <c r="I14" s="9"/>
      <c r="J14" s="36"/>
      <c r="K14" s="37"/>
      <c r="L14" s="16"/>
      <c r="M14" s="120"/>
      <c r="N14" s="29" t="s">
        <v>36</v>
      </c>
      <c r="O14" s="38" t="s">
        <v>36</v>
      </c>
      <c r="P14" s="26" t="s">
        <v>36</v>
      </c>
    </row>
    <row r="15" spans="1:16" ht="12.75">
      <c r="A15" s="39">
        <v>1</v>
      </c>
      <c r="B15" s="40">
        <v>2</v>
      </c>
      <c r="C15" s="41">
        <v>3</v>
      </c>
      <c r="D15" s="42">
        <v>4</v>
      </c>
      <c r="E15" s="43">
        <v>5</v>
      </c>
      <c r="F15" s="43">
        <v>6</v>
      </c>
      <c r="G15" s="43">
        <v>7</v>
      </c>
      <c r="H15" s="43">
        <v>8</v>
      </c>
      <c r="I15" s="44">
        <v>9</v>
      </c>
      <c r="J15" s="39">
        <v>10</v>
      </c>
      <c r="K15" s="45">
        <v>11</v>
      </c>
      <c r="L15" s="43">
        <v>12</v>
      </c>
      <c r="M15" s="107">
        <v>13</v>
      </c>
      <c r="N15" s="46">
        <v>16</v>
      </c>
      <c r="O15" s="43">
        <v>17</v>
      </c>
      <c r="P15" s="47">
        <v>18</v>
      </c>
    </row>
    <row r="16" spans="1:16" ht="12.75">
      <c r="A16" s="48"/>
      <c r="B16" s="15"/>
      <c r="C16" s="49"/>
      <c r="D16" s="13"/>
      <c r="E16" s="13"/>
      <c r="F16" s="13"/>
      <c r="G16" s="13"/>
      <c r="H16" s="13"/>
      <c r="I16" s="13"/>
      <c r="J16" s="8"/>
      <c r="K16" s="13"/>
      <c r="L16" s="13"/>
      <c r="M16" s="50"/>
      <c r="N16" s="8"/>
      <c r="O16" s="16"/>
      <c r="P16" s="50"/>
    </row>
    <row r="17" spans="1:18" ht="12.75">
      <c r="A17" s="48" t="s">
        <v>63</v>
      </c>
      <c r="B17" s="51" t="s">
        <v>38</v>
      </c>
      <c r="C17" s="52">
        <f>SUM(D17:M17)</f>
        <v>6760</v>
      </c>
      <c r="D17" s="53">
        <f>220+600+4501</f>
        <v>5321</v>
      </c>
      <c r="E17" s="53">
        <f>59+162+1218</f>
        <v>1439</v>
      </c>
      <c r="F17" s="53"/>
      <c r="G17" s="53"/>
      <c r="H17" s="53"/>
      <c r="I17" s="53"/>
      <c r="J17" s="54"/>
      <c r="K17" s="53"/>
      <c r="L17" s="53"/>
      <c r="M17" s="55"/>
      <c r="N17" s="8">
        <v>143.5</v>
      </c>
      <c r="O17" s="16">
        <v>143.5</v>
      </c>
      <c r="P17" s="50"/>
      <c r="R17" s="105"/>
    </row>
    <row r="18" spans="1:18" ht="12.75">
      <c r="A18" s="56"/>
      <c r="B18" s="57"/>
      <c r="C18" s="52"/>
      <c r="D18" s="53"/>
      <c r="E18" s="53"/>
      <c r="F18" s="53"/>
      <c r="G18" s="53"/>
      <c r="H18" s="53"/>
      <c r="I18" s="53"/>
      <c r="J18" s="54"/>
      <c r="K18" s="53"/>
      <c r="L18" s="53"/>
      <c r="M18" s="55"/>
      <c r="N18" s="8"/>
      <c r="O18" s="16"/>
      <c r="P18" s="50"/>
      <c r="R18" s="105"/>
    </row>
    <row r="19" spans="1:18" ht="12.75">
      <c r="A19" s="122" t="s">
        <v>37</v>
      </c>
      <c r="B19" s="58" t="s">
        <v>39</v>
      </c>
      <c r="C19" s="59">
        <f aca="true" t="shared" si="0" ref="C19:P19">SUM(C17:C18)</f>
        <v>6760</v>
      </c>
      <c r="D19" s="60">
        <f t="shared" si="0"/>
        <v>5321</v>
      </c>
      <c r="E19" s="61">
        <f t="shared" si="0"/>
        <v>1439</v>
      </c>
      <c r="F19" s="61">
        <f t="shared" si="0"/>
        <v>0</v>
      </c>
      <c r="G19" s="61">
        <f t="shared" si="0"/>
        <v>0</v>
      </c>
      <c r="H19" s="61">
        <f t="shared" si="0"/>
        <v>0</v>
      </c>
      <c r="I19" s="60">
        <f t="shared" si="0"/>
        <v>0</v>
      </c>
      <c r="J19" s="62">
        <f t="shared" si="0"/>
        <v>0</v>
      </c>
      <c r="K19" s="61">
        <f t="shared" si="0"/>
        <v>0</v>
      </c>
      <c r="L19" s="60">
        <f t="shared" si="0"/>
        <v>0</v>
      </c>
      <c r="M19" s="63">
        <f t="shared" si="0"/>
        <v>0</v>
      </c>
      <c r="N19" s="64">
        <f t="shared" si="0"/>
        <v>143.5</v>
      </c>
      <c r="O19" s="65">
        <f t="shared" si="0"/>
        <v>143.5</v>
      </c>
      <c r="P19" s="66">
        <f t="shared" si="0"/>
        <v>0</v>
      </c>
      <c r="R19" s="105"/>
    </row>
    <row r="20" spans="1:18" ht="12.75">
      <c r="A20" s="56"/>
      <c r="B20" s="67"/>
      <c r="C20" s="68"/>
      <c r="D20" s="53"/>
      <c r="E20" s="53"/>
      <c r="F20" s="53"/>
      <c r="G20" s="53"/>
      <c r="H20" s="53"/>
      <c r="I20" s="53"/>
      <c r="J20" s="54"/>
      <c r="K20" s="53"/>
      <c r="L20" s="53"/>
      <c r="M20" s="55"/>
      <c r="N20" s="8"/>
      <c r="O20" s="114"/>
      <c r="P20" s="50"/>
      <c r="R20" s="105"/>
    </row>
    <row r="21" spans="1:18" ht="12.75">
      <c r="A21" s="48" t="s">
        <v>64</v>
      </c>
      <c r="B21" s="51" t="s">
        <v>40</v>
      </c>
      <c r="C21" s="52">
        <f aca="true" t="shared" si="1" ref="C21:C31">SUM(D21:M21)</f>
        <v>2635</v>
      </c>
      <c r="D21" s="53">
        <f>220+400+217+1236</f>
        <v>2073</v>
      </c>
      <c r="E21" s="53">
        <f>59+108+55+336</f>
        <v>558</v>
      </c>
      <c r="F21" s="53">
        <v>4</v>
      </c>
      <c r="G21" s="53"/>
      <c r="H21" s="53"/>
      <c r="I21" s="53"/>
      <c r="J21" s="54"/>
      <c r="K21" s="53"/>
      <c r="L21" s="53"/>
      <c r="M21" s="55"/>
      <c r="N21" s="69">
        <v>26</v>
      </c>
      <c r="O21" s="70">
        <f>26+0.5</f>
        <v>26.5</v>
      </c>
      <c r="P21" s="50"/>
      <c r="R21" s="105"/>
    </row>
    <row r="22" spans="1:18" ht="12.75">
      <c r="A22" s="48" t="s">
        <v>65</v>
      </c>
      <c r="B22" s="51" t="s">
        <v>42</v>
      </c>
      <c r="C22" s="52">
        <f t="shared" si="1"/>
        <v>41430</v>
      </c>
      <c r="D22" s="53">
        <f>300+400+25571+736</f>
        <v>27007</v>
      </c>
      <c r="E22" s="53">
        <f>81+108+6578+199</f>
        <v>6966</v>
      </c>
      <c r="F22" s="53">
        <v>7457</v>
      </c>
      <c r="G22" s="53"/>
      <c r="H22" s="53"/>
      <c r="I22" s="53"/>
      <c r="J22" s="54"/>
      <c r="K22" s="53"/>
      <c r="L22" s="53"/>
      <c r="M22" s="55"/>
      <c r="N22" s="69">
        <f>29.5-13</f>
        <v>16.5</v>
      </c>
      <c r="O22" s="70">
        <f>29.5+50.5</f>
        <v>80</v>
      </c>
      <c r="P22" s="50"/>
      <c r="R22" s="105"/>
    </row>
    <row r="23" spans="1:18" ht="12.75">
      <c r="A23" s="48" t="s">
        <v>66</v>
      </c>
      <c r="B23" s="51" t="s">
        <v>44</v>
      </c>
      <c r="C23" s="52">
        <f t="shared" si="1"/>
        <v>3265</v>
      </c>
      <c r="D23" s="53">
        <f>220+300+1046+1001</f>
        <v>2567</v>
      </c>
      <c r="E23" s="53">
        <f>59+81+266+270</f>
        <v>676</v>
      </c>
      <c r="F23" s="53">
        <v>22</v>
      </c>
      <c r="G23" s="53"/>
      <c r="H23" s="53"/>
      <c r="I23" s="53"/>
      <c r="J23" s="54"/>
      <c r="K23" s="53"/>
      <c r="L23" s="53"/>
      <c r="M23" s="55"/>
      <c r="N23" s="69">
        <v>25.5</v>
      </c>
      <c r="O23" s="70">
        <f>25.5+2.5</f>
        <v>28</v>
      </c>
      <c r="P23" s="50"/>
      <c r="R23" s="105"/>
    </row>
    <row r="24" spans="1:18" ht="12.75">
      <c r="A24" s="48" t="s">
        <v>67</v>
      </c>
      <c r="B24" s="51" t="s">
        <v>46</v>
      </c>
      <c r="C24" s="52">
        <f t="shared" si="1"/>
        <v>3160</v>
      </c>
      <c r="D24" s="53">
        <f>220+200+921+1144</f>
        <v>2485</v>
      </c>
      <c r="E24" s="53">
        <f>59+54+235+310</f>
        <v>658</v>
      </c>
      <c r="F24" s="53">
        <v>17</v>
      </c>
      <c r="G24" s="53"/>
      <c r="H24" s="53"/>
      <c r="I24" s="53"/>
      <c r="J24" s="54"/>
      <c r="K24" s="53"/>
      <c r="L24" s="53"/>
      <c r="M24" s="55"/>
      <c r="N24" s="69">
        <v>23</v>
      </c>
      <c r="O24" s="70">
        <f>23+2</f>
        <v>25</v>
      </c>
      <c r="P24" s="50"/>
      <c r="R24" s="105"/>
    </row>
    <row r="25" spans="1:18" ht="12.75">
      <c r="A25" s="48" t="s">
        <v>68</v>
      </c>
      <c r="B25" s="51" t="s">
        <v>47</v>
      </c>
      <c r="C25" s="52">
        <f t="shared" si="1"/>
        <v>6680</v>
      </c>
      <c r="D25" s="53">
        <f>240+300+2490+2219</f>
        <v>5249</v>
      </c>
      <c r="E25" s="53">
        <f>65+81+643+603</f>
        <v>1392</v>
      </c>
      <c r="F25" s="53">
        <v>39</v>
      </c>
      <c r="G25" s="53"/>
      <c r="H25" s="53"/>
      <c r="I25" s="53"/>
      <c r="J25" s="54"/>
      <c r="K25" s="53"/>
      <c r="L25" s="53"/>
      <c r="M25" s="55"/>
      <c r="N25" s="69">
        <v>45.5</v>
      </c>
      <c r="O25" s="70">
        <f>45.5+4.5</f>
        <v>50</v>
      </c>
      <c r="P25" s="50"/>
      <c r="R25" s="105"/>
    </row>
    <row r="26" spans="1:18" ht="12.75">
      <c r="A26" s="48" t="s">
        <v>69</v>
      </c>
      <c r="B26" s="51" t="s">
        <v>48</v>
      </c>
      <c r="C26" s="52">
        <f t="shared" si="1"/>
        <v>4231</v>
      </c>
      <c r="D26" s="53">
        <f>230+200+1766+1124+1</f>
        <v>3321</v>
      </c>
      <c r="E26" s="53">
        <f>62+54+451+308</f>
        <v>875</v>
      </c>
      <c r="F26" s="53">
        <v>35</v>
      </c>
      <c r="G26" s="53"/>
      <c r="H26" s="53"/>
      <c r="I26" s="53"/>
      <c r="J26" s="54"/>
      <c r="K26" s="53"/>
      <c r="L26" s="53"/>
      <c r="M26" s="55"/>
      <c r="N26" s="69">
        <v>22</v>
      </c>
      <c r="O26" s="70">
        <f>22+4</f>
        <v>26</v>
      </c>
      <c r="P26" s="50"/>
      <c r="R26" s="105"/>
    </row>
    <row r="27" spans="1:18" ht="12.75">
      <c r="A27" s="48" t="s">
        <v>70</v>
      </c>
      <c r="B27" s="51" t="s">
        <v>49</v>
      </c>
      <c r="C27" s="52">
        <f t="shared" si="1"/>
        <v>2902</v>
      </c>
      <c r="D27" s="53">
        <f>220+500+434+1127</f>
        <v>2281</v>
      </c>
      <c r="E27" s="53">
        <f>59+135+111+307</f>
        <v>612</v>
      </c>
      <c r="F27" s="53">
        <v>9</v>
      </c>
      <c r="G27" s="53"/>
      <c r="H27" s="53"/>
      <c r="I27" s="53"/>
      <c r="J27" s="54"/>
      <c r="K27" s="53"/>
      <c r="L27" s="53"/>
      <c r="M27" s="55"/>
      <c r="N27" s="69">
        <v>23.5</v>
      </c>
      <c r="O27" s="16">
        <f>23.5+1</f>
        <v>24.5</v>
      </c>
      <c r="P27" s="50"/>
      <c r="R27" s="105"/>
    </row>
    <row r="28" spans="1:18" ht="12.75">
      <c r="A28" s="48" t="s">
        <v>71</v>
      </c>
      <c r="B28" s="51" t="s">
        <v>50</v>
      </c>
      <c r="C28" s="52">
        <f t="shared" si="1"/>
        <v>7276</v>
      </c>
      <c r="D28" s="53">
        <f>240+200+2490+2080</f>
        <v>5010</v>
      </c>
      <c r="E28" s="53">
        <f>65+54+643+566</f>
        <v>1328</v>
      </c>
      <c r="F28" s="53">
        <f>898+40</f>
        <v>938</v>
      </c>
      <c r="G28" s="53"/>
      <c r="H28" s="53"/>
      <c r="I28" s="53"/>
      <c r="J28" s="54"/>
      <c r="K28" s="53"/>
      <c r="L28" s="53"/>
      <c r="M28" s="55"/>
      <c r="N28" s="69">
        <v>47</v>
      </c>
      <c r="O28" s="70">
        <f>47+4.5</f>
        <v>51.5</v>
      </c>
      <c r="P28" s="50"/>
      <c r="R28" s="105"/>
    </row>
    <row r="29" spans="1:18" ht="12.75">
      <c r="A29" s="48" t="s">
        <v>72</v>
      </c>
      <c r="B29" s="51" t="s">
        <v>51</v>
      </c>
      <c r="C29" s="52">
        <f t="shared" si="1"/>
        <v>3616</v>
      </c>
      <c r="D29" s="53">
        <f>220+200+1447+974</f>
        <v>2841</v>
      </c>
      <c r="E29" s="53">
        <f>59+54+371+264</f>
        <v>748</v>
      </c>
      <c r="F29" s="53">
        <v>27</v>
      </c>
      <c r="G29" s="53"/>
      <c r="H29" s="53"/>
      <c r="I29" s="53"/>
      <c r="J29" s="54"/>
      <c r="K29" s="53"/>
      <c r="L29" s="53"/>
      <c r="M29" s="55"/>
      <c r="N29" s="69">
        <v>22.5</v>
      </c>
      <c r="O29" s="16">
        <f>22.5+3</f>
        <v>25.5</v>
      </c>
      <c r="P29" s="50"/>
      <c r="R29" s="105"/>
    </row>
    <row r="30" spans="1:18" ht="12.75">
      <c r="A30" s="48" t="s">
        <v>73</v>
      </c>
      <c r="B30" s="51" t="s">
        <v>52</v>
      </c>
      <c r="C30" s="52">
        <f t="shared" si="1"/>
        <v>3294</v>
      </c>
      <c r="D30" s="53">
        <f>220+200+704+1468</f>
        <v>2592</v>
      </c>
      <c r="E30" s="53">
        <f>59+54+180+396</f>
        <v>689</v>
      </c>
      <c r="F30" s="53">
        <v>13</v>
      </c>
      <c r="G30" s="53"/>
      <c r="H30" s="53"/>
      <c r="I30" s="53"/>
      <c r="J30" s="54"/>
      <c r="K30" s="53"/>
      <c r="L30" s="53"/>
      <c r="M30" s="55"/>
      <c r="N30" s="69">
        <v>27.5</v>
      </c>
      <c r="O30" s="70">
        <f>27.5+1.5</f>
        <v>29</v>
      </c>
      <c r="P30" s="50"/>
      <c r="R30" s="105"/>
    </row>
    <row r="31" spans="1:18" ht="12.75">
      <c r="A31" s="48" t="s">
        <v>74</v>
      </c>
      <c r="B31" s="51" t="s">
        <v>53</v>
      </c>
      <c r="C31" s="52">
        <f t="shared" si="1"/>
        <v>3078</v>
      </c>
      <c r="D31" s="53">
        <f>230+100+761+1331</f>
        <v>2422</v>
      </c>
      <c r="E31" s="53">
        <f>62+27+199+359</f>
        <v>647</v>
      </c>
      <c r="F31" s="53">
        <v>9</v>
      </c>
      <c r="G31" s="53"/>
      <c r="H31" s="53"/>
      <c r="I31" s="53"/>
      <c r="J31" s="54"/>
      <c r="K31" s="53"/>
      <c r="L31" s="53"/>
      <c r="M31" s="55"/>
      <c r="N31" s="69">
        <v>39.5</v>
      </c>
      <c r="O31" s="70">
        <f>39.5+1</f>
        <v>40.5</v>
      </c>
      <c r="P31" s="50"/>
      <c r="R31" s="105"/>
    </row>
    <row r="32" spans="1:18" ht="12.75">
      <c r="A32" s="48"/>
      <c r="B32" s="71"/>
      <c r="C32" s="52"/>
      <c r="D32" s="53"/>
      <c r="E32" s="53"/>
      <c r="F32" s="53"/>
      <c r="G32" s="53"/>
      <c r="H32" s="53"/>
      <c r="I32" s="53"/>
      <c r="J32" s="54"/>
      <c r="K32" s="53"/>
      <c r="L32" s="53"/>
      <c r="M32" s="55"/>
      <c r="N32" s="69"/>
      <c r="O32" s="106"/>
      <c r="P32" s="50"/>
      <c r="R32" s="105"/>
    </row>
    <row r="33" spans="1:18" ht="12.75">
      <c r="A33" s="122" t="s">
        <v>41</v>
      </c>
      <c r="B33" s="58" t="s">
        <v>54</v>
      </c>
      <c r="C33" s="59">
        <f aca="true" t="shared" si="2" ref="C33:P33">SUM(C21:C32)</f>
        <v>81567</v>
      </c>
      <c r="D33" s="72">
        <f t="shared" si="2"/>
        <v>57848</v>
      </c>
      <c r="E33" s="73">
        <f t="shared" si="2"/>
        <v>15149</v>
      </c>
      <c r="F33" s="73">
        <f t="shared" si="2"/>
        <v>8570</v>
      </c>
      <c r="G33" s="72">
        <f t="shared" si="2"/>
        <v>0</v>
      </c>
      <c r="H33" s="73">
        <f t="shared" si="2"/>
        <v>0</v>
      </c>
      <c r="I33" s="72">
        <f t="shared" si="2"/>
        <v>0</v>
      </c>
      <c r="J33" s="74">
        <f t="shared" si="2"/>
        <v>0</v>
      </c>
      <c r="K33" s="73">
        <f t="shared" si="2"/>
        <v>0</v>
      </c>
      <c r="L33" s="72">
        <f t="shared" si="2"/>
        <v>0</v>
      </c>
      <c r="M33" s="75">
        <f t="shared" si="2"/>
        <v>0</v>
      </c>
      <c r="N33" s="76">
        <f t="shared" si="2"/>
        <v>318.5</v>
      </c>
      <c r="O33" s="77">
        <f t="shared" si="2"/>
        <v>406.5</v>
      </c>
      <c r="P33" s="78">
        <f t="shared" si="2"/>
        <v>0</v>
      </c>
      <c r="Q33" s="113"/>
      <c r="R33" s="105"/>
    </row>
    <row r="34" spans="1:18" ht="12.75">
      <c r="A34" s="56"/>
      <c r="B34" s="9"/>
      <c r="C34" s="52"/>
      <c r="D34" s="53"/>
      <c r="E34" s="53"/>
      <c r="F34" s="53"/>
      <c r="G34" s="53"/>
      <c r="H34" s="53"/>
      <c r="I34" s="53"/>
      <c r="J34" s="54"/>
      <c r="K34" s="53"/>
      <c r="L34" s="53"/>
      <c r="M34" s="55"/>
      <c r="N34" s="8"/>
      <c r="O34" s="16"/>
      <c r="P34" s="50"/>
      <c r="R34" s="105"/>
    </row>
    <row r="35" spans="1:18" ht="12.75">
      <c r="A35" s="48" t="s">
        <v>64</v>
      </c>
      <c r="B35" s="51" t="s">
        <v>55</v>
      </c>
      <c r="C35" s="52">
        <f>SUM(D35:M35)</f>
        <v>1146</v>
      </c>
      <c r="D35" s="53">
        <f>220+368</f>
        <v>588</v>
      </c>
      <c r="E35" s="53">
        <f>59+99</f>
        <v>158</v>
      </c>
      <c r="F35" s="53">
        <v>400</v>
      </c>
      <c r="G35" s="53"/>
      <c r="H35" s="53"/>
      <c r="I35" s="53"/>
      <c r="J35" s="54"/>
      <c r="K35" s="53"/>
      <c r="L35" s="53"/>
      <c r="M35" s="55"/>
      <c r="N35" s="69">
        <v>10</v>
      </c>
      <c r="O35" s="70">
        <v>10</v>
      </c>
      <c r="P35" s="50"/>
      <c r="R35" s="105"/>
    </row>
    <row r="36" spans="1:18" ht="12.75">
      <c r="A36" s="48" t="s">
        <v>65</v>
      </c>
      <c r="B36" s="51" t="s">
        <v>56</v>
      </c>
      <c r="C36" s="52">
        <f>SUM(D36:M36)</f>
        <v>1661</v>
      </c>
      <c r="D36" s="53">
        <f>120+1188</f>
        <v>1308</v>
      </c>
      <c r="E36" s="53">
        <f>32+321</f>
        <v>353</v>
      </c>
      <c r="F36" s="53"/>
      <c r="G36" s="53"/>
      <c r="H36" s="53"/>
      <c r="I36" s="53"/>
      <c r="J36" s="54"/>
      <c r="K36" s="53"/>
      <c r="L36" s="53"/>
      <c r="M36" s="55"/>
      <c r="N36" s="69">
        <v>29</v>
      </c>
      <c r="O36" s="70">
        <v>29</v>
      </c>
      <c r="P36" s="50"/>
      <c r="R36" s="105"/>
    </row>
    <row r="37" spans="1:18" ht="12.75">
      <c r="A37" s="48" t="s">
        <v>66</v>
      </c>
      <c r="B37" s="51" t="s">
        <v>57</v>
      </c>
      <c r="C37" s="52">
        <f>SUM(D37:M37)</f>
        <v>1691</v>
      </c>
      <c r="D37" s="53">
        <f>220+913</f>
        <v>1133</v>
      </c>
      <c r="E37" s="53">
        <f>59+249</f>
        <v>308</v>
      </c>
      <c r="F37" s="53">
        <f>150+100</f>
        <v>250</v>
      </c>
      <c r="G37" s="53"/>
      <c r="H37" s="53"/>
      <c r="I37" s="53"/>
      <c r="J37" s="54"/>
      <c r="K37" s="53"/>
      <c r="L37" s="53"/>
      <c r="M37" s="55"/>
      <c r="N37" s="69">
        <v>26</v>
      </c>
      <c r="O37" s="70">
        <v>26</v>
      </c>
      <c r="P37" s="50"/>
      <c r="R37" s="105"/>
    </row>
    <row r="38" spans="1:18" ht="12.75">
      <c r="A38" s="48" t="s">
        <v>67</v>
      </c>
      <c r="B38" s="51" t="s">
        <v>58</v>
      </c>
      <c r="C38" s="52">
        <f>SUM(D38:M38)</f>
        <v>1094</v>
      </c>
      <c r="D38" s="53">
        <f>220+571</f>
        <v>791</v>
      </c>
      <c r="E38" s="53">
        <f>59+154</f>
        <v>213</v>
      </c>
      <c r="F38" s="53">
        <v>90</v>
      </c>
      <c r="G38" s="53"/>
      <c r="H38" s="53"/>
      <c r="I38" s="53"/>
      <c r="J38" s="54"/>
      <c r="K38" s="53"/>
      <c r="L38" s="53"/>
      <c r="M38" s="55"/>
      <c r="N38" s="69">
        <v>16</v>
      </c>
      <c r="O38" s="70">
        <v>16</v>
      </c>
      <c r="P38" s="50"/>
      <c r="R38" s="105"/>
    </row>
    <row r="39" spans="1:18" ht="12.75">
      <c r="A39" s="48" t="s">
        <v>68</v>
      </c>
      <c r="B39" s="51" t="s">
        <v>59</v>
      </c>
      <c r="C39" s="52">
        <f>SUM(D39:M39)</f>
        <v>2769</v>
      </c>
      <c r="D39" s="53">
        <f>220+1487+1</f>
        <v>1708</v>
      </c>
      <c r="E39" s="53">
        <f>59+402</f>
        <v>461</v>
      </c>
      <c r="F39" s="53">
        <f>400+200</f>
        <v>600</v>
      </c>
      <c r="G39" s="53"/>
      <c r="H39" s="53"/>
      <c r="I39" s="53"/>
      <c r="J39" s="54"/>
      <c r="K39" s="53"/>
      <c r="L39" s="53"/>
      <c r="M39" s="55"/>
      <c r="N39" s="69">
        <v>30</v>
      </c>
      <c r="O39" s="70">
        <v>30</v>
      </c>
      <c r="P39" s="50"/>
      <c r="R39" s="105"/>
    </row>
    <row r="40" spans="1:18" ht="12.75">
      <c r="A40" s="48"/>
      <c r="B40" s="9"/>
      <c r="C40" s="52"/>
      <c r="D40" s="53"/>
      <c r="E40" s="53"/>
      <c r="F40" s="53"/>
      <c r="G40" s="53"/>
      <c r="H40" s="53"/>
      <c r="I40" s="53"/>
      <c r="J40" s="54"/>
      <c r="K40" s="53"/>
      <c r="L40" s="53"/>
      <c r="M40" s="55"/>
      <c r="N40" s="69"/>
      <c r="O40" s="16"/>
      <c r="P40" s="50"/>
      <c r="R40" s="105"/>
    </row>
    <row r="41" spans="1:18" ht="12.75">
      <c r="A41" s="122" t="s">
        <v>43</v>
      </c>
      <c r="B41" s="79" t="s">
        <v>60</v>
      </c>
      <c r="C41" s="59">
        <f aca="true" t="shared" si="3" ref="C41:P41">SUM(C35:C40)</f>
        <v>8361</v>
      </c>
      <c r="D41" s="72">
        <f t="shared" si="3"/>
        <v>5528</v>
      </c>
      <c r="E41" s="73">
        <f t="shared" si="3"/>
        <v>1493</v>
      </c>
      <c r="F41" s="72">
        <f t="shared" si="3"/>
        <v>1340</v>
      </c>
      <c r="G41" s="73">
        <f t="shared" si="3"/>
        <v>0</v>
      </c>
      <c r="H41" s="73">
        <f t="shared" si="3"/>
        <v>0</v>
      </c>
      <c r="I41" s="72">
        <f t="shared" si="3"/>
        <v>0</v>
      </c>
      <c r="J41" s="74">
        <f t="shared" si="3"/>
        <v>0</v>
      </c>
      <c r="K41" s="73">
        <f t="shared" si="3"/>
        <v>0</v>
      </c>
      <c r="L41" s="73">
        <f t="shared" si="3"/>
        <v>0</v>
      </c>
      <c r="M41" s="75">
        <f t="shared" si="3"/>
        <v>0</v>
      </c>
      <c r="N41" s="76">
        <f t="shared" si="3"/>
        <v>111</v>
      </c>
      <c r="O41" s="77">
        <f t="shared" si="3"/>
        <v>111</v>
      </c>
      <c r="P41" s="78">
        <f t="shared" si="3"/>
        <v>0</v>
      </c>
      <c r="R41" s="105"/>
    </row>
    <row r="42" spans="1:18" ht="12.75">
      <c r="A42" s="80"/>
      <c r="B42" s="81"/>
      <c r="C42" s="82"/>
      <c r="D42" s="83"/>
      <c r="E42" s="83"/>
      <c r="F42" s="83"/>
      <c r="G42" s="83"/>
      <c r="H42" s="83"/>
      <c r="I42" s="83"/>
      <c r="J42" s="84"/>
      <c r="K42" s="83"/>
      <c r="L42" s="83"/>
      <c r="M42" s="85"/>
      <c r="N42" s="86"/>
      <c r="O42" s="87"/>
      <c r="P42" s="85"/>
      <c r="R42" s="105"/>
    </row>
    <row r="43" spans="1:18" ht="12.75">
      <c r="A43" s="123" t="s">
        <v>45</v>
      </c>
      <c r="B43" s="88" t="s">
        <v>61</v>
      </c>
      <c r="C43" s="89">
        <f>SUM(D43:M43)</f>
        <v>10219</v>
      </c>
      <c r="D43" s="90">
        <f>300+1913</f>
        <v>2213</v>
      </c>
      <c r="E43" s="91">
        <f>81+516</f>
        <v>597</v>
      </c>
      <c r="F43" s="91">
        <v>7409</v>
      </c>
      <c r="G43" s="91"/>
      <c r="H43" s="91"/>
      <c r="I43" s="91"/>
      <c r="J43" s="74"/>
      <c r="K43" s="93"/>
      <c r="L43" s="93"/>
      <c r="M43" s="75"/>
      <c r="N43" s="94">
        <v>90.5</v>
      </c>
      <c r="O43" s="95">
        <v>90.5</v>
      </c>
      <c r="P43" s="78"/>
      <c r="R43" s="105"/>
    </row>
    <row r="44" spans="1:18" ht="13.5" thickBot="1">
      <c r="A44" s="124"/>
      <c r="B44" s="51"/>
      <c r="C44" s="125"/>
      <c r="D44" s="126"/>
      <c r="E44" s="126"/>
      <c r="F44" s="126"/>
      <c r="G44" s="126"/>
      <c r="H44" s="126"/>
      <c r="I44" s="126"/>
      <c r="J44" s="84"/>
      <c r="K44" s="83"/>
      <c r="L44" s="83"/>
      <c r="M44" s="85"/>
      <c r="N44" s="127"/>
      <c r="O44" s="128"/>
      <c r="P44" s="85"/>
      <c r="R44" s="105"/>
    </row>
    <row r="45" spans="1:18" ht="13.5" thickBot="1">
      <c r="A45" s="129" t="s">
        <v>75</v>
      </c>
      <c r="B45" s="130" t="s">
        <v>76</v>
      </c>
      <c r="C45" s="131">
        <f>C19+C33+C41+C43</f>
        <v>106907</v>
      </c>
      <c r="D45" s="132">
        <f>D19+D33+D41+D43</f>
        <v>70910</v>
      </c>
      <c r="E45" s="135">
        <f aca="true" t="shared" si="4" ref="E45:M45">E19+E33+E41+E43</f>
        <v>18678</v>
      </c>
      <c r="F45" s="135">
        <f t="shared" si="4"/>
        <v>17319</v>
      </c>
      <c r="G45" s="135">
        <f t="shared" si="4"/>
        <v>0</v>
      </c>
      <c r="H45" s="135">
        <f t="shared" si="4"/>
        <v>0</v>
      </c>
      <c r="I45" s="134">
        <f t="shared" si="4"/>
        <v>0</v>
      </c>
      <c r="J45" s="133">
        <f t="shared" si="4"/>
        <v>0</v>
      </c>
      <c r="K45" s="135">
        <f t="shared" si="4"/>
        <v>0</v>
      </c>
      <c r="L45" s="135">
        <f t="shared" si="4"/>
        <v>0</v>
      </c>
      <c r="M45" s="134">
        <f t="shared" si="4"/>
        <v>0</v>
      </c>
      <c r="N45" s="127"/>
      <c r="O45" s="128"/>
      <c r="P45" s="85"/>
      <c r="R45" s="105"/>
    </row>
    <row r="46" spans="1:18" ht="12.75">
      <c r="A46" s="124"/>
      <c r="B46" s="51"/>
      <c r="C46" s="125"/>
      <c r="D46" s="126"/>
      <c r="E46" s="126"/>
      <c r="F46" s="126"/>
      <c r="G46" s="126"/>
      <c r="H46" s="126"/>
      <c r="I46" s="126"/>
      <c r="J46" s="84"/>
      <c r="K46" s="83"/>
      <c r="L46" s="83"/>
      <c r="M46" s="85"/>
      <c r="N46" s="127"/>
      <c r="O46" s="128"/>
      <c r="P46" s="85"/>
      <c r="R46" s="105"/>
    </row>
    <row r="47" spans="1:18" ht="12.75">
      <c r="A47" s="123" t="s">
        <v>78</v>
      </c>
      <c r="B47" s="136" t="s">
        <v>77</v>
      </c>
      <c r="C47" s="89">
        <f>SUM(D47:M47)</f>
        <v>25956</v>
      </c>
      <c r="D47" s="90">
        <f>400+10986</f>
        <v>11386</v>
      </c>
      <c r="E47" s="137">
        <f>108+2966</f>
        <v>3074</v>
      </c>
      <c r="F47" s="137">
        <v>2151</v>
      </c>
      <c r="G47" s="137"/>
      <c r="H47" s="137"/>
      <c r="I47" s="92"/>
      <c r="J47" s="140">
        <v>9345</v>
      </c>
      <c r="K47" s="73"/>
      <c r="L47" s="73"/>
      <c r="M47" s="75"/>
      <c r="N47" s="127"/>
      <c r="O47" s="128"/>
      <c r="P47" s="85"/>
      <c r="R47" s="105"/>
    </row>
    <row r="48" spans="1:18" ht="13.5" thickBot="1">
      <c r="A48" s="124"/>
      <c r="B48" s="51"/>
      <c r="C48" s="125"/>
      <c r="D48" s="126"/>
      <c r="E48" s="126"/>
      <c r="F48" s="126"/>
      <c r="G48" s="126"/>
      <c r="H48" s="126"/>
      <c r="I48" s="126"/>
      <c r="J48" s="84"/>
      <c r="K48" s="83"/>
      <c r="L48" s="83"/>
      <c r="M48" s="85"/>
      <c r="N48" s="127"/>
      <c r="O48" s="128"/>
      <c r="P48" s="85"/>
      <c r="R48" s="105"/>
    </row>
    <row r="49" spans="1:18" ht="12.75" hidden="1">
      <c r="A49" s="56"/>
      <c r="B49" s="96"/>
      <c r="C49" s="52"/>
      <c r="D49" s="53"/>
      <c r="E49" s="53"/>
      <c r="F49" s="53"/>
      <c r="G49" s="53"/>
      <c r="H49" s="53"/>
      <c r="I49" s="53"/>
      <c r="J49" s="54"/>
      <c r="K49" s="53"/>
      <c r="L49" s="53"/>
      <c r="M49" s="55"/>
      <c r="N49" s="69"/>
      <c r="O49" s="16"/>
      <c r="P49" s="50"/>
      <c r="R49" s="105"/>
    </row>
    <row r="50" spans="1:18" ht="12.75" hidden="1">
      <c r="A50" s="56"/>
      <c r="B50" s="96"/>
      <c r="C50" s="52"/>
      <c r="D50" s="53"/>
      <c r="E50" s="53"/>
      <c r="F50" s="53"/>
      <c r="G50" s="53"/>
      <c r="H50" s="53"/>
      <c r="I50" s="53"/>
      <c r="J50" s="54"/>
      <c r="K50" s="53"/>
      <c r="L50" s="53"/>
      <c r="M50" s="55"/>
      <c r="N50" s="69"/>
      <c r="O50" s="16"/>
      <c r="P50" s="50"/>
      <c r="R50" s="105"/>
    </row>
    <row r="51" spans="1:18" ht="12.75" hidden="1">
      <c r="A51" s="56"/>
      <c r="B51" s="97"/>
      <c r="C51" s="52"/>
      <c r="D51" s="53"/>
      <c r="E51" s="53"/>
      <c r="F51" s="53"/>
      <c r="G51" s="53"/>
      <c r="H51" s="53"/>
      <c r="I51" s="53"/>
      <c r="J51" s="54"/>
      <c r="K51" s="53"/>
      <c r="L51" s="53"/>
      <c r="M51" s="55"/>
      <c r="N51" s="69"/>
      <c r="O51" s="16"/>
      <c r="P51" s="50"/>
      <c r="R51" s="105"/>
    </row>
    <row r="52" spans="1:18" ht="13.5" thickBot="1">
      <c r="A52" s="138" t="s">
        <v>80</v>
      </c>
      <c r="B52" s="108" t="s">
        <v>79</v>
      </c>
      <c r="C52" s="109">
        <f>C19+C33+C41+C43+C47</f>
        <v>132863</v>
      </c>
      <c r="D52" s="110">
        <f aca="true" t="shared" si="5" ref="D52:M52">D19+D33+D41+D43+D47</f>
        <v>82296</v>
      </c>
      <c r="E52" s="139">
        <f t="shared" si="5"/>
        <v>21752</v>
      </c>
      <c r="F52" s="139">
        <f t="shared" si="5"/>
        <v>19470</v>
      </c>
      <c r="G52" s="139">
        <f t="shared" si="5"/>
        <v>0</v>
      </c>
      <c r="H52" s="139">
        <f t="shared" si="5"/>
        <v>0</v>
      </c>
      <c r="I52" s="139">
        <f t="shared" si="5"/>
        <v>0</v>
      </c>
      <c r="J52" s="111">
        <f t="shared" si="5"/>
        <v>9345</v>
      </c>
      <c r="K52" s="139">
        <f t="shared" si="5"/>
        <v>0</v>
      </c>
      <c r="L52" s="139">
        <f t="shared" si="5"/>
        <v>0</v>
      </c>
      <c r="M52" s="112">
        <f t="shared" si="5"/>
        <v>0</v>
      </c>
      <c r="N52" s="99">
        <f>N19+N33+N41+N43</f>
        <v>663.5</v>
      </c>
      <c r="O52" s="100">
        <f>O19+O33+O41+O43</f>
        <v>751.5</v>
      </c>
      <c r="P52" s="98">
        <f>P19+P33+P41+P43</f>
        <v>0</v>
      </c>
      <c r="R52" s="105"/>
    </row>
    <row r="53" spans="3:16" ht="12.75">
      <c r="C53" s="10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102"/>
      <c r="B54" s="53"/>
      <c r="C54" s="10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102"/>
      <c r="B55" s="53"/>
      <c r="C55" s="10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102"/>
      <c r="B56" s="53"/>
      <c r="C56" s="101"/>
      <c r="D56" s="104"/>
      <c r="E56" s="10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102"/>
      <c r="B57" s="53"/>
      <c r="C57" s="10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102"/>
      <c r="B58" s="53"/>
      <c r="C58" s="10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53"/>
      <c r="C59" s="101"/>
      <c r="D59" s="4"/>
      <c r="E59" s="4"/>
      <c r="F59" s="4"/>
      <c r="G59" s="10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53"/>
      <c r="C60" s="103"/>
      <c r="D60" s="4"/>
      <c r="E60" s="4"/>
      <c r="F60" s="10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53"/>
      <c r="C61" s="10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53"/>
      <c r="C62" s="10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3:18" ht="12.75"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2"/>
      <c r="R63" s="2"/>
    </row>
    <row r="64" spans="3:18" ht="12.75"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2"/>
      <c r="R64" s="2"/>
    </row>
    <row r="65" spans="2:18" ht="12.75">
      <c r="B65" s="10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2"/>
      <c r="R65" s="2"/>
    </row>
    <row r="66" spans="3:18" ht="12.75"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2"/>
      <c r="R66" s="2"/>
    </row>
    <row r="67" spans="3:18" ht="12.75"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2"/>
      <c r="R67" s="2"/>
    </row>
    <row r="68" spans="2:18" ht="12.75">
      <c r="B68" s="10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2"/>
      <c r="R68" s="2"/>
    </row>
    <row r="69" spans="3:18" ht="12.75"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2"/>
      <c r="R69" s="2"/>
    </row>
    <row r="70" spans="3:18" ht="12.75"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2"/>
      <c r="R70" s="2"/>
    </row>
    <row r="71" spans="3:18" ht="12.75"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2"/>
      <c r="R71" s="2"/>
    </row>
    <row r="72" spans="3:18" ht="12.75"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2"/>
      <c r="R72" s="2"/>
    </row>
    <row r="73" spans="3:18" ht="12.75"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2"/>
      <c r="R73" s="2"/>
    </row>
    <row r="74" spans="3:18" ht="12.75"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2"/>
      <c r="R74" s="2"/>
    </row>
    <row r="75" spans="3:18" ht="12.75"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2"/>
      <c r="R75" s="2"/>
    </row>
    <row r="76" spans="3:18" ht="12.75"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2"/>
      <c r="R76" s="2"/>
    </row>
    <row r="77" spans="2:18" ht="12.75">
      <c r="B77" s="10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2"/>
      <c r="R77" s="2"/>
    </row>
    <row r="78" spans="3:18" ht="12.75"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2"/>
      <c r="R78" s="2"/>
    </row>
    <row r="79" spans="2:18" ht="12.75">
      <c r="B79" s="10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2"/>
      <c r="R79" s="2"/>
    </row>
    <row r="80" spans="3:18" ht="12.75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2"/>
      <c r="R80" s="2"/>
    </row>
    <row r="81" spans="3:18" ht="12.75"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2"/>
      <c r="R81" s="2"/>
    </row>
    <row r="82" spans="3:18" ht="12.75"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2"/>
      <c r="R82" s="2"/>
    </row>
    <row r="83" spans="3:18" ht="12.75"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2"/>
      <c r="R83" s="2"/>
    </row>
    <row r="84" spans="3:18" ht="12.75"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2"/>
      <c r="R84" s="2"/>
    </row>
    <row r="85" spans="3:18" ht="12.75"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2"/>
      <c r="R85" s="2"/>
    </row>
    <row r="86" spans="3:18" ht="12.75"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2"/>
      <c r="R86" s="2"/>
    </row>
    <row r="87" spans="3:18" ht="12.75"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2"/>
      <c r="R87" s="2"/>
    </row>
    <row r="88" spans="3:18" ht="12.75"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2"/>
      <c r="R88" s="2"/>
    </row>
    <row r="89" spans="3:18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8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3:18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3:18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3:18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3:18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3:18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3:18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3:18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3:18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3:18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3:18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3:1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3:1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3:1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3:1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3:1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3:1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3:18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3:18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3:18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3:18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18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1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1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1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1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1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1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</sheetData>
  <mergeCells count="7">
    <mergeCell ref="N1:O1"/>
    <mergeCell ref="A3:M3"/>
    <mergeCell ref="L1:M1"/>
    <mergeCell ref="N13:O13"/>
    <mergeCell ref="D8:I8"/>
    <mergeCell ref="J8:M8"/>
    <mergeCell ref="N9:P9"/>
  </mergeCells>
  <printOptions horizontalCentered="1" verticalCentered="1"/>
  <pageMargins left="0.07874015748031496" right="0.07874015748031496" top="0.33" bottom="0.31" header="0.21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II. Kerületi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</dc:creator>
  <cp:keywords/>
  <dc:description/>
  <cp:lastModifiedBy>tari</cp:lastModifiedBy>
  <cp:lastPrinted>2013-08-28T07:31:07Z</cp:lastPrinted>
  <dcterms:created xsi:type="dcterms:W3CDTF">2013-05-29T08:17:59Z</dcterms:created>
  <dcterms:modified xsi:type="dcterms:W3CDTF">2013-08-28T07:45:53Z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