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SajátHK_bevételek" sheetId="1" r:id="rId1"/>
    <sheet name="SajátHK_kiadások" sheetId="2" r:id="rId2"/>
  </sheets>
  <definedNames>
    <definedName name="Excel_BuiltIn__FilterDatabase_2">'SajátHK_kiadások'!$A$12:$AL$100</definedName>
    <definedName name="Excel_BuiltIn__FilterDatabase_3">#REF!</definedName>
    <definedName name="Excel_BuiltIn__FilterDatabase_3_3">'SajátHK_bevételek'!$C$6:$W$17</definedName>
    <definedName name="_xlnm.Print_Titles" localSheetId="0">'SajátHK_bevételek'!$6:$13</definedName>
    <definedName name="_xlnm.Print_Titles" localSheetId="1">'SajátHK_kiadások'!$4:$11</definedName>
    <definedName name="_xlnm.Print_Area" localSheetId="0">'SajátHK_bevételek'!$A$1:$W$136</definedName>
    <definedName name="_xlnm.Print_Area" localSheetId="1">'SajátHK_kiadások'!$A$1:$U$357</definedName>
  </definedNames>
  <calcPr fullCalcOnLoad="1"/>
</workbook>
</file>

<file path=xl/sharedStrings.xml><?xml version="1.0" encoding="utf-8"?>
<sst xmlns="http://schemas.openxmlformats.org/spreadsheetml/2006/main" count="495" uniqueCount="288">
  <si>
    <t>K I M U T A T Á S</t>
  </si>
  <si>
    <t>ezer Ft-ban</t>
  </si>
  <si>
    <t>B E V É T E L E K</t>
  </si>
  <si>
    <t>Intézményi működési bevételek</t>
  </si>
  <si>
    <t>Önkormányzatok sajátos működési bevételei</t>
  </si>
  <si>
    <t xml:space="preserve"> </t>
  </si>
  <si>
    <t>Szöveges indoklás a</t>
  </si>
  <si>
    <t>Hatósági</t>
  </si>
  <si>
    <t>Egyéb</t>
  </si>
  <si>
    <t xml:space="preserve">ÁFA </t>
  </si>
  <si>
    <t>Kamat-</t>
  </si>
  <si>
    <t xml:space="preserve">Helyi </t>
  </si>
  <si>
    <t>Átengedett</t>
  </si>
  <si>
    <t>Különféle</t>
  </si>
  <si>
    <t>Önkorm.</t>
  </si>
  <si>
    <t xml:space="preserve">Cél - és </t>
  </si>
  <si>
    <t>Felhalm.</t>
  </si>
  <si>
    <t>Pénzügyi</t>
  </si>
  <si>
    <t>Támogatás-</t>
  </si>
  <si>
    <t>Működési</t>
  </si>
  <si>
    <t>Felhalmozási</t>
  </si>
  <si>
    <t>Kölcsönök</t>
  </si>
  <si>
    <t>Pénzforg.</t>
  </si>
  <si>
    <t>Bevételek</t>
  </si>
  <si>
    <t>Ssz.</t>
  </si>
  <si>
    <t>forrás származására és a kiadás</t>
  </si>
  <si>
    <t>jogkörhöz</t>
  </si>
  <si>
    <t>saját</t>
  </si>
  <si>
    <t>bevételek,</t>
  </si>
  <si>
    <t>bevételek</t>
  </si>
  <si>
    <t>adók</t>
  </si>
  <si>
    <t>központi</t>
  </si>
  <si>
    <t>sajátos</t>
  </si>
  <si>
    <t>bírságok</t>
  </si>
  <si>
    <t>költségvetési</t>
  </si>
  <si>
    <t>címzett</t>
  </si>
  <si>
    <t xml:space="preserve">és </t>
  </si>
  <si>
    <t>befekt.</t>
  </si>
  <si>
    <t>értékű</t>
  </si>
  <si>
    <t>célú</t>
  </si>
  <si>
    <t>visszaté-</t>
  </si>
  <si>
    <t>Hitelek</t>
  </si>
  <si>
    <t>nélküli</t>
  </si>
  <si>
    <t>összesen</t>
  </si>
  <si>
    <t>felhasználási  jogcimére</t>
  </si>
  <si>
    <t xml:space="preserve">köthető </t>
  </si>
  <si>
    <t>bevétel</t>
  </si>
  <si>
    <t>visszatérül.</t>
  </si>
  <si>
    <t>adók,</t>
  </si>
  <si>
    <t>működési</t>
  </si>
  <si>
    <t>tám.</t>
  </si>
  <si>
    <t>tőkejell.</t>
  </si>
  <si>
    <t>bevételei</t>
  </si>
  <si>
    <t>pénzeszköz</t>
  </si>
  <si>
    <t>felhalmozási</t>
  </si>
  <si>
    <t>rülése</t>
  </si>
  <si>
    <t>(3+…+21)</t>
  </si>
  <si>
    <t>műk.bev.</t>
  </si>
  <si>
    <t>gj.adó</t>
  </si>
  <si>
    <t>átvétel</t>
  </si>
  <si>
    <t>912-914</t>
  </si>
  <si>
    <t>942-947</t>
  </si>
  <si>
    <t>933 + 29</t>
  </si>
  <si>
    <t>43, 45</t>
  </si>
  <si>
    <t>Érvényes előirányzatok:</t>
  </si>
  <si>
    <t>Módosítás</t>
  </si>
  <si>
    <t>Módosított előirányzat</t>
  </si>
  <si>
    <t>Féléves</t>
  </si>
  <si>
    <t>Harmadik</t>
  </si>
  <si>
    <t>000</t>
  </si>
  <si>
    <t>Felülvizsgálat</t>
  </si>
  <si>
    <t>010</t>
  </si>
  <si>
    <t>030</t>
  </si>
  <si>
    <t>040</t>
  </si>
  <si>
    <t>070</t>
  </si>
  <si>
    <t>080</t>
  </si>
  <si>
    <t>090</t>
  </si>
  <si>
    <t>120</t>
  </si>
  <si>
    <t>121</t>
  </si>
  <si>
    <t>180</t>
  </si>
  <si>
    <t>Felülvizsgálati módosítások összesen:</t>
  </si>
  <si>
    <t>Módosítások összesen:</t>
  </si>
  <si>
    <t>Módosított előirányzat:</t>
  </si>
  <si>
    <t>K I A D Á S O K</t>
  </si>
  <si>
    <t>Működési kiadások</t>
  </si>
  <si>
    <t>Felhalmozási kiadások</t>
  </si>
  <si>
    <t>PH főössz.</t>
  </si>
  <si>
    <t>Sor-</t>
  </si>
  <si>
    <t>Társ-,szoc.</t>
  </si>
  <si>
    <t>Ellátottak</t>
  </si>
  <si>
    <t>Felújítási</t>
  </si>
  <si>
    <t>Beruházási</t>
  </si>
  <si>
    <t>Támogatási</t>
  </si>
  <si>
    <t>Intézmény-</t>
  </si>
  <si>
    <t>Kiadások</t>
  </si>
  <si>
    <t>szám</t>
  </si>
  <si>
    <t>Személyi</t>
  </si>
  <si>
    <t>Munkaadót</t>
  </si>
  <si>
    <t xml:space="preserve">Dologi </t>
  </si>
  <si>
    <t>Folyó</t>
  </si>
  <si>
    <t xml:space="preserve">pol- és </t>
  </si>
  <si>
    <t>pénzbeli</t>
  </si>
  <si>
    <t>kiadások</t>
  </si>
  <si>
    <t>kölcsönök</t>
  </si>
  <si>
    <t>befektet.</t>
  </si>
  <si>
    <t>Tartalékok</t>
  </si>
  <si>
    <t>finan-</t>
  </si>
  <si>
    <t>juttatás</t>
  </si>
  <si>
    <t xml:space="preserve"> terhelő </t>
  </si>
  <si>
    <t>egyéb jutt.</t>
  </si>
  <si>
    <t>juttatásai</t>
  </si>
  <si>
    <t>ÁFA-val</t>
  </si>
  <si>
    <t>nyújtása</t>
  </si>
  <si>
    <t>kiadásai</t>
  </si>
  <si>
    <t>visszafiz.</t>
  </si>
  <si>
    <t>szírozás</t>
  </si>
  <si>
    <t>21-20</t>
  </si>
  <si>
    <t>járulékok</t>
  </si>
  <si>
    <t>támogatás</t>
  </si>
  <si>
    <t>kiadás</t>
  </si>
  <si>
    <t>átadás</t>
  </si>
  <si>
    <t>51 + 52</t>
  </si>
  <si>
    <t>54+55+56</t>
  </si>
  <si>
    <t>583+584</t>
  </si>
  <si>
    <t>1_6</t>
  </si>
  <si>
    <t>1_5</t>
  </si>
  <si>
    <t>17, 29</t>
  </si>
  <si>
    <t>4312+4512</t>
  </si>
  <si>
    <t>pénzmaradvány</t>
  </si>
  <si>
    <t>020</t>
  </si>
  <si>
    <t>021</t>
  </si>
  <si>
    <t>025</t>
  </si>
  <si>
    <t>026</t>
  </si>
  <si>
    <t>028</t>
  </si>
  <si>
    <t>032</t>
  </si>
  <si>
    <t>033</t>
  </si>
  <si>
    <t>034</t>
  </si>
  <si>
    <t>051</t>
  </si>
  <si>
    <t>052</t>
  </si>
  <si>
    <t>060</t>
  </si>
  <si>
    <t>101</t>
  </si>
  <si>
    <t>Pénzmaradvánnyal módosított előirányzat</t>
  </si>
  <si>
    <t>050</t>
  </si>
  <si>
    <t xml:space="preserve">Pénzmaradvány </t>
  </si>
  <si>
    <t>Pénzmaradvány</t>
  </si>
  <si>
    <t>(3+…+19)</t>
  </si>
  <si>
    <t>Vonal alattiak</t>
  </si>
  <si>
    <t>PH</t>
  </si>
  <si>
    <t>Int.saját bev.</t>
  </si>
  <si>
    <t>10.31.rend.</t>
  </si>
  <si>
    <t>10.31</t>
  </si>
  <si>
    <t>019</t>
  </si>
  <si>
    <t>924-926,92218</t>
  </si>
  <si>
    <t>Int-k saját</t>
  </si>
  <si>
    <t>bevétele</t>
  </si>
  <si>
    <t>Főösszeg</t>
  </si>
  <si>
    <t>083</t>
  </si>
  <si>
    <t>1</t>
  </si>
  <si>
    <t>Parkoltatási közszolgáltatás</t>
  </si>
  <si>
    <t>2</t>
  </si>
  <si>
    <t>Átmeneti tartalékból kártalanításra</t>
  </si>
  <si>
    <t>4</t>
  </si>
  <si>
    <t>LMP Frakciókeret</t>
  </si>
  <si>
    <t>MSZP Frakciókeret</t>
  </si>
  <si>
    <t>5</t>
  </si>
  <si>
    <t>6</t>
  </si>
  <si>
    <t>FIDESZ-KDNP Frakciókeret</t>
  </si>
  <si>
    <t>8</t>
  </si>
  <si>
    <t>Bútorbeszerzés</t>
  </si>
  <si>
    <t>9</t>
  </si>
  <si>
    <t>Polgármesteri Keret felhasználása</t>
  </si>
  <si>
    <t>Alpolgármesteri Keret felhasználása</t>
  </si>
  <si>
    <t>Bérlakásban villamos fűtés kialakítása</t>
  </si>
  <si>
    <t>Komposztáló Kerület Program kommunikációs feladatai</t>
  </si>
  <si>
    <t>Jegyző számlás megb-ról közterületi lépcsők-re</t>
  </si>
  <si>
    <t>Fejlesztések - tart-ból:Nagyrét u. 4. Sportpálya</t>
  </si>
  <si>
    <t>Budai Díj - Lovas szobrok</t>
  </si>
  <si>
    <t>Norm.hozzájárulás feladatmutatóhoz kötött</t>
  </si>
  <si>
    <t>Bolyai Óvoda kastélyépület átalakítása</t>
  </si>
  <si>
    <t>ÉNO új helyen történő elhelyezése</t>
  </si>
  <si>
    <t>Int. fin. - II.Rákóczi F. Gimn. tornaterem,veszély elhárítás</t>
  </si>
  <si>
    <t>Int. fin. - Eü. Szolg. eszközbeszerzés</t>
  </si>
  <si>
    <t>Török Sándor Waldorf Óvoda beruh-hoz</t>
  </si>
  <si>
    <t>19</t>
  </si>
  <si>
    <t>Pm. tám. - Minden Gyermek Lakjon Jól Alapítvány</t>
  </si>
  <si>
    <t>Adyliget Barátai Al. társasházi költség hozzájár.</t>
  </si>
  <si>
    <t>24</t>
  </si>
  <si>
    <t>Horvát Kisebbségi Önkormányzat</t>
  </si>
  <si>
    <t>25</t>
  </si>
  <si>
    <t>Német Kisebbségi Önkormányzat</t>
  </si>
  <si>
    <t>26</t>
  </si>
  <si>
    <t>Örmény Kisebbségi Önkormányzat</t>
  </si>
  <si>
    <t>27</t>
  </si>
  <si>
    <t>Román Kisebbségi Önkormányzat</t>
  </si>
  <si>
    <t>28</t>
  </si>
  <si>
    <t>Szerb Kisebbségi Önkormányzat</t>
  </si>
  <si>
    <t>29</t>
  </si>
  <si>
    <t>Lengyel Kisebbségi Önkormányzat</t>
  </si>
  <si>
    <t>30</t>
  </si>
  <si>
    <t>Ukrán Kisebbségi Önkormányzat</t>
  </si>
  <si>
    <t>31</t>
  </si>
  <si>
    <t>Bolgár Kisebbségi Önkormányzat</t>
  </si>
  <si>
    <t>32</t>
  </si>
  <si>
    <t>Ruszin Kisebbségi Önkormányzat</t>
  </si>
  <si>
    <t>33</t>
  </si>
  <si>
    <t>001</t>
  </si>
  <si>
    <t>022</t>
  </si>
  <si>
    <t>081</t>
  </si>
  <si>
    <t>Hivatalhoz rendelt intézmények pénzmaradványa</t>
  </si>
  <si>
    <t>Eredeti előirányzatok:</t>
  </si>
  <si>
    <t>Kisebbségi önkorm-ok többlettámogatás beemelése</t>
  </si>
  <si>
    <t>a Polgármesteri Hivatal saját hatáskörben végrehajtott bevételi előirányzatainak változásáról, kiemelt előirányzatonként 2011. május 1-től 2011. június 30-ig</t>
  </si>
  <si>
    <t>a Polgármesteri Hivatal saját hatáskörben végrehajtott kiadási előirányzatainak változásáról, kiemelt előirányzatonként 2011. május 1-től 2011. június 30-ig</t>
  </si>
  <si>
    <t>Görög Kisebbségi Önkormányzat</t>
  </si>
  <si>
    <t>35</t>
  </si>
  <si>
    <t>36</t>
  </si>
  <si>
    <t>Parkolási feladatok</t>
  </si>
  <si>
    <t>Parkoló automaták reklámfelületének bérbeadása</t>
  </si>
  <si>
    <t>38</t>
  </si>
  <si>
    <t>Közbeszerzés - ÉNO Hidegkúti út 158.</t>
  </si>
  <si>
    <t>Fizetési meghagyásos eljárások díja</t>
  </si>
  <si>
    <t>Alpolgármesteri keret felhasználása</t>
  </si>
  <si>
    <t>Német nyelvű utcanévtáblákra</t>
  </si>
  <si>
    <t>Fillér u. Ált. Isk. - hőleadó</t>
  </si>
  <si>
    <t>Int. fin. - Marcibányi  téri Nyugdíjas Klub tám.</t>
  </si>
  <si>
    <t>Intézmények - táborok,erdei iskolák, nyelvi táborok tám.</t>
  </si>
  <si>
    <t>Int. fin. - Marcibányi és Klebelsberg Műv.Kp. progr.tám</t>
  </si>
  <si>
    <t>Intézmények -művészeti és kulturális progr. tám.</t>
  </si>
  <si>
    <t>Intézmények - Iskolák, óvodás sport tev. tám.</t>
  </si>
  <si>
    <t>Intézmények - diákönkormányzatok tám.</t>
  </si>
  <si>
    <t>Intézményfinanszírozás</t>
  </si>
  <si>
    <t>Intézményfinanszírozás - Raiffeisen Bank Zrt.</t>
  </si>
  <si>
    <t>Polgármesteri keret felhasználása</t>
  </si>
  <si>
    <t>Környezetvédelmi bírság többlet bevétel</t>
  </si>
  <si>
    <t>Környezetvédelmi bírság</t>
  </si>
  <si>
    <t>Bursa Hungarica - fel nem használt ösztöndíj</t>
  </si>
  <si>
    <t>Építészeti Konzultációs tervtanácson szakértő tev.</t>
  </si>
  <si>
    <t>Mobil bölcsőde kial-tűzjelző rsz.</t>
  </si>
  <si>
    <t>Tölgyfa u.-Feketesas u.Rend.Int.komplex ak.ment.</t>
  </si>
  <si>
    <t>Közterületi térfigyelő rsz.üzemeltetése</t>
  </si>
  <si>
    <t>Pályázati tám. - Belt.csap.vízelv.;Hvölgyi Bölcsi kial.</t>
  </si>
  <si>
    <t>Kisebbségeink támogatása - Kerület Napja</t>
  </si>
  <si>
    <t>Népszámlálás központi keret I. ütem</t>
  </si>
  <si>
    <t>Többletbevétel beemelése</t>
  </si>
  <si>
    <t>Szökőkutak fenntartása</t>
  </si>
  <si>
    <t>Intézmények - diákok tanév végi jutalmazása</t>
  </si>
  <si>
    <t>Parkoltatási közszolg.kial.</t>
  </si>
  <si>
    <t>ÉNO Hidegkúti út 158. kieg. munkái</t>
  </si>
  <si>
    <t>Bolyai Óvoda</t>
  </si>
  <si>
    <t>Közbesz. Klebelsberg Gimn., Közterületi lépcsők</t>
  </si>
  <si>
    <t>Fillér u.Ált.Isk.II.ütem/kémény eng.terv.</t>
  </si>
  <si>
    <t>Parkoltatási közszolg. - Postai szolg.</t>
  </si>
  <si>
    <t>ÉNO Hkúti út 158, Fillér u. Ált. Isk. - közbeszerzés</t>
  </si>
  <si>
    <t>Bel-Buda funkcióbőv.beruh.támogatás</t>
  </si>
  <si>
    <t>Adósságcsökkentési támogatás</t>
  </si>
  <si>
    <t>Szociális étkeztetés lemondás I.ütem</t>
  </si>
  <si>
    <t>Szociális nyári gyermekétkeztetés</t>
  </si>
  <si>
    <t>Könyvtári és közművelődési érdekeltségnövelő tám.</t>
  </si>
  <si>
    <t>Közbiztonsági feladatok ösztönzése</t>
  </si>
  <si>
    <t>ROTA vírus elleni védőoltás</t>
  </si>
  <si>
    <t>Fillér u.Ált isk.,Kolozsvár u.Óvoda - bútor,kötelező eszk</t>
  </si>
  <si>
    <t>Mosbachi delegáció szállásktg.</t>
  </si>
  <si>
    <t xml:space="preserve">Mobil bölcsőde kial. </t>
  </si>
  <si>
    <t>Fillér u.Ált.Isk.II.ütem/új aljzatbeton</t>
  </si>
  <si>
    <t>Budapesti Önkormányzatok Szövetsége - tagdíj</t>
  </si>
  <si>
    <t>Pedagógusok létszámkeret emeléséhez</t>
  </si>
  <si>
    <t>Parkoló automaták beruh.ktg-e</t>
  </si>
  <si>
    <t>Központi kabantartási keret</t>
  </si>
  <si>
    <t>128/M</t>
  </si>
  <si>
    <t>Átcsoportosítás</t>
  </si>
  <si>
    <t>Ép-i igazgatási szolgáltatási díj bevétel</t>
  </si>
  <si>
    <t>2011. évi kompenzáció</t>
  </si>
  <si>
    <t>Képviselői költségtérítés felhasználása</t>
  </si>
  <si>
    <t>Intézmények - kerületi diák- és tömegsport</t>
  </si>
  <si>
    <t>Intézmények - óvodai és iskolai integrációs feladatok</t>
  </si>
  <si>
    <t>Parkok,zöldfelületek fenntartása</t>
  </si>
  <si>
    <t>2010. évi "Településőr" Pr. utófinansz.</t>
  </si>
  <si>
    <t>Dolgozók ruházati ktg.visszafizetése</t>
  </si>
  <si>
    <t>Szolgálati garázsok vételár része</t>
  </si>
  <si>
    <t>Háziorvosok kamatmentes kölcsön visszafiz.</t>
  </si>
  <si>
    <t>Közcélú foglalkoztatás a PH-ban</t>
  </si>
  <si>
    <t>Mentőállomás vill.és gázenergia díja</t>
  </si>
  <si>
    <t>Hivatalhoz rendelt intézmények</t>
  </si>
  <si>
    <t>Kerekítés miatt</t>
  </si>
  <si>
    <t>Bevételek átcsoportosítása</t>
  </si>
  <si>
    <t>Késedelmi kamat és végrehajtási bírság többlet beem.</t>
  </si>
  <si>
    <t>e-Környezetvédelem KMOP - 3.3.4/C</t>
  </si>
  <si>
    <t>1. sz. melléklet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</si>
</sst>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&quot;. &quot;m&quot;. &quot;d/"/>
    <numFmt numFmtId="165" formatCode="#,##0_ ;[Red]\-#,##0\ "/>
    <numFmt numFmtId="166" formatCode="#,##0\ _F_t"/>
    <numFmt numFmtId="167" formatCode="yyyy\-mm\-dd"/>
    <numFmt numFmtId="168" formatCode="mmm\ d/"/>
    <numFmt numFmtId="169" formatCode="mmm/yyyy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"/>
  </numFmts>
  <fonts count="13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3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sz val="9"/>
      <name val="Times New Roman CE"/>
      <family val="1"/>
    </font>
    <font>
      <i/>
      <sz val="13"/>
      <name val="Times New Roman CE"/>
      <family val="1"/>
    </font>
    <font>
      <b/>
      <i/>
      <sz val="13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>
      <alignment/>
      <protection/>
    </xf>
    <xf numFmtId="0" fontId="3" fillId="0" borderId="1" xfId="17" applyFont="1" applyBorder="1" applyAlignment="1">
      <alignment horizontal="right" vertical="top"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3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3" fillId="0" borderId="5" xfId="17" applyFont="1" applyBorder="1">
      <alignment/>
      <protection/>
    </xf>
    <xf numFmtId="0" fontId="3" fillId="0" borderId="6" xfId="17" applyFont="1" applyBorder="1">
      <alignment/>
      <protection/>
    </xf>
    <xf numFmtId="0" fontId="3" fillId="0" borderId="6" xfId="17" applyFont="1" applyBorder="1" applyAlignment="1">
      <alignment horizontal="center"/>
      <protection/>
    </xf>
    <xf numFmtId="0" fontId="6" fillId="2" borderId="7" xfId="0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>
      <alignment horizontal="center"/>
      <protection/>
    </xf>
    <xf numFmtId="0" fontId="3" fillId="0" borderId="7" xfId="17" applyFont="1" applyBorder="1" applyAlignment="1">
      <alignment/>
      <protection/>
    </xf>
    <xf numFmtId="0" fontId="3" fillId="0" borderId="8" xfId="17" applyFont="1" applyBorder="1" applyAlignment="1">
      <alignment horizontal="center"/>
      <protection/>
    </xf>
    <xf numFmtId="0" fontId="5" fillId="0" borderId="9" xfId="17" applyFont="1" applyBorder="1" applyAlignment="1">
      <alignment horizontal="center"/>
      <protection/>
    </xf>
    <xf numFmtId="0" fontId="3" fillId="0" borderId="10" xfId="17" applyFont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3" fillId="0" borderId="11" xfId="17" applyFont="1" applyBorder="1" applyAlignment="1">
      <alignment/>
      <protection/>
    </xf>
    <xf numFmtId="0" fontId="3" fillId="0" borderId="12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3" fillId="0" borderId="13" xfId="17" applyFont="1" applyBorder="1" applyAlignment="1">
      <alignment horizontal="center"/>
      <protection/>
    </xf>
    <xf numFmtId="0" fontId="3" fillId="0" borderId="14" xfId="17" applyFont="1" applyBorder="1" applyAlignment="1">
      <alignment horizontal="center"/>
      <protection/>
    </xf>
    <xf numFmtId="0" fontId="3" fillId="0" borderId="15" xfId="17" applyFont="1" applyBorder="1" applyAlignment="1">
      <alignment horizontal="right"/>
      <protection/>
    </xf>
    <xf numFmtId="0" fontId="3" fillId="0" borderId="16" xfId="17" applyFont="1" applyBorder="1" applyAlignment="1">
      <alignment horizontal="right"/>
      <protection/>
    </xf>
    <xf numFmtId="0" fontId="7" fillId="0" borderId="17" xfId="17" applyFont="1" applyBorder="1" applyAlignment="1">
      <alignment horizontal="right" vertical="center"/>
      <protection/>
    </xf>
    <xf numFmtId="3" fontId="7" fillId="0" borderId="17" xfId="17" applyNumberFormat="1" applyFont="1" applyBorder="1" applyAlignment="1">
      <alignment horizontal="right" vertical="center" wrapText="1"/>
      <protection/>
    </xf>
    <xf numFmtId="3" fontId="7" fillId="0" borderId="18" xfId="17" applyNumberFormat="1" applyFont="1" applyBorder="1" applyAlignment="1">
      <alignment horizontal="right" vertical="center" wrapText="1"/>
      <protection/>
    </xf>
    <xf numFmtId="0" fontId="3" fillId="0" borderId="5" xfId="17" applyFont="1" applyBorder="1" applyAlignment="1">
      <alignment horizontal="center" vertical="top"/>
      <protection/>
    </xf>
    <xf numFmtId="49" fontId="3" fillId="0" borderId="17" xfId="17" applyNumberFormat="1" applyFont="1" applyBorder="1" applyAlignment="1">
      <alignment horizontal="center" vertical="center" wrapText="1"/>
      <protection/>
    </xf>
    <xf numFmtId="0" fontId="3" fillId="0" borderId="11" xfId="17" applyFont="1" applyBorder="1" applyAlignment="1">
      <alignment vertical="center" wrapText="1"/>
      <protection/>
    </xf>
    <xf numFmtId="3" fontId="4" fillId="0" borderId="0" xfId="17" applyNumberFormat="1" applyFont="1">
      <alignment/>
      <protection/>
    </xf>
    <xf numFmtId="1" fontId="3" fillId="0" borderId="17" xfId="17" applyNumberFormat="1" applyFont="1" applyBorder="1" applyAlignment="1">
      <alignment horizontal="center" vertical="center" wrapText="1"/>
      <protection/>
    </xf>
    <xf numFmtId="0" fontId="3" fillId="0" borderId="17" xfId="17" applyFont="1" applyBorder="1" applyAlignment="1">
      <alignment horizontal="center" vertical="center" wrapText="1"/>
      <protection/>
    </xf>
    <xf numFmtId="0" fontId="3" fillId="0" borderId="17" xfId="17" applyFont="1" applyBorder="1" applyAlignment="1">
      <alignment horizontal="center" vertical="center" wrapText="1"/>
      <protection/>
    </xf>
    <xf numFmtId="0" fontId="3" fillId="0" borderId="11" xfId="17" applyFont="1" applyBorder="1" applyAlignment="1">
      <alignment vertical="center" wrapText="1"/>
      <protection/>
    </xf>
    <xf numFmtId="0" fontId="3" fillId="0" borderId="0" xfId="17" applyFont="1" applyBorder="1" applyAlignment="1">
      <alignment vertical="center" wrapText="1"/>
      <protection/>
    </xf>
    <xf numFmtId="0" fontId="3" fillId="0" borderId="19" xfId="17" applyFont="1" applyBorder="1" applyAlignment="1">
      <alignment horizontal="center"/>
      <protection/>
    </xf>
    <xf numFmtId="0" fontId="3" fillId="0" borderId="20" xfId="17" applyFont="1" applyBorder="1" applyAlignment="1">
      <alignment horizontal="center"/>
      <protection/>
    </xf>
    <xf numFmtId="0" fontId="8" fillId="0" borderId="20" xfId="17" applyFont="1" applyBorder="1">
      <alignment/>
      <protection/>
    </xf>
    <xf numFmtId="166" fontId="8" fillId="0" borderId="20" xfId="17" applyNumberFormat="1" applyFont="1" applyBorder="1" applyAlignment="1">
      <alignment vertical="center" wrapText="1"/>
      <protection/>
    </xf>
    <xf numFmtId="166" fontId="8" fillId="0" borderId="21" xfId="17" applyNumberFormat="1" applyFont="1" applyBorder="1" applyAlignment="1">
      <alignment vertical="center" wrapText="1"/>
      <protection/>
    </xf>
    <xf numFmtId="0" fontId="9" fillId="0" borderId="11" xfId="17" applyFont="1" applyBorder="1" applyAlignment="1">
      <alignment vertical="center" wrapText="1"/>
      <protection/>
    </xf>
    <xf numFmtId="0" fontId="3" fillId="0" borderId="5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 wrapText="1"/>
      <protection/>
    </xf>
    <xf numFmtId="0" fontId="4" fillId="0" borderId="19" xfId="17" applyFont="1" applyBorder="1" applyAlignment="1">
      <alignment horizontal="center" vertical="center"/>
      <protection/>
    </xf>
    <xf numFmtId="0" fontId="3" fillId="0" borderId="20" xfId="17" applyFont="1" applyBorder="1" applyAlignment="1">
      <alignment horizontal="center" vertical="center"/>
      <protection/>
    </xf>
    <xf numFmtId="0" fontId="8" fillId="0" borderId="20" xfId="17" applyFont="1" applyBorder="1" applyAlignment="1">
      <alignment vertical="center"/>
      <protection/>
    </xf>
    <xf numFmtId="1" fontId="3" fillId="0" borderId="17" xfId="17" applyNumberFormat="1" applyFont="1" applyBorder="1" applyAlignment="1">
      <alignment horizontal="center" vertical="center" wrapText="1"/>
      <protection/>
    </xf>
    <xf numFmtId="16" fontId="4" fillId="0" borderId="19" xfId="17" applyNumberFormat="1" applyFont="1" applyBorder="1" applyAlignment="1" quotePrefix="1">
      <alignment horizontal="center" vertical="center"/>
      <protection/>
    </xf>
    <xf numFmtId="0" fontId="3" fillId="0" borderId="19" xfId="17" applyFont="1" applyBorder="1" applyAlignment="1">
      <alignment horizontal="center" vertical="center"/>
      <protection/>
    </xf>
    <xf numFmtId="49" fontId="3" fillId="0" borderId="11" xfId="17" applyNumberFormat="1" applyFont="1" applyBorder="1" applyAlignment="1">
      <alignment horizontal="center" vertical="center"/>
      <protection/>
    </xf>
    <xf numFmtId="166" fontId="3" fillId="0" borderId="11" xfId="17" applyNumberFormat="1" applyFont="1" applyBorder="1" applyAlignment="1">
      <alignment vertical="center" wrapText="1"/>
      <protection/>
    </xf>
    <xf numFmtId="0" fontId="9" fillId="0" borderId="11" xfId="17" applyFont="1" applyBorder="1" applyAlignment="1">
      <alignment horizontal="center" vertical="center" wrapText="1"/>
      <protection/>
    </xf>
    <xf numFmtId="0" fontId="3" fillId="0" borderId="11" xfId="17" applyFont="1" applyBorder="1" applyAlignment="1">
      <alignment vertical="center"/>
      <protection/>
    </xf>
    <xf numFmtId="3" fontId="9" fillId="0" borderId="11" xfId="17" applyNumberFormat="1" applyFont="1" applyBorder="1" applyAlignment="1">
      <alignment vertical="center" wrapText="1"/>
      <protection/>
    </xf>
    <xf numFmtId="0" fontId="4" fillId="0" borderId="0" xfId="17" applyFont="1" applyBorder="1">
      <alignment/>
      <protection/>
    </xf>
    <xf numFmtId="0" fontId="3" fillId="0" borderId="1" xfId="17" applyFont="1" applyBorder="1" applyAlignment="1">
      <alignment vertical="top"/>
      <protection/>
    </xf>
    <xf numFmtId="0" fontId="3" fillId="0" borderId="2" xfId="17" applyFont="1" applyBorder="1" applyAlignment="1">
      <alignment vertical="top"/>
      <protection/>
    </xf>
    <xf numFmtId="0" fontId="5" fillId="0" borderId="0" xfId="17" applyFont="1" applyBorder="1" applyAlignment="1">
      <alignment horizontal="center"/>
      <protection/>
    </xf>
    <xf numFmtId="0" fontId="3" fillId="0" borderId="5" xfId="17" applyFont="1" applyBorder="1" applyAlignment="1">
      <alignment vertical="top"/>
      <protection/>
    </xf>
    <xf numFmtId="0" fontId="3" fillId="0" borderId="22" xfId="17" applyFont="1" applyBorder="1" applyAlignment="1">
      <alignment horizontal="center"/>
      <protection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3" fontId="3" fillId="0" borderId="0" xfId="17" applyNumberFormat="1" applyFont="1" applyBorder="1" applyAlignment="1">
      <alignment horizontal="center"/>
      <protection/>
    </xf>
    <xf numFmtId="0" fontId="7" fillId="0" borderId="15" xfId="17" applyFont="1" applyBorder="1" applyAlignment="1">
      <alignment vertical="top"/>
      <protection/>
    </xf>
    <xf numFmtId="0" fontId="7" fillId="0" borderId="17" xfId="17" applyFont="1" applyBorder="1" applyAlignment="1">
      <alignment horizontal="right" vertical="center"/>
      <protection/>
    </xf>
    <xf numFmtId="3" fontId="7" fillId="0" borderId="0" xfId="17" applyNumberFormat="1" applyFont="1" applyBorder="1">
      <alignment/>
      <protection/>
    </xf>
    <xf numFmtId="3" fontId="8" fillId="0" borderId="0" xfId="17" applyNumberFormat="1" applyFont="1" applyBorder="1">
      <alignment/>
      <protection/>
    </xf>
    <xf numFmtId="0" fontId="11" fillId="0" borderId="0" xfId="17" applyFont="1">
      <alignment/>
      <protection/>
    </xf>
    <xf numFmtId="0" fontId="3" fillId="0" borderId="5" xfId="17" applyFont="1" applyBorder="1" applyAlignment="1">
      <alignment horizontal="center" vertical="top"/>
      <protection/>
    </xf>
    <xf numFmtId="3" fontId="7" fillId="0" borderId="0" xfId="17" applyNumberFormat="1" applyFont="1" applyBorder="1">
      <alignment/>
      <protection/>
    </xf>
    <xf numFmtId="3" fontId="3" fillId="0" borderId="0" xfId="17" applyNumberFormat="1" applyFont="1" applyBorder="1">
      <alignment/>
      <protection/>
    </xf>
    <xf numFmtId="3" fontId="5" fillId="0" borderId="0" xfId="17" applyNumberFormat="1" applyFont="1" applyBorder="1">
      <alignment/>
      <protection/>
    </xf>
    <xf numFmtId="3" fontId="3" fillId="0" borderId="11" xfId="17" applyNumberFormat="1" applyFont="1" applyFill="1" applyBorder="1" applyAlignment="1">
      <alignment vertical="center" wrapText="1"/>
      <protection/>
    </xf>
    <xf numFmtId="3" fontId="3" fillId="0" borderId="11" xfId="17" applyNumberFormat="1" applyFont="1" applyBorder="1" applyAlignment="1">
      <alignment vertical="center" wrapText="1"/>
      <protection/>
    </xf>
    <xf numFmtId="3" fontId="3" fillId="0" borderId="23" xfId="17" applyNumberFormat="1" applyFont="1" applyBorder="1" applyAlignment="1">
      <alignment vertical="center" wrapText="1"/>
      <protection/>
    </xf>
    <xf numFmtId="49" fontId="9" fillId="0" borderId="17" xfId="17" applyNumberFormat="1" applyFont="1" applyBorder="1" applyAlignment="1">
      <alignment horizontal="center" vertical="center" wrapText="1"/>
      <protection/>
    </xf>
    <xf numFmtId="49" fontId="3" fillId="0" borderId="17" xfId="17" applyNumberFormat="1" applyFont="1" applyBorder="1" applyAlignment="1">
      <alignment horizontal="center" vertical="center" wrapText="1"/>
      <protection/>
    </xf>
    <xf numFmtId="0" fontId="7" fillId="0" borderId="24" xfId="17" applyFont="1" applyBorder="1" applyAlignment="1">
      <alignment vertical="center" wrapText="1"/>
      <protection/>
    </xf>
    <xf numFmtId="3" fontId="9" fillId="0" borderId="24" xfId="17" applyNumberFormat="1" applyFont="1" applyBorder="1" applyAlignment="1">
      <alignment vertical="center" wrapText="1"/>
      <protection/>
    </xf>
    <xf numFmtId="3" fontId="3" fillId="0" borderId="24" xfId="17" applyNumberFormat="1" applyFont="1" applyBorder="1" applyAlignment="1">
      <alignment vertical="center" wrapText="1"/>
      <protection/>
    </xf>
    <xf numFmtId="3" fontId="3" fillId="0" borderId="24" xfId="17" applyNumberFormat="1" applyFont="1" applyFill="1" applyBorder="1" applyAlignment="1">
      <alignment vertical="center" wrapText="1"/>
      <protection/>
    </xf>
    <xf numFmtId="3" fontId="3" fillId="0" borderId="25" xfId="17" applyNumberFormat="1" applyFont="1" applyBorder="1" applyAlignment="1">
      <alignment vertical="center" wrapText="1"/>
      <protection/>
    </xf>
    <xf numFmtId="3" fontId="8" fillId="0" borderId="26" xfId="17" applyNumberFormat="1" applyFont="1" applyBorder="1" applyAlignment="1">
      <alignment vertical="center"/>
      <protection/>
    </xf>
    <xf numFmtId="3" fontId="9" fillId="0" borderId="0" xfId="17" applyNumberFormat="1" applyFont="1" applyBorder="1">
      <alignment/>
      <protection/>
    </xf>
    <xf numFmtId="0" fontId="4" fillId="0" borderId="20" xfId="17" applyFont="1" applyBorder="1">
      <alignment/>
      <protection/>
    </xf>
    <xf numFmtId="0" fontId="3" fillId="0" borderId="5" xfId="17" applyFont="1" applyBorder="1" applyAlignment="1">
      <alignment horizontal="center" vertical="center"/>
      <protection/>
    </xf>
    <xf numFmtId="3" fontId="5" fillId="0" borderId="12" xfId="17" applyNumberFormat="1" applyFont="1" applyBorder="1" applyAlignment="1">
      <alignment vertical="center" wrapText="1"/>
      <protection/>
    </xf>
    <xf numFmtId="0" fontId="3" fillId="0" borderId="13" xfId="17" applyFont="1" applyBorder="1" applyAlignment="1">
      <alignment horizontal="center" vertical="center" wrapText="1"/>
      <protection/>
    </xf>
    <xf numFmtId="3" fontId="4" fillId="0" borderId="0" xfId="17" applyNumberFormat="1" applyFont="1" applyBorder="1">
      <alignment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49" fontId="3" fillId="0" borderId="11" xfId="17" applyNumberFormat="1" applyFont="1" applyBorder="1" applyAlignment="1">
      <alignment vertical="center" wrapText="1"/>
      <protection/>
    </xf>
    <xf numFmtId="0" fontId="3" fillId="0" borderId="28" xfId="17" applyFont="1" applyBorder="1" applyAlignment="1">
      <alignment horizontal="center" vertical="center" wrapText="1"/>
      <protection/>
    </xf>
    <xf numFmtId="0" fontId="9" fillId="0" borderId="20" xfId="17" applyFont="1" applyBorder="1" applyAlignment="1">
      <alignment horizontal="center" vertical="center" wrapText="1"/>
      <protection/>
    </xf>
    <xf numFmtId="49" fontId="3" fillId="0" borderId="6" xfId="17" applyNumberFormat="1" applyFont="1" applyBorder="1" applyAlignment="1">
      <alignment horizontal="center"/>
      <protection/>
    </xf>
    <xf numFmtId="16" fontId="3" fillId="0" borderId="19" xfId="17" applyNumberFormat="1" applyFont="1" applyBorder="1" applyAlignment="1">
      <alignment vertical="center"/>
      <protection/>
    </xf>
    <xf numFmtId="0" fontId="3" fillId="0" borderId="0" xfId="17" applyFont="1" applyAlignment="1">
      <alignment vertical="top"/>
      <protection/>
    </xf>
    <xf numFmtId="0" fontId="7" fillId="0" borderId="29" xfId="17" applyFont="1" applyBorder="1" applyAlignment="1">
      <alignment vertical="center"/>
      <protection/>
    </xf>
    <xf numFmtId="3" fontId="3" fillId="0" borderId="29" xfId="17" applyNumberFormat="1" applyFont="1" applyBorder="1" applyAlignment="1">
      <alignment vertical="center"/>
      <protection/>
    </xf>
    <xf numFmtId="0" fontId="7" fillId="0" borderId="24" xfId="17" applyFont="1" applyBorder="1" applyAlignment="1">
      <alignment vertical="center"/>
      <protection/>
    </xf>
    <xf numFmtId="3" fontId="3" fillId="0" borderId="24" xfId="17" applyNumberFormat="1" applyFont="1" applyBorder="1" applyAlignment="1">
      <alignment vertical="center"/>
      <protection/>
    </xf>
    <xf numFmtId="0" fontId="7" fillId="0" borderId="24" xfId="17" applyFont="1" applyBorder="1" applyAlignment="1">
      <alignment vertical="center"/>
      <protection/>
    </xf>
    <xf numFmtId="3" fontId="3" fillId="0" borderId="30" xfId="17" applyNumberFormat="1" applyFont="1" applyBorder="1" applyAlignment="1">
      <alignment vertical="center"/>
      <protection/>
    </xf>
    <xf numFmtId="3" fontId="3" fillId="0" borderId="31" xfId="17" applyNumberFormat="1" applyFont="1" applyBorder="1" applyAlignment="1">
      <alignment vertical="center"/>
      <protection/>
    </xf>
    <xf numFmtId="3" fontId="3" fillId="0" borderId="31" xfId="17" applyNumberFormat="1" applyFont="1" applyBorder="1" applyAlignment="1">
      <alignment vertical="center" wrapText="1"/>
      <protection/>
    </xf>
    <xf numFmtId="3" fontId="3" fillId="0" borderId="32" xfId="17" applyNumberFormat="1" applyFont="1" applyBorder="1" applyAlignment="1">
      <alignment vertical="center" wrapText="1"/>
      <protection/>
    </xf>
    <xf numFmtId="0" fontId="5" fillId="0" borderId="8" xfId="17" applyFont="1" applyBorder="1" applyAlignment="1">
      <alignment horizontal="center"/>
      <protection/>
    </xf>
    <xf numFmtId="0" fontId="5" fillId="0" borderId="12" xfId="17" applyFont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3" fontId="12" fillId="0" borderId="33" xfId="17" applyNumberFormat="1" applyFont="1" applyBorder="1" applyAlignment="1">
      <alignment vertical="center" wrapText="1"/>
      <protection/>
    </xf>
    <xf numFmtId="3" fontId="12" fillId="0" borderId="34" xfId="17" applyNumberFormat="1" applyFont="1" applyBorder="1" applyAlignment="1">
      <alignment vertical="center" wrapText="1"/>
      <protection/>
    </xf>
    <xf numFmtId="3" fontId="12" fillId="0" borderId="34" xfId="17" applyNumberFormat="1" applyFont="1" applyBorder="1" applyAlignment="1">
      <alignment vertical="center" wrapText="1"/>
      <protection/>
    </xf>
    <xf numFmtId="0" fontId="3" fillId="0" borderId="35" xfId="17" applyFont="1" applyBorder="1" applyAlignment="1">
      <alignment horizontal="center" vertical="center" wrapText="1"/>
      <protection/>
    </xf>
    <xf numFmtId="0" fontId="3" fillId="0" borderId="36" xfId="17" applyFont="1" applyBorder="1" applyAlignment="1">
      <alignment vertical="center" wrapText="1"/>
      <protection/>
    </xf>
    <xf numFmtId="3" fontId="3" fillId="0" borderId="37" xfId="17" applyNumberFormat="1" applyFont="1" applyBorder="1" applyAlignment="1">
      <alignment vertical="center" wrapText="1"/>
      <protection/>
    </xf>
    <xf numFmtId="3" fontId="3" fillId="0" borderId="38" xfId="17" applyNumberFormat="1" applyFont="1" applyBorder="1" applyAlignment="1">
      <alignment vertical="center" wrapText="1"/>
      <protection/>
    </xf>
    <xf numFmtId="3" fontId="5" fillId="0" borderId="39" xfId="17" applyNumberFormat="1" applyFont="1" applyBorder="1" applyAlignment="1">
      <alignment vertical="center" wrapText="1"/>
      <protection/>
    </xf>
    <xf numFmtId="0" fontId="4" fillId="0" borderId="19" xfId="17" applyFont="1" applyBorder="1" applyAlignment="1">
      <alignment vertical="center"/>
      <protection/>
    </xf>
    <xf numFmtId="0" fontId="4" fillId="0" borderId="20" xfId="17" applyFont="1" applyBorder="1" applyAlignment="1">
      <alignment horizontal="center" vertical="center"/>
      <protection/>
    </xf>
    <xf numFmtId="0" fontId="4" fillId="0" borderId="20" xfId="17" applyFont="1" applyBorder="1" applyAlignment="1">
      <alignment vertical="center"/>
      <protection/>
    </xf>
    <xf numFmtId="166" fontId="8" fillId="0" borderId="27" xfId="17" applyNumberFormat="1" applyFont="1" applyBorder="1" applyAlignment="1">
      <alignment vertical="center" wrapText="1"/>
      <protection/>
    </xf>
    <xf numFmtId="0" fontId="3" fillId="0" borderId="40" xfId="17" applyFont="1" applyBorder="1">
      <alignment/>
      <protection/>
    </xf>
    <xf numFmtId="0" fontId="3" fillId="0" borderId="41" xfId="17" applyFont="1" applyBorder="1">
      <alignment/>
      <protection/>
    </xf>
    <xf numFmtId="0" fontId="3" fillId="0" borderId="41" xfId="17" applyFont="1" applyBorder="1" applyAlignment="1">
      <alignment horizontal="center"/>
      <protection/>
    </xf>
    <xf numFmtId="0" fontId="3" fillId="0" borderId="42" xfId="17" applyFont="1" applyBorder="1" applyAlignment="1">
      <alignment horizontal="center"/>
      <protection/>
    </xf>
    <xf numFmtId="0" fontId="3" fillId="0" borderId="10" xfId="17" applyFont="1" applyBorder="1" applyAlignment="1">
      <alignment horizontal="center"/>
      <protection/>
    </xf>
    <xf numFmtId="0" fontId="3" fillId="0" borderId="41" xfId="17" applyFont="1" applyBorder="1" applyAlignment="1">
      <alignment horizontal="center"/>
      <protection/>
    </xf>
    <xf numFmtId="0" fontId="3" fillId="0" borderId="43" xfId="17" applyFont="1" applyBorder="1" applyAlignment="1">
      <alignment horizontal="center"/>
      <protection/>
    </xf>
    <xf numFmtId="0" fontId="5" fillId="0" borderId="44" xfId="17" applyFont="1" applyBorder="1" applyAlignment="1">
      <alignment horizontal="center"/>
      <protection/>
    </xf>
    <xf numFmtId="0" fontId="3" fillId="0" borderId="15" xfId="17" applyFont="1" applyBorder="1" applyAlignment="1">
      <alignment horizontal="center"/>
      <protection/>
    </xf>
    <xf numFmtId="0" fontId="3" fillId="0" borderId="17" xfId="17" applyFont="1" applyBorder="1" applyAlignment="1">
      <alignment horizontal="center"/>
      <protection/>
    </xf>
    <xf numFmtId="0" fontId="3" fillId="0" borderId="45" xfId="17" applyFont="1" applyBorder="1" applyAlignment="1">
      <alignment horizontal="center"/>
      <protection/>
    </xf>
    <xf numFmtId="49" fontId="3" fillId="0" borderId="13" xfId="17" applyNumberFormat="1" applyFont="1" applyBorder="1" applyAlignment="1">
      <alignment horizontal="center" vertical="center" wrapText="1"/>
      <protection/>
    </xf>
    <xf numFmtId="0" fontId="3" fillId="0" borderId="40" xfId="17" applyFont="1" applyBorder="1" applyAlignment="1">
      <alignment vertical="top"/>
      <protection/>
    </xf>
    <xf numFmtId="0" fontId="3" fillId="0" borderId="10" xfId="17" applyFont="1" applyFill="1" applyBorder="1" applyAlignment="1">
      <alignment horizontal="center"/>
      <protection/>
    </xf>
    <xf numFmtId="49" fontId="3" fillId="0" borderId="22" xfId="17" applyNumberFormat="1" applyFont="1" applyBorder="1" applyAlignment="1">
      <alignment horizontal="center"/>
      <protection/>
    </xf>
    <xf numFmtId="49" fontId="3" fillId="0" borderId="41" xfId="17" applyNumberFormat="1" applyFont="1" applyBorder="1" applyAlignment="1">
      <alignment horizontal="center"/>
      <protection/>
    </xf>
    <xf numFmtId="0" fontId="10" fillId="0" borderId="41" xfId="17" applyFont="1" applyBorder="1" applyAlignment="1">
      <alignment horizontal="center"/>
      <protection/>
    </xf>
    <xf numFmtId="0" fontId="5" fillId="0" borderId="43" xfId="17" applyFont="1" applyBorder="1" applyAlignment="1">
      <alignment horizontal="center"/>
      <protection/>
    </xf>
    <xf numFmtId="0" fontId="3" fillId="0" borderId="15" xfId="17" applyFont="1" applyBorder="1" applyAlignment="1">
      <alignment horizontal="center" vertical="top"/>
      <protection/>
    </xf>
    <xf numFmtId="0" fontId="3" fillId="0" borderId="16" xfId="17" applyFont="1" applyBorder="1" applyAlignment="1">
      <alignment horizontal="center"/>
      <protection/>
    </xf>
    <xf numFmtId="0" fontId="3" fillId="0" borderId="18" xfId="17" applyFont="1" applyBorder="1" applyAlignment="1">
      <alignment horizontal="center"/>
      <protection/>
    </xf>
    <xf numFmtId="0" fontId="3" fillId="0" borderId="10" xfId="17" applyFont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vertical="center" wrapText="1"/>
      <protection/>
    </xf>
    <xf numFmtId="166" fontId="4" fillId="0" borderId="0" xfId="17" applyNumberFormat="1" applyFont="1" applyBorder="1">
      <alignment/>
      <protection/>
    </xf>
    <xf numFmtId="0" fontId="3" fillId="0" borderId="20" xfId="17" applyFont="1" applyBorder="1" applyAlignment="1" quotePrefix="1">
      <alignment horizontal="center" vertical="center"/>
      <protection/>
    </xf>
    <xf numFmtId="166" fontId="8" fillId="0" borderId="0" xfId="17" applyNumberFormat="1" applyFont="1" applyBorder="1" applyAlignment="1">
      <alignment vertical="center" wrapText="1"/>
      <protection/>
    </xf>
    <xf numFmtId="0" fontId="3" fillId="0" borderId="11" xfId="17" applyFont="1" applyBorder="1" applyAlignment="1">
      <alignment horizontal="center" vertical="center" wrapText="1"/>
      <protection/>
    </xf>
    <xf numFmtId="0" fontId="3" fillId="0" borderId="46" xfId="17" applyFont="1" applyBorder="1" applyAlignment="1">
      <alignment horizontal="center" vertical="center"/>
      <protection/>
    </xf>
    <xf numFmtId="0" fontId="3" fillId="0" borderId="36" xfId="17" applyFont="1" applyFill="1" applyBorder="1" applyAlignment="1">
      <alignment vertical="center" wrapText="1"/>
      <protection/>
    </xf>
    <xf numFmtId="3" fontId="3" fillId="0" borderId="36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8" fillId="0" borderId="20" xfId="17" applyNumberFormat="1" applyFont="1" applyFill="1" applyBorder="1" applyAlignment="1">
      <alignment vertical="center"/>
      <protection/>
    </xf>
    <xf numFmtId="0" fontId="3" fillId="2" borderId="37" xfId="0" applyFont="1" applyFill="1" applyBorder="1" applyAlignment="1">
      <alignment horizontal="center"/>
    </xf>
    <xf numFmtId="3" fontId="3" fillId="0" borderId="47" xfId="17" applyNumberFormat="1" applyFont="1" applyBorder="1" applyAlignment="1">
      <alignment vertical="center"/>
      <protection/>
    </xf>
    <xf numFmtId="3" fontId="3" fillId="0" borderId="48" xfId="17" applyNumberFormat="1" applyFont="1" applyBorder="1" applyAlignment="1">
      <alignment vertical="center"/>
      <protection/>
    </xf>
    <xf numFmtId="173" fontId="12" fillId="0" borderId="34" xfId="17" applyNumberFormat="1" applyFont="1" applyBorder="1" applyAlignment="1">
      <alignment vertical="center" wrapText="1"/>
      <protection/>
    </xf>
    <xf numFmtId="173" fontId="4" fillId="0" borderId="0" xfId="17" applyNumberFormat="1" applyFont="1" applyBorder="1">
      <alignment/>
      <protection/>
    </xf>
    <xf numFmtId="173" fontId="12" fillId="0" borderId="0" xfId="17" applyNumberFormat="1" applyFont="1" applyBorder="1">
      <alignment/>
      <protection/>
    </xf>
    <xf numFmtId="0" fontId="3" fillId="0" borderId="17" xfId="17" applyFont="1" applyFill="1" applyBorder="1" applyAlignment="1">
      <alignment horizontal="center" vertical="center" wrapText="1"/>
      <protection/>
    </xf>
    <xf numFmtId="3" fontId="9" fillId="0" borderId="24" xfId="17" applyNumberFormat="1" applyFont="1" applyFill="1" applyBorder="1" applyAlignment="1">
      <alignment vertical="center" wrapText="1"/>
      <protection/>
    </xf>
    <xf numFmtId="3" fontId="9" fillId="0" borderId="25" xfId="17" applyNumberFormat="1" applyFont="1" applyFill="1" applyBorder="1" applyAlignment="1">
      <alignment vertical="center" wrapText="1"/>
      <protection/>
    </xf>
    <xf numFmtId="3" fontId="3" fillId="0" borderId="25" xfId="17" applyNumberFormat="1" applyFont="1" applyFill="1" applyBorder="1" applyAlignment="1">
      <alignment vertical="center" wrapText="1"/>
      <protection/>
    </xf>
    <xf numFmtId="0" fontId="3" fillId="0" borderId="49" xfId="17" applyFont="1" applyBorder="1" applyAlignment="1">
      <alignment horizontal="center"/>
      <protection/>
    </xf>
    <xf numFmtId="0" fontId="3" fillId="0" borderId="50" xfId="17" applyFont="1" applyBorder="1" applyAlignment="1">
      <alignment horizontal="center"/>
      <protection/>
    </xf>
    <xf numFmtId="0" fontId="7" fillId="0" borderId="13" xfId="17" applyFont="1" applyBorder="1" applyAlignment="1">
      <alignment horizontal="right" vertical="center"/>
      <protection/>
    </xf>
    <xf numFmtId="0" fontId="8" fillId="0" borderId="19" xfId="17" applyFont="1" applyBorder="1" applyAlignment="1">
      <alignment horizontal="center"/>
      <protection/>
    </xf>
    <xf numFmtId="0" fontId="3" fillId="0" borderId="19" xfId="17" applyFont="1" applyBorder="1" applyAlignment="1">
      <alignment horizontal="center" vertical="top"/>
      <protection/>
    </xf>
    <xf numFmtId="49" fontId="9" fillId="0" borderId="13" xfId="17" applyNumberFormat="1" applyFont="1" applyBorder="1" applyAlignment="1">
      <alignment horizontal="center" vertical="center" wrapText="1"/>
      <protection/>
    </xf>
    <xf numFmtId="49" fontId="3" fillId="0" borderId="11" xfId="17" applyNumberFormat="1" applyFont="1" applyBorder="1" applyAlignment="1">
      <alignment horizontal="center" vertical="center" wrapText="1"/>
      <protection/>
    </xf>
    <xf numFmtId="1" fontId="3" fillId="0" borderId="11" xfId="17" applyNumberFormat="1" applyFont="1" applyBorder="1" applyAlignment="1">
      <alignment horizontal="center" vertical="center" wrapText="1"/>
      <protection/>
    </xf>
    <xf numFmtId="1" fontId="3" fillId="0" borderId="11" xfId="17" applyNumberFormat="1" applyFont="1" applyBorder="1" applyAlignment="1">
      <alignment horizontal="center" vertical="center" wrapText="1"/>
      <protection/>
    </xf>
    <xf numFmtId="3" fontId="5" fillId="0" borderId="11" xfId="17" applyNumberFormat="1" applyFont="1" applyBorder="1" applyAlignment="1">
      <alignment vertical="center" wrapText="1"/>
      <protection/>
    </xf>
    <xf numFmtId="3" fontId="5" fillId="0" borderId="51" xfId="17" applyNumberFormat="1" applyFont="1" applyBorder="1" applyAlignment="1">
      <alignment vertical="center" wrapText="1"/>
      <protection/>
    </xf>
    <xf numFmtId="0" fontId="3" fillId="0" borderId="52" xfId="17" applyFont="1" applyBorder="1" applyAlignment="1">
      <alignment horizontal="center"/>
      <protection/>
    </xf>
    <xf numFmtId="3" fontId="5" fillId="0" borderId="52" xfId="17" applyNumberFormat="1" applyFont="1" applyBorder="1" applyAlignment="1">
      <alignment horizontal="right" vertical="center" wrapText="1"/>
      <protection/>
    </xf>
    <xf numFmtId="3" fontId="7" fillId="0" borderId="45" xfId="17" applyNumberFormat="1" applyFont="1" applyBorder="1" applyAlignment="1">
      <alignment horizontal="right" vertical="center" wrapText="1"/>
      <protection/>
    </xf>
    <xf numFmtId="3" fontId="7" fillId="0" borderId="12" xfId="17" applyNumberFormat="1" applyFont="1" applyBorder="1">
      <alignment/>
      <protection/>
    </xf>
    <xf numFmtId="3" fontId="7" fillId="0" borderId="53" xfId="17" applyNumberFormat="1" applyFont="1" applyBorder="1">
      <alignment/>
      <protection/>
    </xf>
    <xf numFmtId="3" fontId="5" fillId="0" borderId="44" xfId="17" applyNumberFormat="1" applyFont="1" applyBorder="1">
      <alignment/>
      <protection/>
    </xf>
    <xf numFmtId="3" fontId="5" fillId="0" borderId="54" xfId="17" applyNumberFormat="1" applyFont="1" applyBorder="1">
      <alignment/>
      <protection/>
    </xf>
    <xf numFmtId="0" fontId="3" fillId="0" borderId="13" xfId="17" applyFont="1" applyBorder="1" applyAlignment="1">
      <alignment horizontal="center" vertical="center" wrapText="1"/>
      <protection/>
    </xf>
    <xf numFmtId="3" fontId="8" fillId="0" borderId="53" xfId="17" applyNumberFormat="1" applyFont="1" applyBorder="1" applyAlignment="1">
      <alignment vertical="center"/>
      <protection/>
    </xf>
    <xf numFmtId="0" fontId="7" fillId="0" borderId="55" xfId="17" applyFont="1" applyBorder="1" applyAlignment="1">
      <alignment vertical="center" wrapText="1"/>
      <protection/>
    </xf>
    <xf numFmtId="3" fontId="9" fillId="0" borderId="55" xfId="17" applyNumberFormat="1" applyFont="1" applyFill="1" applyBorder="1" applyAlignment="1">
      <alignment vertical="center" wrapText="1"/>
      <protection/>
    </xf>
    <xf numFmtId="3" fontId="3" fillId="0" borderId="55" xfId="17" applyNumberFormat="1" applyFont="1" applyFill="1" applyBorder="1" applyAlignment="1">
      <alignment vertical="center" wrapText="1"/>
      <protection/>
    </xf>
    <xf numFmtId="3" fontId="3" fillId="0" borderId="55" xfId="17" applyNumberFormat="1" applyFont="1" applyBorder="1" applyAlignment="1">
      <alignment vertical="center" wrapText="1"/>
      <protection/>
    </xf>
    <xf numFmtId="3" fontId="3" fillId="0" borderId="56" xfId="17" applyNumberFormat="1" applyFont="1" applyBorder="1" applyAlignment="1">
      <alignment vertical="center" wrapText="1"/>
      <protection/>
    </xf>
    <xf numFmtId="173" fontId="12" fillId="0" borderId="57" xfId="17" applyNumberFormat="1" applyFont="1" applyBorder="1" applyAlignment="1">
      <alignment vertical="center" wrapText="1"/>
      <protection/>
    </xf>
    <xf numFmtId="0" fontId="3" fillId="0" borderId="58" xfId="17" applyFont="1" applyBorder="1" applyAlignment="1">
      <alignment horizontal="center" vertical="top"/>
      <protection/>
    </xf>
    <xf numFmtId="0" fontId="3" fillId="0" borderId="59" xfId="17" applyFont="1" applyFill="1" applyBorder="1" applyAlignment="1">
      <alignment horizontal="center" vertical="center" wrapText="1"/>
      <protection/>
    </xf>
    <xf numFmtId="0" fontId="3" fillId="0" borderId="60" xfId="17" applyFont="1" applyBorder="1" applyAlignment="1">
      <alignment horizontal="center" vertical="top"/>
      <protection/>
    </xf>
    <xf numFmtId="0" fontId="3" fillId="0" borderId="61" xfId="17" applyFont="1" applyBorder="1" applyAlignment="1">
      <alignment horizontal="center" vertical="top"/>
      <protection/>
    </xf>
    <xf numFmtId="0" fontId="3" fillId="0" borderId="55" xfId="17" applyFont="1" applyFill="1" applyBorder="1" applyAlignment="1">
      <alignment horizontal="center" vertical="center" wrapText="1"/>
      <protection/>
    </xf>
    <xf numFmtId="0" fontId="7" fillId="0" borderId="16" xfId="17" applyFont="1" applyBorder="1">
      <alignment/>
      <protection/>
    </xf>
    <xf numFmtId="3" fontId="7" fillId="0" borderId="17" xfId="17" applyNumberFormat="1" applyFont="1" applyBorder="1" applyAlignment="1">
      <alignment vertical="center" wrapText="1"/>
      <protection/>
    </xf>
    <xf numFmtId="3" fontId="7" fillId="0" borderId="18" xfId="17" applyNumberFormat="1" applyFont="1" applyBorder="1" applyAlignment="1">
      <alignment vertical="center" wrapText="1"/>
      <protection/>
    </xf>
    <xf numFmtId="3" fontId="8" fillId="0" borderId="45" xfId="17" applyNumberFormat="1" applyFont="1" applyBorder="1" applyAlignment="1">
      <alignment horizontal="right" vertical="center" wrapText="1"/>
      <protection/>
    </xf>
    <xf numFmtId="0" fontId="3" fillId="0" borderId="62" xfId="17" applyFont="1" applyBorder="1" applyAlignment="1">
      <alignment horizontal="center" vertical="top"/>
      <protection/>
    </xf>
    <xf numFmtId="0" fontId="3" fillId="0" borderId="24" xfId="17" applyFont="1" applyFill="1" applyBorder="1" applyAlignment="1">
      <alignment horizontal="center" vertical="center" wrapText="1"/>
      <protection/>
    </xf>
    <xf numFmtId="3" fontId="7" fillId="0" borderId="17" xfId="17" applyNumberFormat="1" applyFont="1" applyFill="1" applyBorder="1" applyAlignment="1">
      <alignment horizontal="right" vertical="center" wrapText="1"/>
      <protection/>
    </xf>
    <xf numFmtId="3" fontId="5" fillId="0" borderId="63" xfId="17" applyNumberFormat="1" applyFont="1" applyBorder="1">
      <alignment/>
      <protection/>
    </xf>
    <xf numFmtId="173" fontId="3" fillId="0" borderId="11" xfId="17" applyNumberFormat="1" applyFont="1" applyBorder="1" applyAlignment="1">
      <alignment vertical="center" wrapText="1"/>
      <protection/>
    </xf>
    <xf numFmtId="0" fontId="3" fillId="0" borderId="15" xfId="17" applyFont="1" applyBorder="1" applyAlignment="1">
      <alignment horizontal="center" vertical="top"/>
      <protection/>
    </xf>
    <xf numFmtId="3" fontId="8" fillId="0" borderId="26" xfId="17" applyNumberFormat="1" applyFont="1" applyFill="1" applyBorder="1" applyAlignment="1">
      <alignment vertical="center"/>
      <protection/>
    </xf>
    <xf numFmtId="3" fontId="7" fillId="0" borderId="12" xfId="17" applyNumberFormat="1" applyFont="1" applyBorder="1" applyAlignment="1">
      <alignment vertical="center"/>
      <protection/>
    </xf>
    <xf numFmtId="3" fontId="5" fillId="0" borderId="9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3" fillId="2" borderId="0" xfId="0" applyFont="1" applyFill="1" applyBorder="1" applyAlignment="1">
      <alignment horizontal="left" vertical="center"/>
    </xf>
    <xf numFmtId="0" fontId="9" fillId="0" borderId="17" xfId="17" applyFont="1" applyBorder="1" applyAlignment="1">
      <alignment horizontal="center" vertical="center" wrapText="1"/>
      <protection/>
    </xf>
    <xf numFmtId="173" fontId="5" fillId="0" borderId="43" xfId="17" applyNumberFormat="1" applyFont="1" applyBorder="1" applyAlignment="1">
      <alignment vertical="center" wrapText="1"/>
      <protection/>
    </xf>
    <xf numFmtId="173" fontId="5" fillId="0" borderId="12" xfId="17" applyNumberFormat="1" applyFont="1" applyBorder="1" applyAlignment="1">
      <alignment vertical="center" wrapText="1"/>
      <protection/>
    </xf>
    <xf numFmtId="173" fontId="3" fillId="0" borderId="10" xfId="17" applyNumberFormat="1" applyFont="1" applyFill="1" applyBorder="1" applyAlignment="1">
      <alignment vertical="center" wrapText="1"/>
      <protection/>
    </xf>
    <xf numFmtId="173" fontId="3" fillId="0" borderId="10" xfId="17" applyNumberFormat="1" applyFont="1" applyBorder="1" applyAlignment="1">
      <alignment vertical="center" wrapText="1"/>
      <protection/>
    </xf>
    <xf numFmtId="173" fontId="3" fillId="0" borderId="22" xfId="17" applyNumberFormat="1" applyFont="1" applyBorder="1" applyAlignment="1">
      <alignment vertical="center" wrapText="1"/>
      <protection/>
    </xf>
    <xf numFmtId="173" fontId="3" fillId="0" borderId="11" xfId="17" applyNumberFormat="1" applyFont="1" applyFill="1" applyBorder="1" applyAlignment="1">
      <alignment vertical="center" wrapText="1"/>
      <protection/>
    </xf>
    <xf numFmtId="173" fontId="3" fillId="0" borderId="23" xfId="17" applyNumberFormat="1" applyFont="1" applyBorder="1" applyAlignment="1">
      <alignment vertical="center" wrapText="1"/>
      <protection/>
    </xf>
    <xf numFmtId="173" fontId="8" fillId="0" borderId="20" xfId="17" applyNumberFormat="1" applyFont="1" applyBorder="1" applyAlignment="1">
      <alignment vertical="center"/>
      <protection/>
    </xf>
    <xf numFmtId="173" fontId="3" fillId="0" borderId="20" xfId="17" applyNumberFormat="1" applyFont="1" applyBorder="1" applyAlignment="1">
      <alignment vertical="center" wrapText="1"/>
      <protection/>
    </xf>
    <xf numFmtId="173" fontId="8" fillId="0" borderId="26" xfId="17" applyNumberFormat="1" applyFont="1" applyBorder="1" applyAlignment="1">
      <alignment vertical="center"/>
      <protection/>
    </xf>
    <xf numFmtId="173" fontId="8" fillId="0" borderId="12" xfId="17" applyNumberFormat="1" applyFont="1" applyBorder="1" applyAlignment="1">
      <alignment vertical="center"/>
      <protection/>
    </xf>
    <xf numFmtId="173" fontId="3" fillId="0" borderId="37" xfId="17" applyNumberFormat="1" applyFont="1" applyBorder="1" applyAlignment="1">
      <alignment vertical="center" wrapText="1"/>
      <protection/>
    </xf>
    <xf numFmtId="173" fontId="3" fillId="0" borderId="38" xfId="17" applyNumberFormat="1" applyFont="1" applyBorder="1" applyAlignment="1">
      <alignment vertical="center" wrapText="1"/>
      <protection/>
    </xf>
    <xf numFmtId="173" fontId="5" fillId="0" borderId="39" xfId="17" applyNumberFormat="1" applyFont="1" applyBorder="1" applyAlignment="1">
      <alignment vertical="center" wrapText="1"/>
      <protection/>
    </xf>
    <xf numFmtId="173" fontId="8" fillId="0" borderId="27" xfId="17" applyNumberFormat="1" applyFont="1" applyBorder="1" applyAlignment="1">
      <alignment vertical="center"/>
      <protection/>
    </xf>
    <xf numFmtId="173" fontId="9" fillId="0" borderId="11" xfId="17" applyNumberFormat="1" applyFont="1" applyBorder="1" applyAlignment="1">
      <alignment vertical="center" wrapText="1"/>
      <protection/>
    </xf>
    <xf numFmtId="173" fontId="9" fillId="0" borderId="23" xfId="17" applyNumberFormat="1" applyFont="1" applyBorder="1" applyAlignment="1">
      <alignment vertical="center" wrapText="1"/>
      <protection/>
    </xf>
    <xf numFmtId="173" fontId="8" fillId="0" borderId="26" xfId="17" applyNumberFormat="1" applyFont="1" applyBorder="1" applyAlignment="1">
      <alignment vertical="center" wrapText="1"/>
      <protection/>
    </xf>
    <xf numFmtId="173" fontId="4" fillId="0" borderId="0" xfId="17" applyNumberFormat="1" applyFont="1">
      <alignment/>
      <protection/>
    </xf>
    <xf numFmtId="173" fontId="3" fillId="0" borderId="11" xfId="17" applyNumberFormat="1" applyFont="1" applyBorder="1" applyAlignment="1">
      <alignment vertical="center" wrapText="1"/>
      <protection/>
    </xf>
    <xf numFmtId="173" fontId="3" fillId="0" borderId="23" xfId="17" applyNumberFormat="1" applyFont="1" applyBorder="1" applyAlignment="1">
      <alignment vertical="center" wrapText="1"/>
      <protection/>
    </xf>
    <xf numFmtId="173" fontId="5" fillId="0" borderId="9" xfId="17" applyNumberFormat="1" applyFont="1" applyBorder="1" applyAlignment="1">
      <alignment vertical="center" wrapText="1"/>
      <protection/>
    </xf>
    <xf numFmtId="173" fontId="3" fillId="0" borderId="37" xfId="17" applyNumberFormat="1" applyFont="1" applyBorder="1" applyAlignment="1">
      <alignment vertical="center" wrapText="1"/>
      <protection/>
    </xf>
    <xf numFmtId="173" fontId="3" fillId="0" borderId="38" xfId="17" applyNumberFormat="1" applyFont="1" applyBorder="1" applyAlignment="1">
      <alignment vertical="center" wrapText="1"/>
      <protection/>
    </xf>
    <xf numFmtId="173" fontId="5" fillId="0" borderId="64" xfId="17" applyNumberFormat="1" applyFont="1" applyBorder="1" applyAlignment="1">
      <alignment vertical="center" wrapText="1"/>
      <protection/>
    </xf>
    <xf numFmtId="173" fontId="8" fillId="0" borderId="20" xfId="17" applyNumberFormat="1" applyFont="1" applyBorder="1" applyAlignment="1">
      <alignment vertical="center" wrapText="1"/>
      <protection/>
    </xf>
    <xf numFmtId="173" fontId="8" fillId="0" borderId="27" xfId="17" applyNumberFormat="1" applyFont="1" applyBorder="1" applyAlignment="1">
      <alignment vertical="center" wrapText="1"/>
      <protection/>
    </xf>
    <xf numFmtId="173" fontId="8" fillId="0" borderId="21" xfId="17" applyNumberFormat="1" applyFont="1" applyBorder="1" applyAlignment="1">
      <alignment vertical="center" wrapText="1"/>
      <protection/>
    </xf>
    <xf numFmtId="173" fontId="5" fillId="0" borderId="21" xfId="17" applyNumberFormat="1" applyFont="1" applyBorder="1" applyAlignment="1">
      <alignment vertical="center" wrapText="1"/>
      <protection/>
    </xf>
    <xf numFmtId="173" fontId="3" fillId="0" borderId="5" xfId="17" applyNumberFormat="1" applyFont="1" applyBorder="1" applyAlignment="1">
      <alignment vertical="center" wrapText="1"/>
      <protection/>
    </xf>
    <xf numFmtId="173" fontId="3" fillId="0" borderId="6" xfId="17" applyNumberFormat="1" applyFont="1" applyBorder="1" applyAlignment="1">
      <alignment vertical="center" wrapText="1"/>
      <protection/>
    </xf>
    <xf numFmtId="173" fontId="8" fillId="0" borderId="19" xfId="17" applyNumberFormat="1" applyFont="1" applyBorder="1" applyAlignment="1">
      <alignment vertical="center" wrapText="1"/>
      <protection/>
    </xf>
    <xf numFmtId="173" fontId="8" fillId="0" borderId="20" xfId="17" applyNumberFormat="1" applyFont="1" applyBorder="1" applyAlignment="1">
      <alignment vertical="center" wrapText="1"/>
      <protection/>
    </xf>
    <xf numFmtId="173" fontId="8" fillId="0" borderId="65" xfId="17" applyNumberFormat="1" applyFont="1" applyBorder="1" applyAlignment="1">
      <alignment vertical="center" wrapText="1"/>
      <protection/>
    </xf>
    <xf numFmtId="173" fontId="8" fillId="0" borderId="21" xfId="17" applyNumberFormat="1" applyFont="1" applyBorder="1" applyAlignment="1">
      <alignment vertical="center" wrapText="1"/>
      <protection/>
    </xf>
    <xf numFmtId="0" fontId="3" fillId="0" borderId="5" xfId="17" applyFont="1" applyFill="1" applyBorder="1" applyAlignment="1">
      <alignment horizontal="center" vertical="center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11" xfId="17" applyFont="1" applyFill="1" applyBorder="1" applyAlignment="1">
      <alignment vertical="center" wrapText="1"/>
      <protection/>
    </xf>
    <xf numFmtId="0" fontId="3" fillId="0" borderId="5" xfId="17" applyFont="1" applyFill="1" applyBorder="1" applyAlignment="1">
      <alignment horizontal="center" vertical="center"/>
      <protection/>
    </xf>
    <xf numFmtId="0" fontId="3" fillId="0" borderId="11" xfId="17" applyFont="1" applyFill="1" applyBorder="1" applyAlignment="1">
      <alignment vertical="center" wrapText="1"/>
      <protection/>
    </xf>
    <xf numFmtId="0" fontId="4" fillId="0" borderId="49" xfId="17" applyFont="1" applyBorder="1" applyAlignment="1">
      <alignment horizontal="center" vertical="center"/>
      <protection/>
    </xf>
    <xf numFmtId="0" fontId="4" fillId="0" borderId="13" xfId="17" applyFont="1" applyBorder="1" applyAlignment="1">
      <alignment horizontal="center" vertical="center"/>
      <protection/>
    </xf>
    <xf numFmtId="173" fontId="7" fillId="0" borderId="13" xfId="17" applyNumberFormat="1" applyFont="1" applyBorder="1" applyAlignment="1">
      <alignment vertical="center"/>
      <protection/>
    </xf>
    <xf numFmtId="173" fontId="8" fillId="0" borderId="26" xfId="17" applyNumberFormat="1" applyFont="1" applyBorder="1" applyAlignment="1">
      <alignment vertical="center" wrapText="1"/>
      <protection/>
    </xf>
    <xf numFmtId="173" fontId="7" fillId="0" borderId="13" xfId="17" applyNumberFormat="1" applyFont="1" applyBorder="1" applyAlignment="1">
      <alignment vertical="center" wrapText="1"/>
      <protection/>
    </xf>
    <xf numFmtId="173" fontId="8" fillId="0" borderId="13" xfId="17" applyNumberFormat="1" applyFont="1" applyBorder="1" applyAlignment="1">
      <alignment vertical="center" wrapText="1"/>
      <protection/>
    </xf>
    <xf numFmtId="173" fontId="8" fillId="0" borderId="66" xfId="17" applyNumberFormat="1" applyFont="1" applyBorder="1" applyAlignment="1">
      <alignment vertical="center" wrapText="1"/>
      <protection/>
    </xf>
    <xf numFmtId="0" fontId="7" fillId="0" borderId="13" xfId="17" applyFont="1" applyBorder="1" applyAlignment="1">
      <alignment horizontal="right" vertical="center"/>
      <protection/>
    </xf>
    <xf numFmtId="173" fontId="8" fillId="0" borderId="14" xfId="17" applyNumberFormat="1" applyFont="1" applyBorder="1" applyAlignment="1">
      <alignment vertical="center" wrapText="1"/>
      <protection/>
    </xf>
    <xf numFmtId="173" fontId="8" fillId="0" borderId="67" xfId="17" applyNumberFormat="1" applyFont="1" applyBorder="1" applyAlignment="1">
      <alignment vertical="center" wrapText="1"/>
      <protection/>
    </xf>
    <xf numFmtId="173" fontId="7" fillId="0" borderId="17" xfId="17" applyNumberFormat="1" applyFont="1" applyBorder="1" applyAlignment="1">
      <alignment horizontal="right" vertical="center" wrapText="1"/>
      <protection/>
    </xf>
    <xf numFmtId="173" fontId="8" fillId="0" borderId="63" xfId="17" applyNumberFormat="1" applyFont="1" applyBorder="1" applyAlignment="1">
      <alignment horizontal="right" vertical="center" wrapText="1"/>
      <protection/>
    </xf>
    <xf numFmtId="0" fontId="3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/>
      <protection/>
    </xf>
    <xf numFmtId="0" fontId="5" fillId="0" borderId="68" xfId="17" applyFont="1" applyBorder="1" applyAlignment="1">
      <alignment horizontal="center"/>
      <protection/>
    </xf>
    <xf numFmtId="0" fontId="3" fillId="2" borderId="69" xfId="0" applyFont="1" applyFill="1" applyBorder="1" applyAlignment="1" applyProtection="1">
      <alignment horizontal="center"/>
      <protection hidden="1"/>
    </xf>
    <xf numFmtId="0" fontId="3" fillId="0" borderId="70" xfId="17" applyFont="1" applyBorder="1" applyAlignment="1">
      <alignment horizontal="center"/>
      <protection/>
    </xf>
    <xf numFmtId="0" fontId="3" fillId="0" borderId="71" xfId="17" applyFont="1" applyBorder="1" applyAlignment="1">
      <alignment horizontal="center"/>
      <protection/>
    </xf>
    <xf numFmtId="0" fontId="3" fillId="0" borderId="72" xfId="17" applyFont="1" applyBorder="1" applyAlignment="1">
      <alignment horizontal="center"/>
      <protection/>
    </xf>
    <xf numFmtId="0" fontId="3" fillId="0" borderId="27" xfId="17" applyFont="1" applyBorder="1" applyAlignment="1">
      <alignment horizontal="center"/>
      <protection/>
    </xf>
    <xf numFmtId="0" fontId="3" fillId="0" borderId="73" xfId="17" applyFont="1" applyBorder="1" applyAlignment="1">
      <alignment horizontal="center"/>
      <protection/>
    </xf>
    <xf numFmtId="0" fontId="3" fillId="0" borderId="65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top"/>
      <protection/>
    </xf>
    <xf numFmtId="0" fontId="5" fillId="0" borderId="74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SajatHK2005_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5"/>
  <sheetViews>
    <sheetView zoomScale="75" zoomScaleNormal="75" workbookViewId="0" topLeftCell="M1">
      <selection activeCell="W1" sqref="W1"/>
    </sheetView>
  </sheetViews>
  <sheetFormatPr defaultColWidth="9.140625" defaultRowHeight="12.75"/>
  <cols>
    <col min="1" max="1" width="7.421875" style="1" customWidth="1"/>
    <col min="2" max="2" width="8.140625" style="1" hidden="1" customWidth="1"/>
    <col min="3" max="3" width="51.57421875" style="2" customWidth="1"/>
    <col min="4" max="4" width="14.7109375" style="2" customWidth="1"/>
    <col min="5" max="5" width="17.140625" style="2" customWidth="1"/>
    <col min="6" max="7" width="14.7109375" style="2" customWidth="1"/>
    <col min="8" max="8" width="16.28125" style="2" customWidth="1"/>
    <col min="9" max="9" width="16.7109375" style="2" customWidth="1"/>
    <col min="10" max="11" width="14.7109375" style="2" customWidth="1"/>
    <col min="12" max="12" width="16.8515625" style="2" customWidth="1"/>
    <col min="13" max="13" width="10.7109375" style="2" customWidth="1"/>
    <col min="14" max="14" width="16.8515625" style="2" customWidth="1"/>
    <col min="15" max="20" width="14.7109375" style="2" customWidth="1"/>
    <col min="21" max="21" width="10.7109375" style="2" customWidth="1"/>
    <col min="22" max="22" width="17.28125" style="2" customWidth="1"/>
    <col min="23" max="23" width="17.7109375" style="2" customWidth="1"/>
    <col min="24" max="24" width="13.421875" style="2" customWidth="1"/>
    <col min="25" max="25" width="11.00390625" style="2" customWidth="1"/>
    <col min="26" max="26" width="10.7109375" style="2" customWidth="1"/>
    <col min="27" max="32" width="9.140625" style="2" customWidth="1"/>
    <col min="33" max="34" width="10.7109375" style="2" customWidth="1"/>
    <col min="35" max="35" width="10.28125" style="2" customWidth="1"/>
    <col min="36" max="36" width="10.00390625" style="2" customWidth="1"/>
    <col min="37" max="37" width="10.28125" style="2" customWidth="1"/>
    <col min="38" max="38" width="10.7109375" style="2" customWidth="1"/>
    <col min="39" max="39" width="10.57421875" style="2" customWidth="1"/>
    <col min="40" max="43" width="9.140625" style="2" customWidth="1"/>
    <col min="44" max="44" width="11.00390625" style="2" customWidth="1"/>
    <col min="45" max="16384" width="9.140625" style="2" customWidth="1"/>
  </cols>
  <sheetData>
    <row r="1" spans="22:23" ht="20.25" customHeight="1">
      <c r="V1" s="3"/>
      <c r="W1" s="271" t="s">
        <v>287</v>
      </c>
    </row>
    <row r="2" spans="1:23" ht="27" customHeight="1">
      <c r="A2" s="272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</row>
    <row r="3" spans="1:24" ht="16.5">
      <c r="A3" s="272" t="s">
        <v>211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3"/>
    </row>
    <row r="4" spans="3:23" ht="16.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7.2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 t="s">
        <v>1</v>
      </c>
    </row>
    <row r="6" spans="1:23" ht="17.25" thickBot="1">
      <c r="A6" s="7"/>
      <c r="B6" s="8"/>
      <c r="C6" s="9"/>
      <c r="D6" s="273" t="s">
        <v>2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10"/>
    </row>
    <row r="7" spans="1:23" ht="18" customHeight="1" thickTop="1">
      <c r="A7" s="11"/>
      <c r="B7" s="12"/>
      <c r="C7" s="13"/>
      <c r="D7" s="275" t="s">
        <v>3</v>
      </c>
      <c r="E7" s="276"/>
      <c r="F7" s="276"/>
      <c r="G7" s="277"/>
      <c r="H7" s="274" t="s">
        <v>4</v>
      </c>
      <c r="I7" s="274"/>
      <c r="J7" s="274"/>
      <c r="K7" s="274"/>
      <c r="L7" s="13"/>
      <c r="M7" s="14"/>
      <c r="N7" s="4"/>
      <c r="O7" s="15"/>
      <c r="P7" s="16"/>
      <c r="Q7" s="16"/>
      <c r="R7" s="16"/>
      <c r="S7" s="16"/>
      <c r="T7" s="15"/>
      <c r="U7" s="15"/>
      <c r="V7" s="17"/>
      <c r="W7" s="18" t="s">
        <v>5</v>
      </c>
    </row>
    <row r="8" spans="1:23" ht="16.5">
      <c r="A8" s="11"/>
      <c r="B8" s="12"/>
      <c r="C8" s="13" t="s">
        <v>6</v>
      </c>
      <c r="D8" s="19" t="s">
        <v>7</v>
      </c>
      <c r="E8" s="13" t="s">
        <v>8</v>
      </c>
      <c r="F8" s="4" t="s">
        <v>9</v>
      </c>
      <c r="G8" s="20" t="s">
        <v>10</v>
      </c>
      <c r="H8" s="13" t="s">
        <v>11</v>
      </c>
      <c r="I8" s="13" t="s">
        <v>12</v>
      </c>
      <c r="J8" s="13" t="s">
        <v>8</v>
      </c>
      <c r="K8" s="13" t="s">
        <v>13</v>
      </c>
      <c r="L8" s="13" t="s">
        <v>14</v>
      </c>
      <c r="M8" s="13" t="s">
        <v>15</v>
      </c>
      <c r="N8" s="4" t="s">
        <v>16</v>
      </c>
      <c r="O8" s="20" t="s">
        <v>17</v>
      </c>
      <c r="P8" s="21" t="s">
        <v>18</v>
      </c>
      <c r="Q8" s="21" t="s">
        <v>19</v>
      </c>
      <c r="R8" s="21" t="s">
        <v>18</v>
      </c>
      <c r="S8" s="21" t="s">
        <v>20</v>
      </c>
      <c r="T8" s="20" t="s">
        <v>21</v>
      </c>
      <c r="U8" s="21"/>
      <c r="V8" s="22" t="s">
        <v>22</v>
      </c>
      <c r="W8" s="18" t="s">
        <v>23</v>
      </c>
    </row>
    <row r="9" spans="1:23" ht="16.5">
      <c r="A9" s="23" t="s">
        <v>24</v>
      </c>
      <c r="B9" s="13"/>
      <c r="C9" s="13" t="s">
        <v>25</v>
      </c>
      <c r="D9" s="20" t="s">
        <v>26</v>
      </c>
      <c r="E9" s="13" t="s">
        <v>27</v>
      </c>
      <c r="F9" s="4" t="s">
        <v>28</v>
      </c>
      <c r="G9" s="20" t="s">
        <v>29</v>
      </c>
      <c r="H9" s="13" t="s">
        <v>30</v>
      </c>
      <c r="I9" s="13" t="s">
        <v>31</v>
      </c>
      <c r="J9" s="13" t="s">
        <v>32</v>
      </c>
      <c r="K9" s="13" t="s">
        <v>33</v>
      </c>
      <c r="L9" s="13" t="s">
        <v>34</v>
      </c>
      <c r="M9" s="13" t="s">
        <v>35</v>
      </c>
      <c r="N9" s="4" t="s">
        <v>36</v>
      </c>
      <c r="O9" s="20" t="s">
        <v>37</v>
      </c>
      <c r="P9" s="20" t="s">
        <v>38</v>
      </c>
      <c r="Q9" s="20" t="s">
        <v>39</v>
      </c>
      <c r="R9" s="20" t="s">
        <v>38</v>
      </c>
      <c r="S9" s="20" t="s">
        <v>39</v>
      </c>
      <c r="T9" s="20" t="s">
        <v>40</v>
      </c>
      <c r="U9" s="20" t="s">
        <v>41</v>
      </c>
      <c r="V9" s="22" t="s">
        <v>42</v>
      </c>
      <c r="W9" s="18" t="s">
        <v>43</v>
      </c>
    </row>
    <row r="10" spans="1:23" ht="16.5">
      <c r="A10" s="11"/>
      <c r="B10" s="12"/>
      <c r="C10" s="13" t="s">
        <v>44</v>
      </c>
      <c r="D10" s="20" t="s">
        <v>45</v>
      </c>
      <c r="E10" s="13" t="s">
        <v>46</v>
      </c>
      <c r="F10" s="4" t="s">
        <v>47</v>
      </c>
      <c r="G10" s="20"/>
      <c r="H10" s="13"/>
      <c r="I10" s="13" t="s">
        <v>48</v>
      </c>
      <c r="J10" s="13" t="s">
        <v>49</v>
      </c>
      <c r="K10" s="13"/>
      <c r="L10" s="13" t="s">
        <v>50</v>
      </c>
      <c r="M10" s="13" t="s">
        <v>50</v>
      </c>
      <c r="N10" s="4" t="s">
        <v>51</v>
      </c>
      <c r="O10" s="20" t="s">
        <v>52</v>
      </c>
      <c r="P10" s="20" t="s">
        <v>49</v>
      </c>
      <c r="Q10" s="20" t="s">
        <v>53</v>
      </c>
      <c r="R10" s="20" t="s">
        <v>54</v>
      </c>
      <c r="S10" s="20" t="s">
        <v>53</v>
      </c>
      <c r="T10" s="20" t="s">
        <v>55</v>
      </c>
      <c r="U10" s="20"/>
      <c r="V10" s="22" t="s">
        <v>46</v>
      </c>
      <c r="W10" s="24" t="s">
        <v>56</v>
      </c>
    </row>
    <row r="11" spans="1:23" ht="16.5">
      <c r="A11" s="11"/>
      <c r="B11" s="12"/>
      <c r="C11" s="13"/>
      <c r="D11" s="20" t="s">
        <v>57</v>
      </c>
      <c r="E11" s="13"/>
      <c r="F11" s="4"/>
      <c r="G11" s="20"/>
      <c r="H11" s="13"/>
      <c r="I11" s="13" t="s">
        <v>58</v>
      </c>
      <c r="J11" s="13" t="s">
        <v>52</v>
      </c>
      <c r="K11" s="13"/>
      <c r="L11" s="13"/>
      <c r="M11" s="13"/>
      <c r="N11" s="4" t="s">
        <v>46</v>
      </c>
      <c r="O11" s="20"/>
      <c r="P11" s="25" t="s">
        <v>46</v>
      </c>
      <c r="Q11" s="25" t="s">
        <v>59</v>
      </c>
      <c r="R11" s="25" t="s">
        <v>46</v>
      </c>
      <c r="S11" s="25" t="s">
        <v>59</v>
      </c>
      <c r="T11" s="25"/>
      <c r="U11" s="25"/>
      <c r="V11" s="26"/>
      <c r="W11" s="18"/>
    </row>
    <row r="12" spans="1:23" ht="16.5" hidden="1">
      <c r="A12" s="130"/>
      <c r="B12" s="131"/>
      <c r="C12" s="132"/>
      <c r="D12" s="19">
        <v>911</v>
      </c>
      <c r="E12" s="132" t="s">
        <v>60</v>
      </c>
      <c r="F12" s="133">
        <v>919</v>
      </c>
      <c r="G12" s="19">
        <v>916</v>
      </c>
      <c r="H12" s="132">
        <v>922</v>
      </c>
      <c r="I12" s="132">
        <v>923</v>
      </c>
      <c r="J12" s="132">
        <v>929</v>
      </c>
      <c r="K12" s="146" t="s">
        <v>152</v>
      </c>
      <c r="L12" s="132" t="s">
        <v>61</v>
      </c>
      <c r="M12" s="19">
        <v>946</v>
      </c>
      <c r="N12" s="133">
        <v>931.932</v>
      </c>
      <c r="O12" s="19" t="s">
        <v>62</v>
      </c>
      <c r="P12" s="134">
        <v>4641</v>
      </c>
      <c r="Q12" s="135">
        <v>4711</v>
      </c>
      <c r="R12" s="135">
        <v>4651</v>
      </c>
      <c r="S12" s="132">
        <v>4721</v>
      </c>
      <c r="T12" s="19">
        <v>1943</v>
      </c>
      <c r="U12" s="19" t="s">
        <v>63</v>
      </c>
      <c r="V12" s="136">
        <v>9811</v>
      </c>
      <c r="W12" s="137"/>
    </row>
    <row r="13" spans="1:23" ht="20.25" customHeight="1">
      <c r="A13" s="138">
        <v>1</v>
      </c>
      <c r="B13" s="139"/>
      <c r="C13" s="139">
        <v>2</v>
      </c>
      <c r="D13" s="139">
        <v>3</v>
      </c>
      <c r="E13" s="139">
        <v>4</v>
      </c>
      <c r="F13" s="139">
        <v>5</v>
      </c>
      <c r="G13" s="139">
        <v>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  <c r="T13" s="139">
        <v>19</v>
      </c>
      <c r="U13" s="139">
        <v>20</v>
      </c>
      <c r="V13" s="140">
        <v>21</v>
      </c>
      <c r="W13" s="183">
        <v>22</v>
      </c>
    </row>
    <row r="14" spans="1:23" ht="22.5" customHeight="1" hidden="1">
      <c r="A14" s="27"/>
      <c r="B14" s="28"/>
      <c r="C14" s="29" t="s">
        <v>209</v>
      </c>
      <c r="D14" s="30">
        <v>141500</v>
      </c>
      <c r="E14" s="30">
        <v>982869</v>
      </c>
      <c r="F14" s="30">
        <v>359850</v>
      </c>
      <c r="G14" s="30">
        <v>188575</v>
      </c>
      <c r="H14" s="30">
        <v>6508908</v>
      </c>
      <c r="I14" s="209">
        <v>1125739</v>
      </c>
      <c r="J14" s="30">
        <v>425091</v>
      </c>
      <c r="K14" s="30">
        <v>31500</v>
      </c>
      <c r="L14" s="209">
        <v>3397450</v>
      </c>
      <c r="M14" s="30">
        <v>0</v>
      </c>
      <c r="N14" s="30">
        <v>1324402</v>
      </c>
      <c r="O14" s="30">
        <v>720000</v>
      </c>
      <c r="P14" s="30">
        <v>80713</v>
      </c>
      <c r="Q14" s="30">
        <v>0</v>
      </c>
      <c r="R14" s="30">
        <v>0</v>
      </c>
      <c r="S14" s="30">
        <v>0</v>
      </c>
      <c r="T14" s="30">
        <v>34000</v>
      </c>
      <c r="U14" s="31">
        <v>0</v>
      </c>
      <c r="V14" s="185">
        <v>0</v>
      </c>
      <c r="W14" s="184">
        <f aca="true" t="shared" si="0" ref="W14:W84">SUM(D14:V14)</f>
        <v>15320597</v>
      </c>
    </row>
    <row r="15" spans="1:38" ht="19.5" customHeight="1" hidden="1">
      <c r="A15" s="212"/>
      <c r="B15" s="33" t="s">
        <v>157</v>
      </c>
      <c r="C15" s="34" t="s">
        <v>158</v>
      </c>
      <c r="D15" s="82"/>
      <c r="E15" s="82">
        <f>118020+160000+67377-51980+51980</f>
        <v>345397</v>
      </c>
      <c r="F15" s="82">
        <f>86349</f>
        <v>86349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3"/>
      <c r="U15" s="181"/>
      <c r="V15" s="186"/>
      <c r="W15" s="188">
        <f t="shared" si="0"/>
        <v>431746</v>
      </c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19.5" customHeight="1" hidden="1">
      <c r="A16" s="212"/>
      <c r="B16" s="33"/>
      <c r="C16" s="29" t="s">
        <v>64</v>
      </c>
      <c r="D16" s="204">
        <f>SUM(D14:D15)</f>
        <v>141500</v>
      </c>
      <c r="E16" s="204">
        <f aca="true" t="shared" si="1" ref="E16:V16">SUM(E14:E15)</f>
        <v>1328266</v>
      </c>
      <c r="F16" s="204">
        <f t="shared" si="1"/>
        <v>446199</v>
      </c>
      <c r="G16" s="204">
        <f t="shared" si="1"/>
        <v>188575</v>
      </c>
      <c r="H16" s="204">
        <f t="shared" si="1"/>
        <v>6508908</v>
      </c>
      <c r="I16" s="204">
        <f t="shared" si="1"/>
        <v>1125739</v>
      </c>
      <c r="J16" s="204">
        <f t="shared" si="1"/>
        <v>425091</v>
      </c>
      <c r="K16" s="204">
        <f t="shared" si="1"/>
        <v>31500</v>
      </c>
      <c r="L16" s="204">
        <f t="shared" si="1"/>
        <v>3397450</v>
      </c>
      <c r="M16" s="204">
        <f t="shared" si="1"/>
        <v>0</v>
      </c>
      <c r="N16" s="204">
        <f t="shared" si="1"/>
        <v>1324402</v>
      </c>
      <c r="O16" s="204">
        <f t="shared" si="1"/>
        <v>720000</v>
      </c>
      <c r="P16" s="204">
        <f t="shared" si="1"/>
        <v>80713</v>
      </c>
      <c r="Q16" s="204">
        <f t="shared" si="1"/>
        <v>0</v>
      </c>
      <c r="R16" s="204">
        <f t="shared" si="1"/>
        <v>0</v>
      </c>
      <c r="S16" s="204">
        <f t="shared" si="1"/>
        <v>0</v>
      </c>
      <c r="T16" s="204">
        <f t="shared" si="1"/>
        <v>34000</v>
      </c>
      <c r="U16" s="204">
        <f t="shared" si="1"/>
        <v>0</v>
      </c>
      <c r="V16" s="204">
        <f t="shared" si="1"/>
        <v>0</v>
      </c>
      <c r="W16" s="210">
        <f>SUM(W14:W15)</f>
        <v>15752343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30" customHeight="1" hidden="1">
      <c r="A17" s="94">
        <v>1</v>
      </c>
      <c r="B17" s="178" t="s">
        <v>183</v>
      </c>
      <c r="C17" s="34" t="s">
        <v>177</v>
      </c>
      <c r="D17" s="82"/>
      <c r="E17" s="82">
        <f>227</f>
        <v>227</v>
      </c>
      <c r="F17" s="82"/>
      <c r="G17" s="82"/>
      <c r="H17" s="82"/>
      <c r="I17" s="82">
        <f>-171</f>
        <v>-171</v>
      </c>
      <c r="J17" s="82"/>
      <c r="K17" s="82"/>
      <c r="L17" s="82">
        <f>-227+171</f>
        <v>-56</v>
      </c>
      <c r="M17" s="82"/>
      <c r="N17" s="82"/>
      <c r="O17" s="82"/>
      <c r="P17" s="82"/>
      <c r="Q17" s="82"/>
      <c r="R17" s="82"/>
      <c r="S17" s="82"/>
      <c r="T17" s="83"/>
      <c r="U17" s="181"/>
      <c r="V17" s="214"/>
      <c r="W17" s="215">
        <f t="shared" si="0"/>
        <v>0</v>
      </c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80"/>
    </row>
    <row r="18" spans="1:38" ht="30" customHeight="1" hidden="1">
      <c r="A18" s="94">
        <v>2</v>
      </c>
      <c r="B18" s="178" t="s">
        <v>186</v>
      </c>
      <c r="C18" s="34" t="s">
        <v>185</v>
      </c>
      <c r="D18" s="82"/>
      <c r="E18" s="82">
        <f>-328</f>
        <v>-328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f>328</f>
        <v>328</v>
      </c>
      <c r="R18" s="82"/>
      <c r="S18" s="82"/>
      <c r="T18" s="83"/>
      <c r="U18" s="181"/>
      <c r="V18" s="214"/>
      <c r="W18" s="215">
        <f t="shared" si="0"/>
        <v>0</v>
      </c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80"/>
    </row>
    <row r="19" spans="1:38" ht="19.5" customHeight="1" hidden="1">
      <c r="A19" s="94">
        <v>0</v>
      </c>
      <c r="B19" s="178" t="s">
        <v>188</v>
      </c>
      <c r="C19" s="48" t="s">
        <v>187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211">
        <f>9.539+1300</f>
        <v>1309.539</v>
      </c>
      <c r="Q19" s="82"/>
      <c r="R19" s="82"/>
      <c r="S19" s="82"/>
      <c r="T19" s="83"/>
      <c r="U19" s="181"/>
      <c r="V19" s="214"/>
      <c r="W19" s="211">
        <f t="shared" si="0"/>
        <v>1309.539</v>
      </c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0"/>
    </row>
    <row r="20" spans="1:38" ht="19.5" customHeight="1" hidden="1">
      <c r="A20" s="94">
        <v>0</v>
      </c>
      <c r="B20" s="178" t="s">
        <v>190</v>
      </c>
      <c r="C20" s="46" t="s">
        <v>189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211">
        <f>9.539+3800</f>
        <v>3809.539</v>
      </c>
      <c r="Q20" s="82"/>
      <c r="R20" s="82"/>
      <c r="S20" s="82"/>
      <c r="T20" s="83"/>
      <c r="U20" s="181"/>
      <c r="V20" s="214"/>
      <c r="W20" s="211">
        <f t="shared" si="0"/>
        <v>3809.539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80"/>
    </row>
    <row r="21" spans="1:38" ht="19.5" customHeight="1" hidden="1">
      <c r="A21" s="94">
        <v>0</v>
      </c>
      <c r="B21" s="178" t="s">
        <v>192</v>
      </c>
      <c r="C21" s="34" t="s">
        <v>191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211">
        <f>9.539+1500</f>
        <v>1509.539</v>
      </c>
      <c r="Q21" s="82"/>
      <c r="R21" s="82"/>
      <c r="S21" s="82"/>
      <c r="T21" s="83"/>
      <c r="U21" s="181"/>
      <c r="V21" s="214"/>
      <c r="W21" s="211">
        <f t="shared" si="0"/>
        <v>1509.539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</row>
    <row r="22" spans="1:38" ht="19.5" customHeight="1" hidden="1">
      <c r="A22" s="94">
        <v>0</v>
      </c>
      <c r="B22" s="178" t="s">
        <v>194</v>
      </c>
      <c r="C22" s="34" t="s">
        <v>193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211">
        <f>9.539+1200</f>
        <v>1209.539</v>
      </c>
      <c r="Q22" s="82"/>
      <c r="R22" s="82"/>
      <c r="S22" s="82"/>
      <c r="T22" s="83"/>
      <c r="U22" s="181"/>
      <c r="V22" s="214"/>
      <c r="W22" s="211">
        <f t="shared" si="0"/>
        <v>1209.539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80"/>
    </row>
    <row r="23" spans="1:38" ht="19.5" customHeight="1" hidden="1">
      <c r="A23" s="94">
        <v>0</v>
      </c>
      <c r="B23" s="178" t="s">
        <v>196</v>
      </c>
      <c r="C23" s="48" t="s">
        <v>195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211">
        <f>9.539+1700</f>
        <v>1709.539</v>
      </c>
      <c r="Q23" s="82"/>
      <c r="R23" s="82"/>
      <c r="S23" s="82"/>
      <c r="T23" s="83"/>
      <c r="U23" s="181"/>
      <c r="V23" s="214"/>
      <c r="W23" s="211">
        <f t="shared" si="0"/>
        <v>1709.539</v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80"/>
    </row>
    <row r="24" spans="1:38" ht="19.5" customHeight="1" hidden="1">
      <c r="A24" s="94">
        <v>0</v>
      </c>
      <c r="B24" s="178" t="s">
        <v>198</v>
      </c>
      <c r="C24" s="34" t="s">
        <v>197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211">
        <f>9.539+312.2+1800</f>
        <v>2121.739</v>
      </c>
      <c r="Q24" s="82"/>
      <c r="R24" s="82"/>
      <c r="S24" s="82"/>
      <c r="T24" s="83"/>
      <c r="U24" s="181"/>
      <c r="V24" s="214"/>
      <c r="W24" s="211">
        <f t="shared" si="0"/>
        <v>2121.739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80"/>
    </row>
    <row r="25" spans="1:38" ht="19.5" customHeight="1" hidden="1">
      <c r="A25" s="94">
        <v>0</v>
      </c>
      <c r="B25" s="178" t="s">
        <v>200</v>
      </c>
      <c r="C25" s="48" t="s">
        <v>199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211">
        <f>9.539+1500</f>
        <v>1509.539</v>
      </c>
      <c r="Q25" s="82"/>
      <c r="R25" s="82"/>
      <c r="S25" s="82"/>
      <c r="T25" s="83"/>
      <c r="U25" s="181"/>
      <c r="V25" s="214"/>
      <c r="W25" s="211">
        <f t="shared" si="0"/>
        <v>1509.539</v>
      </c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80"/>
    </row>
    <row r="26" spans="1:38" ht="19.5" customHeight="1" hidden="1">
      <c r="A26" s="94">
        <v>0</v>
      </c>
      <c r="B26" s="178" t="s">
        <v>202</v>
      </c>
      <c r="C26" s="48" t="s">
        <v>201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211">
        <f>9.539+1000</f>
        <v>1009.539</v>
      </c>
      <c r="Q26" s="82"/>
      <c r="R26" s="82"/>
      <c r="S26" s="82"/>
      <c r="T26" s="83"/>
      <c r="U26" s="181"/>
      <c r="V26" s="214"/>
      <c r="W26" s="211">
        <f t="shared" si="0"/>
        <v>1009.539</v>
      </c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80"/>
    </row>
    <row r="27" spans="1:38" ht="19.5" customHeight="1" hidden="1">
      <c r="A27" s="94">
        <v>0</v>
      </c>
      <c r="B27" s="178" t="s">
        <v>204</v>
      </c>
      <c r="C27" s="34" t="s">
        <v>203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211">
        <f>9.539+600</f>
        <v>609.539</v>
      </c>
      <c r="Q27" s="82"/>
      <c r="R27" s="82"/>
      <c r="S27" s="82"/>
      <c r="T27" s="83"/>
      <c r="U27" s="181"/>
      <c r="V27" s="214"/>
      <c r="W27" s="211">
        <f t="shared" si="0"/>
        <v>609.539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80"/>
    </row>
    <row r="28" spans="1:38" ht="30" customHeight="1" hidden="1">
      <c r="A28" s="94">
        <v>3</v>
      </c>
      <c r="B28" s="178"/>
      <c r="C28" s="34" t="s">
        <v>210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>
        <f>SUM(P19:P27)-0.539</f>
        <v>14797.512</v>
      </c>
      <c r="Q28" s="82"/>
      <c r="R28" s="82"/>
      <c r="S28" s="82"/>
      <c r="T28" s="83"/>
      <c r="U28" s="181"/>
      <c r="V28" s="214"/>
      <c r="W28" s="215">
        <f t="shared" si="0"/>
        <v>14797.512</v>
      </c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80"/>
    </row>
    <row r="29" spans="1:38" ht="19.5" customHeight="1" hidden="1" thickBot="1">
      <c r="A29" s="77"/>
      <c r="B29" s="141"/>
      <c r="C29" s="34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  <c r="U29" s="182"/>
      <c r="V29" s="187"/>
      <c r="W29" s="189">
        <f t="shared" si="0"/>
        <v>0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80"/>
    </row>
    <row r="30" spans="1:24" ht="24.75" customHeight="1" hidden="1" thickBot="1" thickTop="1">
      <c r="A30" s="41"/>
      <c r="B30" s="42"/>
      <c r="C30" s="43" t="s">
        <v>65</v>
      </c>
      <c r="D30" s="44">
        <f aca="true" t="shared" si="2" ref="D30:O30">SUM(D17:D18)+D28</f>
        <v>0</v>
      </c>
      <c r="E30" s="44">
        <f t="shared" si="2"/>
        <v>-101</v>
      </c>
      <c r="F30" s="44">
        <f t="shared" si="2"/>
        <v>0</v>
      </c>
      <c r="G30" s="44">
        <f t="shared" si="2"/>
        <v>0</v>
      </c>
      <c r="H30" s="44">
        <f t="shared" si="2"/>
        <v>0</v>
      </c>
      <c r="I30" s="44">
        <f t="shared" si="2"/>
        <v>-171</v>
      </c>
      <c r="J30" s="44">
        <f t="shared" si="2"/>
        <v>0</v>
      </c>
      <c r="K30" s="44">
        <f t="shared" si="2"/>
        <v>0</v>
      </c>
      <c r="L30" s="44">
        <f t="shared" si="2"/>
        <v>-56</v>
      </c>
      <c r="M30" s="44">
        <f t="shared" si="2"/>
        <v>0</v>
      </c>
      <c r="N30" s="44">
        <f t="shared" si="2"/>
        <v>0</v>
      </c>
      <c r="O30" s="44">
        <f t="shared" si="2"/>
        <v>0</v>
      </c>
      <c r="P30" s="44">
        <f>SUM(P17:P18)+P28</f>
        <v>14797.512</v>
      </c>
      <c r="Q30" s="44">
        <f aca="true" t="shared" si="3" ref="Q30:W30">SUM(Q17:Q18)+Q28</f>
        <v>328</v>
      </c>
      <c r="R30" s="44">
        <f t="shared" si="3"/>
        <v>0</v>
      </c>
      <c r="S30" s="44">
        <f t="shared" si="3"/>
        <v>0</v>
      </c>
      <c r="T30" s="44">
        <f t="shared" si="3"/>
        <v>0</v>
      </c>
      <c r="U30" s="129">
        <f t="shared" si="3"/>
        <v>0</v>
      </c>
      <c r="V30" s="45">
        <f>SUM(V17:V18)+V28</f>
        <v>0</v>
      </c>
      <c r="W30" s="45">
        <f t="shared" si="3"/>
        <v>14797.512</v>
      </c>
      <c r="X30" s="35">
        <f>SUM(W15:W29)</f>
        <v>16213684.563000007</v>
      </c>
    </row>
    <row r="31" spans="1:23" ht="24.75" customHeight="1" hidden="1" thickBot="1" thickTop="1">
      <c r="A31" s="41"/>
      <c r="B31" s="42"/>
      <c r="C31" s="43" t="s">
        <v>66</v>
      </c>
      <c r="D31" s="44">
        <f aca="true" t="shared" si="4" ref="D31:V31">D16+D30</f>
        <v>141500</v>
      </c>
      <c r="E31" s="44">
        <f t="shared" si="4"/>
        <v>1328165</v>
      </c>
      <c r="F31" s="44">
        <f t="shared" si="4"/>
        <v>446199</v>
      </c>
      <c r="G31" s="44">
        <f t="shared" si="4"/>
        <v>188575</v>
      </c>
      <c r="H31" s="44">
        <f t="shared" si="4"/>
        <v>6508908</v>
      </c>
      <c r="I31" s="44">
        <f t="shared" si="4"/>
        <v>1125568</v>
      </c>
      <c r="J31" s="44">
        <f t="shared" si="4"/>
        <v>425091</v>
      </c>
      <c r="K31" s="44">
        <f t="shared" si="4"/>
        <v>31500</v>
      </c>
      <c r="L31" s="44">
        <f t="shared" si="4"/>
        <v>3397394</v>
      </c>
      <c r="M31" s="44">
        <f t="shared" si="4"/>
        <v>0</v>
      </c>
      <c r="N31" s="44">
        <f t="shared" si="4"/>
        <v>1324402</v>
      </c>
      <c r="O31" s="44">
        <f t="shared" si="4"/>
        <v>720000</v>
      </c>
      <c r="P31" s="44">
        <f t="shared" si="4"/>
        <v>95510.512</v>
      </c>
      <c r="Q31" s="44">
        <f t="shared" si="4"/>
        <v>328</v>
      </c>
      <c r="R31" s="44">
        <f t="shared" si="4"/>
        <v>0</v>
      </c>
      <c r="S31" s="44">
        <f t="shared" si="4"/>
        <v>0</v>
      </c>
      <c r="T31" s="44">
        <f t="shared" si="4"/>
        <v>34000</v>
      </c>
      <c r="U31" s="44">
        <f t="shared" si="4"/>
        <v>0</v>
      </c>
      <c r="V31" s="44">
        <f t="shared" si="4"/>
        <v>0</v>
      </c>
      <c r="W31" s="45">
        <f t="shared" si="0"/>
        <v>15767140.512</v>
      </c>
    </row>
    <row r="32" spans="1:23" ht="24.75" customHeight="1" hidden="1" thickBot="1" thickTop="1">
      <c r="A32" s="41"/>
      <c r="B32" s="42"/>
      <c r="C32" s="46" t="s">
        <v>144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>
        <v>3572697</v>
      </c>
      <c r="W32" s="45">
        <f t="shared" si="0"/>
        <v>3572697</v>
      </c>
    </row>
    <row r="33" spans="1:23" ht="30" customHeight="1" hidden="1" thickBot="1" thickTop="1">
      <c r="A33" s="41"/>
      <c r="B33" s="42"/>
      <c r="C33" s="43" t="s">
        <v>66</v>
      </c>
      <c r="D33" s="44">
        <f aca="true" t="shared" si="5" ref="D33:V33">D31+D32</f>
        <v>141500</v>
      </c>
      <c r="E33" s="44">
        <f t="shared" si="5"/>
        <v>1328165</v>
      </c>
      <c r="F33" s="44">
        <f t="shared" si="5"/>
        <v>446199</v>
      </c>
      <c r="G33" s="44">
        <f t="shared" si="5"/>
        <v>188575</v>
      </c>
      <c r="H33" s="44">
        <f t="shared" si="5"/>
        <v>6508908</v>
      </c>
      <c r="I33" s="44">
        <f t="shared" si="5"/>
        <v>1125568</v>
      </c>
      <c r="J33" s="44">
        <f t="shared" si="5"/>
        <v>425091</v>
      </c>
      <c r="K33" s="44">
        <f t="shared" si="5"/>
        <v>31500</v>
      </c>
      <c r="L33" s="44">
        <f t="shared" si="5"/>
        <v>3397394</v>
      </c>
      <c r="M33" s="44">
        <f t="shared" si="5"/>
        <v>0</v>
      </c>
      <c r="N33" s="44">
        <f t="shared" si="5"/>
        <v>1324402</v>
      </c>
      <c r="O33" s="44">
        <f t="shared" si="5"/>
        <v>720000</v>
      </c>
      <c r="P33" s="44">
        <f t="shared" si="5"/>
        <v>95510.512</v>
      </c>
      <c r="Q33" s="44">
        <f t="shared" si="5"/>
        <v>328</v>
      </c>
      <c r="R33" s="44">
        <f t="shared" si="5"/>
        <v>0</v>
      </c>
      <c r="S33" s="44">
        <f t="shared" si="5"/>
        <v>0</v>
      </c>
      <c r="T33" s="44">
        <f t="shared" si="5"/>
        <v>34000</v>
      </c>
      <c r="U33" s="44">
        <f t="shared" si="5"/>
        <v>0</v>
      </c>
      <c r="V33" s="44">
        <f t="shared" si="5"/>
        <v>3572697</v>
      </c>
      <c r="W33" s="45">
        <f t="shared" si="0"/>
        <v>19339837.512000002</v>
      </c>
    </row>
    <row r="34" spans="1:23" ht="24.75" customHeight="1">
      <c r="A34" s="27"/>
      <c r="B34" s="28"/>
      <c r="C34" s="29" t="s">
        <v>64</v>
      </c>
      <c r="D34" s="269">
        <f aca="true" t="shared" si="6" ref="D34:V34">D33</f>
        <v>141500</v>
      </c>
      <c r="E34" s="269">
        <f t="shared" si="6"/>
        <v>1328165</v>
      </c>
      <c r="F34" s="269">
        <f t="shared" si="6"/>
        <v>446199</v>
      </c>
      <c r="G34" s="269">
        <f t="shared" si="6"/>
        <v>188575</v>
      </c>
      <c r="H34" s="269">
        <f t="shared" si="6"/>
        <v>6508908</v>
      </c>
      <c r="I34" s="269">
        <f t="shared" si="6"/>
        <v>1125568</v>
      </c>
      <c r="J34" s="269">
        <f t="shared" si="6"/>
        <v>425091</v>
      </c>
      <c r="K34" s="269">
        <f t="shared" si="6"/>
        <v>31500</v>
      </c>
      <c r="L34" s="269">
        <f t="shared" si="6"/>
        <v>3397394</v>
      </c>
      <c r="M34" s="269">
        <f t="shared" si="6"/>
        <v>0</v>
      </c>
      <c r="N34" s="269">
        <f t="shared" si="6"/>
        <v>1324402</v>
      </c>
      <c r="O34" s="269">
        <f t="shared" si="6"/>
        <v>720000</v>
      </c>
      <c r="P34" s="269">
        <f>P33+0.488</f>
        <v>95511</v>
      </c>
      <c r="Q34" s="269">
        <f t="shared" si="6"/>
        <v>328</v>
      </c>
      <c r="R34" s="269">
        <f t="shared" si="6"/>
        <v>0</v>
      </c>
      <c r="S34" s="269">
        <f t="shared" si="6"/>
        <v>0</v>
      </c>
      <c r="T34" s="269">
        <f t="shared" si="6"/>
        <v>34000</v>
      </c>
      <c r="U34" s="269">
        <f t="shared" si="6"/>
        <v>0</v>
      </c>
      <c r="V34" s="269">
        <f t="shared" si="6"/>
        <v>3572697</v>
      </c>
      <c r="W34" s="270">
        <f t="shared" si="0"/>
        <v>19339838</v>
      </c>
    </row>
    <row r="35" spans="1:23" ht="24.75" customHeight="1">
      <c r="A35" s="47">
        <v>1</v>
      </c>
      <c r="B35" s="38">
        <v>35</v>
      </c>
      <c r="C35" s="40" t="s">
        <v>213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f>9.539+600+0.461</f>
        <v>610</v>
      </c>
      <c r="Q35" s="238"/>
      <c r="R35" s="238"/>
      <c r="S35" s="238"/>
      <c r="T35" s="238"/>
      <c r="U35" s="238"/>
      <c r="V35" s="239"/>
      <c r="W35" s="240">
        <f t="shared" si="0"/>
        <v>610</v>
      </c>
    </row>
    <row r="36" spans="1:23" ht="24.75" customHeight="1">
      <c r="A36" s="47">
        <v>2</v>
      </c>
      <c r="B36" s="36">
        <v>37</v>
      </c>
      <c r="C36" s="34" t="s">
        <v>216</v>
      </c>
      <c r="D36" s="238">
        <f>59221</f>
        <v>59221</v>
      </c>
      <c r="E36" s="238">
        <f>-170000-160000-67377-7740+170000+160000+20000+7740</f>
        <v>-47377</v>
      </c>
      <c r="F36" s="238">
        <f>-1935-99344+1935+87500</f>
        <v>-11844</v>
      </c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9"/>
      <c r="W36" s="240">
        <f t="shared" si="0"/>
        <v>0</v>
      </c>
    </row>
    <row r="37" spans="1:23" ht="24.75" customHeight="1">
      <c r="A37" s="47">
        <v>3</v>
      </c>
      <c r="B37" s="37">
        <v>38</v>
      </c>
      <c r="C37" s="48" t="s">
        <v>217</v>
      </c>
      <c r="D37" s="238"/>
      <c r="E37" s="238">
        <f>2310</f>
        <v>2310</v>
      </c>
      <c r="F37" s="238">
        <f>578</f>
        <v>578</v>
      </c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9"/>
      <c r="W37" s="240">
        <f t="shared" si="0"/>
        <v>2888</v>
      </c>
    </row>
    <row r="38" spans="1:23" ht="24.75" customHeight="1">
      <c r="A38" s="47">
        <v>4</v>
      </c>
      <c r="B38" s="36">
        <v>53</v>
      </c>
      <c r="C38" s="34" t="s">
        <v>231</v>
      </c>
      <c r="D38" s="238"/>
      <c r="E38" s="238">
        <f>1000</f>
        <v>1000</v>
      </c>
      <c r="F38" s="238">
        <f>250</f>
        <v>250</v>
      </c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9"/>
      <c r="W38" s="240">
        <f t="shared" si="0"/>
        <v>1250</v>
      </c>
    </row>
    <row r="39" spans="1:23" ht="24.75" customHeight="1">
      <c r="A39" s="47">
        <v>5</v>
      </c>
      <c r="B39" s="38">
        <v>57</v>
      </c>
      <c r="C39" s="34" t="s">
        <v>233</v>
      </c>
      <c r="D39" s="238"/>
      <c r="E39" s="238"/>
      <c r="F39" s="238"/>
      <c r="G39" s="238"/>
      <c r="H39" s="238"/>
      <c r="I39" s="238"/>
      <c r="J39" s="238"/>
      <c r="K39" s="238">
        <f>345</f>
        <v>345</v>
      </c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9"/>
      <c r="W39" s="240">
        <f t="shared" si="0"/>
        <v>345</v>
      </c>
    </row>
    <row r="40" spans="1:23" ht="24.75" customHeight="1">
      <c r="A40" s="47">
        <v>6</v>
      </c>
      <c r="B40" s="37">
        <v>59</v>
      </c>
      <c r="C40" s="34" t="s">
        <v>235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>
        <f>1000</f>
        <v>1000</v>
      </c>
      <c r="R40" s="238"/>
      <c r="S40" s="238"/>
      <c r="T40" s="238"/>
      <c r="U40" s="238"/>
      <c r="V40" s="239"/>
      <c r="W40" s="240">
        <f t="shared" si="0"/>
        <v>1000</v>
      </c>
    </row>
    <row r="41" spans="1:23" ht="24.75" customHeight="1">
      <c r="A41" s="47">
        <v>7</v>
      </c>
      <c r="B41" s="37">
        <v>69</v>
      </c>
      <c r="C41" s="34" t="s">
        <v>240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>
        <f>19313.569+9057.913</f>
        <v>28371.482</v>
      </c>
      <c r="S41" s="238"/>
      <c r="T41" s="238"/>
      <c r="U41" s="238"/>
      <c r="V41" s="239"/>
      <c r="W41" s="240">
        <f t="shared" si="0"/>
        <v>28371.482</v>
      </c>
    </row>
    <row r="42" spans="1:23" ht="24.75" customHeight="1">
      <c r="A42" s="47">
        <v>8</v>
      </c>
      <c r="B42" s="38">
        <v>72</v>
      </c>
      <c r="C42" s="34" t="s">
        <v>242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>
        <f>44771</f>
        <v>44771</v>
      </c>
      <c r="Q42" s="238"/>
      <c r="R42" s="238"/>
      <c r="S42" s="238"/>
      <c r="T42" s="238"/>
      <c r="U42" s="238"/>
      <c r="V42" s="239"/>
      <c r="W42" s="240">
        <f t="shared" si="0"/>
        <v>44771</v>
      </c>
    </row>
    <row r="43" spans="1:23" ht="24.75" customHeight="1">
      <c r="A43" s="47">
        <v>9</v>
      </c>
      <c r="B43" s="37">
        <v>74</v>
      </c>
      <c r="C43" s="34" t="s">
        <v>284</v>
      </c>
      <c r="D43" s="238"/>
      <c r="E43" s="238">
        <f>500+1000-1100+800+100</f>
        <v>1300</v>
      </c>
      <c r="F43" s="238">
        <f>200</f>
        <v>200</v>
      </c>
      <c r="G43" s="238">
        <f>-16000+13500+1000</f>
        <v>-1500</v>
      </c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9"/>
      <c r="W43" s="240">
        <f t="shared" si="0"/>
        <v>0</v>
      </c>
    </row>
    <row r="44" spans="1:23" ht="24.75" customHeight="1">
      <c r="A44" s="47">
        <v>10</v>
      </c>
      <c r="B44" s="37">
        <v>74</v>
      </c>
      <c r="C44" s="34" t="s">
        <v>286</v>
      </c>
      <c r="D44" s="238"/>
      <c r="E44" s="238">
        <v>-20781.311</v>
      </c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>
        <f>20781.311</f>
        <v>20781.311</v>
      </c>
      <c r="S44" s="238"/>
      <c r="T44" s="238"/>
      <c r="U44" s="238"/>
      <c r="V44" s="239"/>
      <c r="W44" s="240">
        <f t="shared" si="0"/>
        <v>0</v>
      </c>
    </row>
    <row r="45" spans="1:23" ht="24.75" customHeight="1">
      <c r="A45" s="47">
        <v>11</v>
      </c>
      <c r="B45" s="38">
        <v>75</v>
      </c>
      <c r="C45" s="34" t="s">
        <v>243</v>
      </c>
      <c r="D45" s="238"/>
      <c r="E45" s="238">
        <f>142+4750</f>
        <v>4892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>
        <f>47042</f>
        <v>47042</v>
      </c>
      <c r="P45" s="238"/>
      <c r="Q45" s="238">
        <f>60</f>
        <v>60</v>
      </c>
      <c r="R45" s="238"/>
      <c r="S45" s="238">
        <f>1071</f>
        <v>1071</v>
      </c>
      <c r="T45" s="238"/>
      <c r="U45" s="238"/>
      <c r="V45" s="239"/>
      <c r="W45" s="240">
        <f t="shared" si="0"/>
        <v>53065</v>
      </c>
    </row>
    <row r="46" spans="1:23" ht="24.75" customHeight="1">
      <c r="A46" s="47">
        <v>12</v>
      </c>
      <c r="B46" s="38">
        <v>95</v>
      </c>
      <c r="C46" s="48" t="s">
        <v>253</v>
      </c>
      <c r="D46" s="238"/>
      <c r="E46" s="238">
        <f>-55090+59600.388</f>
        <v>4510.387999999999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>
        <f>55090+4510.388-59600.388</f>
        <v>0</v>
      </c>
      <c r="S46" s="238"/>
      <c r="T46" s="238"/>
      <c r="U46" s="238"/>
      <c r="V46" s="239"/>
      <c r="W46" s="240">
        <f t="shared" si="0"/>
        <v>4510.387999999999</v>
      </c>
    </row>
    <row r="47" spans="1:23" ht="24.75" customHeight="1">
      <c r="A47" s="47">
        <v>13</v>
      </c>
      <c r="B47" s="37">
        <v>96</v>
      </c>
      <c r="C47" s="48" t="s">
        <v>254</v>
      </c>
      <c r="D47" s="238"/>
      <c r="E47" s="238"/>
      <c r="F47" s="238"/>
      <c r="G47" s="238"/>
      <c r="H47" s="238"/>
      <c r="I47" s="238"/>
      <c r="J47" s="238"/>
      <c r="K47" s="238"/>
      <c r="L47" s="238">
        <f>4950</f>
        <v>4950</v>
      </c>
      <c r="M47" s="238"/>
      <c r="N47" s="238"/>
      <c r="O47" s="238"/>
      <c r="P47" s="238"/>
      <c r="Q47" s="238"/>
      <c r="R47" s="238"/>
      <c r="S47" s="238"/>
      <c r="T47" s="238"/>
      <c r="U47" s="238"/>
      <c r="V47" s="239"/>
      <c r="W47" s="240">
        <f t="shared" si="0"/>
        <v>4950</v>
      </c>
    </row>
    <row r="48" spans="1:23" ht="24.75" customHeight="1">
      <c r="A48" s="47">
        <v>14</v>
      </c>
      <c r="B48" s="37">
        <v>99</v>
      </c>
      <c r="C48" s="48" t="s">
        <v>285</v>
      </c>
      <c r="D48" s="238">
        <f>4000</f>
        <v>4000</v>
      </c>
      <c r="E48" s="238">
        <f>500</f>
        <v>500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9"/>
      <c r="W48" s="240">
        <f t="shared" si="0"/>
        <v>4500</v>
      </c>
    </row>
    <row r="49" spans="1:23" ht="24.75" customHeight="1">
      <c r="A49" s="47">
        <v>15</v>
      </c>
      <c r="B49" s="37">
        <v>100</v>
      </c>
      <c r="C49" s="152" t="s">
        <v>255</v>
      </c>
      <c r="D49" s="238"/>
      <c r="E49" s="238"/>
      <c r="F49" s="238"/>
      <c r="G49" s="238"/>
      <c r="H49" s="238"/>
      <c r="I49" s="238"/>
      <c r="J49" s="238"/>
      <c r="K49" s="238"/>
      <c r="L49" s="238">
        <f>-553.6</f>
        <v>-553.6</v>
      </c>
      <c r="M49" s="238"/>
      <c r="N49" s="238"/>
      <c r="O49" s="238"/>
      <c r="P49" s="238"/>
      <c r="Q49" s="238"/>
      <c r="R49" s="238"/>
      <c r="S49" s="238"/>
      <c r="T49" s="238"/>
      <c r="U49" s="238"/>
      <c r="V49" s="239"/>
      <c r="W49" s="240">
        <f t="shared" si="0"/>
        <v>-553.6</v>
      </c>
    </row>
    <row r="50" spans="1:23" ht="24.75" customHeight="1">
      <c r="A50" s="47">
        <v>16</v>
      </c>
      <c r="B50" s="37">
        <v>103</v>
      </c>
      <c r="C50" s="152" t="s">
        <v>256</v>
      </c>
      <c r="D50" s="238"/>
      <c r="E50" s="238"/>
      <c r="F50" s="238"/>
      <c r="G50" s="238"/>
      <c r="H50" s="238"/>
      <c r="I50" s="238"/>
      <c r="J50" s="238"/>
      <c r="K50" s="238"/>
      <c r="L50" s="238">
        <f>536.5</f>
        <v>536.5</v>
      </c>
      <c r="M50" s="238"/>
      <c r="N50" s="238"/>
      <c r="O50" s="238"/>
      <c r="P50" s="238"/>
      <c r="Q50" s="238"/>
      <c r="R50" s="238"/>
      <c r="S50" s="238"/>
      <c r="T50" s="238"/>
      <c r="U50" s="238"/>
      <c r="V50" s="239"/>
      <c r="W50" s="240">
        <f t="shared" si="0"/>
        <v>536.5</v>
      </c>
    </row>
    <row r="51" spans="1:23" ht="24.75" customHeight="1">
      <c r="A51" s="47">
        <v>17</v>
      </c>
      <c r="B51" s="37">
        <v>104</v>
      </c>
      <c r="C51" s="48" t="s">
        <v>257</v>
      </c>
      <c r="D51" s="238"/>
      <c r="E51" s="238"/>
      <c r="F51" s="238"/>
      <c r="G51" s="238"/>
      <c r="H51" s="238"/>
      <c r="I51" s="238"/>
      <c r="J51" s="238"/>
      <c r="K51" s="238"/>
      <c r="L51" s="238">
        <f>1532</f>
        <v>1532</v>
      </c>
      <c r="M51" s="238"/>
      <c r="N51" s="238"/>
      <c r="O51" s="238"/>
      <c r="P51" s="238"/>
      <c r="Q51" s="238"/>
      <c r="R51" s="238"/>
      <c r="S51" s="238"/>
      <c r="T51" s="238"/>
      <c r="U51" s="238"/>
      <c r="V51" s="239"/>
      <c r="W51" s="240">
        <f t="shared" si="0"/>
        <v>1532</v>
      </c>
    </row>
    <row r="52" spans="1:23" ht="24.75" customHeight="1">
      <c r="A52" s="47">
        <v>18</v>
      </c>
      <c r="B52" s="37">
        <v>107</v>
      </c>
      <c r="C52" s="48" t="s">
        <v>258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>
        <f>2000</f>
        <v>2000</v>
      </c>
      <c r="R52" s="238"/>
      <c r="S52" s="238"/>
      <c r="T52" s="238"/>
      <c r="U52" s="238"/>
      <c r="V52" s="239"/>
      <c r="W52" s="240">
        <f t="shared" si="0"/>
        <v>2000</v>
      </c>
    </row>
    <row r="53" spans="1:23" ht="24.75" customHeight="1">
      <c r="A53" s="47">
        <v>19</v>
      </c>
      <c r="B53" s="37">
        <v>108</v>
      </c>
      <c r="C53" s="48" t="s">
        <v>187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>
        <f>100</f>
        <v>100</v>
      </c>
      <c r="Q53" s="238"/>
      <c r="R53" s="238"/>
      <c r="S53" s="238"/>
      <c r="T53" s="238"/>
      <c r="U53" s="238"/>
      <c r="V53" s="239"/>
      <c r="W53" s="240">
        <f t="shared" si="0"/>
        <v>100</v>
      </c>
    </row>
    <row r="54" spans="1:23" ht="24.75" customHeight="1">
      <c r="A54" s="47">
        <v>20</v>
      </c>
      <c r="B54" s="37">
        <v>109</v>
      </c>
      <c r="C54" s="48" t="s">
        <v>189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>
        <f>100</f>
        <v>100</v>
      </c>
      <c r="Q54" s="238"/>
      <c r="R54" s="238"/>
      <c r="S54" s="238"/>
      <c r="T54" s="238"/>
      <c r="U54" s="238"/>
      <c r="V54" s="239"/>
      <c r="W54" s="240">
        <f t="shared" si="0"/>
        <v>100</v>
      </c>
    </row>
    <row r="55" spans="1:23" ht="24.75" customHeight="1">
      <c r="A55" s="47">
        <v>21</v>
      </c>
      <c r="B55" s="37">
        <v>110</v>
      </c>
      <c r="C55" s="48" t="s">
        <v>191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>
        <f>100</f>
        <v>100</v>
      </c>
      <c r="Q55" s="238"/>
      <c r="R55" s="238"/>
      <c r="S55" s="238"/>
      <c r="T55" s="238"/>
      <c r="U55" s="238"/>
      <c r="V55" s="239"/>
      <c r="W55" s="240">
        <f t="shared" si="0"/>
        <v>100</v>
      </c>
    </row>
    <row r="56" spans="1:23" ht="24.75" customHeight="1">
      <c r="A56" s="47">
        <v>22</v>
      </c>
      <c r="B56" s="151">
        <v>111</v>
      </c>
      <c r="C56" s="48" t="s">
        <v>193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>
        <f>100</f>
        <v>100</v>
      </c>
      <c r="Q56" s="238"/>
      <c r="R56" s="238"/>
      <c r="S56" s="238"/>
      <c r="T56" s="238"/>
      <c r="U56" s="238"/>
      <c r="V56" s="239"/>
      <c r="W56" s="240">
        <f t="shared" si="0"/>
        <v>100</v>
      </c>
    </row>
    <row r="57" spans="1:23" ht="24.75" customHeight="1">
      <c r="A57" s="47">
        <v>23</v>
      </c>
      <c r="B57" s="151">
        <v>112</v>
      </c>
      <c r="C57" s="48" t="s">
        <v>195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>
        <f>100</f>
        <v>100</v>
      </c>
      <c r="Q57" s="238"/>
      <c r="R57" s="238"/>
      <c r="S57" s="238"/>
      <c r="T57" s="238"/>
      <c r="U57" s="238"/>
      <c r="V57" s="239"/>
      <c r="W57" s="240">
        <f t="shared" si="0"/>
        <v>100</v>
      </c>
    </row>
    <row r="58" spans="1:23" ht="24.75" customHeight="1">
      <c r="A58" s="47">
        <v>24</v>
      </c>
      <c r="B58" s="151">
        <v>113</v>
      </c>
      <c r="C58" s="48" t="s">
        <v>197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>
        <f>100</f>
        <v>100</v>
      </c>
      <c r="Q58" s="238">
        <f>293.236</f>
        <v>293.236</v>
      </c>
      <c r="R58" s="238"/>
      <c r="S58" s="238"/>
      <c r="T58" s="238"/>
      <c r="U58" s="238"/>
      <c r="V58" s="239"/>
      <c r="W58" s="240">
        <f t="shared" si="0"/>
        <v>393.236</v>
      </c>
    </row>
    <row r="59" spans="1:23" ht="24.75" customHeight="1">
      <c r="A59" s="47">
        <v>25</v>
      </c>
      <c r="B59" s="151">
        <v>114</v>
      </c>
      <c r="C59" s="48" t="s">
        <v>203</v>
      </c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>
        <f>100</f>
        <v>100</v>
      </c>
      <c r="Q59" s="238"/>
      <c r="R59" s="238"/>
      <c r="S59" s="238"/>
      <c r="T59" s="238"/>
      <c r="U59" s="238"/>
      <c r="V59" s="239"/>
      <c r="W59" s="240">
        <f t="shared" si="0"/>
        <v>100</v>
      </c>
    </row>
    <row r="60" spans="1:23" ht="24.75" customHeight="1">
      <c r="A60" s="47">
        <v>26</v>
      </c>
      <c r="B60" s="151">
        <v>115</v>
      </c>
      <c r="C60" s="48" t="s">
        <v>201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>
        <f>100</f>
        <v>100</v>
      </c>
      <c r="Q60" s="238"/>
      <c r="R60" s="238"/>
      <c r="S60" s="238"/>
      <c r="T60" s="238"/>
      <c r="U60" s="238"/>
      <c r="V60" s="239"/>
      <c r="W60" s="240">
        <f t="shared" si="0"/>
        <v>100</v>
      </c>
    </row>
    <row r="61" spans="1:23" ht="24.75" customHeight="1">
      <c r="A61" s="47">
        <v>27</v>
      </c>
      <c r="B61" s="151">
        <v>116</v>
      </c>
      <c r="C61" s="48" t="s">
        <v>199</v>
      </c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>
        <f>100</f>
        <v>100</v>
      </c>
      <c r="Q61" s="238"/>
      <c r="R61" s="238"/>
      <c r="S61" s="238"/>
      <c r="T61" s="238"/>
      <c r="U61" s="238"/>
      <c r="V61" s="239"/>
      <c r="W61" s="240">
        <f t="shared" si="0"/>
        <v>100</v>
      </c>
    </row>
    <row r="62" spans="1:23" ht="24.75" customHeight="1">
      <c r="A62" s="47">
        <v>28</v>
      </c>
      <c r="B62" s="151">
        <v>117</v>
      </c>
      <c r="C62" s="48" t="s">
        <v>213</v>
      </c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>
        <f>100</f>
        <v>100</v>
      </c>
      <c r="Q62" s="238"/>
      <c r="R62" s="238"/>
      <c r="S62" s="238"/>
      <c r="T62" s="238"/>
      <c r="U62" s="238"/>
      <c r="V62" s="239"/>
      <c r="W62" s="240">
        <f t="shared" si="0"/>
        <v>100</v>
      </c>
    </row>
    <row r="63" spans="1:23" ht="24.75" customHeight="1">
      <c r="A63" s="47">
        <v>29</v>
      </c>
      <c r="B63" s="151">
        <v>131</v>
      </c>
      <c r="C63" s="48" t="s">
        <v>270</v>
      </c>
      <c r="D63" s="238">
        <f>2000</f>
        <v>2000</v>
      </c>
      <c r="E63" s="238">
        <f>-2000</f>
        <v>-2000</v>
      </c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9"/>
      <c r="W63" s="240">
        <f t="shared" si="0"/>
        <v>0</v>
      </c>
    </row>
    <row r="64" spans="1:23" ht="24.75" customHeight="1">
      <c r="A64" s="254">
        <v>30</v>
      </c>
      <c r="B64" s="255">
        <v>133</v>
      </c>
      <c r="C64" s="152" t="s">
        <v>271</v>
      </c>
      <c r="D64" s="238"/>
      <c r="E64" s="238"/>
      <c r="F64" s="238"/>
      <c r="G64" s="238"/>
      <c r="H64" s="238"/>
      <c r="I64" s="238"/>
      <c r="J64" s="238"/>
      <c r="K64" s="238"/>
      <c r="L64" s="238">
        <f>5068.32+43136.139</f>
        <v>48204.459</v>
      </c>
      <c r="M64" s="238"/>
      <c r="N64" s="238"/>
      <c r="O64" s="238"/>
      <c r="P64" s="238"/>
      <c r="Q64" s="238"/>
      <c r="R64" s="238"/>
      <c r="S64" s="238"/>
      <c r="T64" s="238"/>
      <c r="U64" s="238"/>
      <c r="V64" s="239"/>
      <c r="W64" s="240">
        <f t="shared" si="0"/>
        <v>48204.459</v>
      </c>
    </row>
    <row r="65" spans="1:23" ht="24.75" customHeight="1">
      <c r="A65" s="47">
        <v>31</v>
      </c>
      <c r="B65" s="151">
        <v>135</v>
      </c>
      <c r="C65" s="48" t="s">
        <v>276</v>
      </c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>
        <f>2478</f>
        <v>2478</v>
      </c>
      <c r="Q65" s="238"/>
      <c r="R65" s="238"/>
      <c r="S65" s="238"/>
      <c r="T65" s="238"/>
      <c r="U65" s="238"/>
      <c r="V65" s="239"/>
      <c r="W65" s="240">
        <f t="shared" si="0"/>
        <v>2478</v>
      </c>
    </row>
    <row r="66" spans="1:23" ht="24.75" customHeight="1">
      <c r="A66" s="47">
        <v>32</v>
      </c>
      <c r="B66" s="151">
        <v>137</v>
      </c>
      <c r="C66" s="48" t="s">
        <v>284</v>
      </c>
      <c r="D66" s="238"/>
      <c r="E66" s="238">
        <v>41270.308</v>
      </c>
      <c r="F66" s="238"/>
      <c r="G66" s="238"/>
      <c r="H66" s="238"/>
      <c r="I66" s="238"/>
      <c r="J66" s="238"/>
      <c r="K66" s="238"/>
      <c r="L66" s="238">
        <v>-41270.308</v>
      </c>
      <c r="M66" s="238"/>
      <c r="N66" s="238"/>
      <c r="O66" s="238"/>
      <c r="P66" s="238"/>
      <c r="Q66" s="238"/>
      <c r="R66" s="238"/>
      <c r="S66" s="238"/>
      <c r="T66" s="238"/>
      <c r="U66" s="238"/>
      <c r="V66" s="239"/>
      <c r="W66" s="240">
        <f t="shared" si="0"/>
        <v>0</v>
      </c>
    </row>
    <row r="67" spans="1:23" ht="24.75" customHeight="1">
      <c r="A67" s="47">
        <v>33</v>
      </c>
      <c r="B67" s="151">
        <v>138</v>
      </c>
      <c r="C67" s="48" t="s">
        <v>277</v>
      </c>
      <c r="D67" s="238"/>
      <c r="E67" s="238">
        <f>-637+400</f>
        <v>-237</v>
      </c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>
        <f>237</f>
        <v>237</v>
      </c>
      <c r="Q67" s="238"/>
      <c r="R67" s="238"/>
      <c r="S67" s="238"/>
      <c r="T67" s="238"/>
      <c r="U67" s="238"/>
      <c r="V67" s="239"/>
      <c r="W67" s="240">
        <f t="shared" si="0"/>
        <v>0</v>
      </c>
    </row>
    <row r="68" spans="1:23" ht="24.75" customHeight="1">
      <c r="A68" s="47">
        <v>34</v>
      </c>
      <c r="B68" s="151">
        <v>140</v>
      </c>
      <c r="C68" s="48" t="s">
        <v>279</v>
      </c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>
        <f>561</f>
        <v>561</v>
      </c>
      <c r="U68" s="238"/>
      <c r="V68" s="239"/>
      <c r="W68" s="240">
        <f t="shared" si="0"/>
        <v>561</v>
      </c>
    </row>
    <row r="69" spans="1:23" ht="24.75" customHeight="1">
      <c r="A69" s="47">
        <v>35</v>
      </c>
      <c r="B69" s="151">
        <v>141</v>
      </c>
      <c r="C69" s="48" t="s">
        <v>280</v>
      </c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>
        <f>181</f>
        <v>181</v>
      </c>
      <c r="Q69" s="238"/>
      <c r="R69" s="238"/>
      <c r="S69" s="238"/>
      <c r="T69" s="238"/>
      <c r="U69" s="238"/>
      <c r="V69" s="239"/>
      <c r="W69" s="240">
        <f t="shared" si="0"/>
        <v>181</v>
      </c>
    </row>
    <row r="70" spans="1:23" ht="24.75" customHeight="1">
      <c r="A70" s="47">
        <v>36</v>
      </c>
      <c r="B70" s="151">
        <v>142</v>
      </c>
      <c r="C70" s="48" t="s">
        <v>281</v>
      </c>
      <c r="D70" s="238"/>
      <c r="E70" s="238">
        <f>645</f>
        <v>645</v>
      </c>
      <c r="F70" s="238">
        <f>157</f>
        <v>157</v>
      </c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9"/>
      <c r="W70" s="240">
        <f t="shared" si="0"/>
        <v>802</v>
      </c>
    </row>
    <row r="71" spans="1:23" ht="24.75" customHeight="1">
      <c r="A71" s="47">
        <v>37</v>
      </c>
      <c r="B71" s="151"/>
      <c r="C71" s="48" t="s">
        <v>282</v>
      </c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>
        <f>2075+2727+674+2075+8310+2944</f>
        <v>18805</v>
      </c>
      <c r="Q71" s="238">
        <f>3601+988+1250+1020+1900</f>
        <v>8759</v>
      </c>
      <c r="R71" s="238"/>
      <c r="S71" s="238"/>
      <c r="T71" s="238"/>
      <c r="U71" s="238"/>
      <c r="V71" s="239"/>
      <c r="W71" s="240">
        <f t="shared" si="0"/>
        <v>27564</v>
      </c>
    </row>
    <row r="72" spans="1:23" ht="24.75" customHeight="1">
      <c r="A72" s="47"/>
      <c r="B72" s="151"/>
      <c r="C72" s="48" t="s">
        <v>283</v>
      </c>
      <c r="D72" s="238"/>
      <c r="E72" s="238">
        <v>-0.385</v>
      </c>
      <c r="F72" s="238"/>
      <c r="G72" s="238"/>
      <c r="H72" s="238"/>
      <c r="I72" s="238"/>
      <c r="J72" s="238"/>
      <c r="K72" s="238"/>
      <c r="L72" s="238">
        <v>-0.051</v>
      </c>
      <c r="M72" s="238"/>
      <c r="N72" s="238"/>
      <c r="O72" s="238"/>
      <c r="P72" s="238"/>
      <c r="Q72" s="238">
        <v>-0.236</v>
      </c>
      <c r="R72" s="238">
        <v>0.207</v>
      </c>
      <c r="S72" s="238"/>
      <c r="T72" s="238"/>
      <c r="U72" s="238"/>
      <c r="V72" s="239"/>
      <c r="W72" s="240">
        <f t="shared" si="0"/>
        <v>-0.46499999999999997</v>
      </c>
    </row>
    <row r="73" spans="1:23" ht="24.75" customHeight="1" thickBot="1">
      <c r="A73" s="47"/>
      <c r="B73" s="121"/>
      <c r="C73" s="122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2"/>
      <c r="W73" s="243">
        <f t="shared" si="0"/>
        <v>0</v>
      </c>
    </row>
    <row r="74" spans="1:23" ht="24.75" customHeight="1" thickBot="1" thickTop="1">
      <c r="A74" s="54"/>
      <c r="B74" s="127" t="s">
        <v>68</v>
      </c>
      <c r="C74" s="51" t="s">
        <v>65</v>
      </c>
      <c r="D74" s="244">
        <f>SUM(D35:D73)</f>
        <v>65221</v>
      </c>
      <c r="E74" s="244">
        <f aca="true" t="shared" si="7" ref="E74:J74">SUM(E35:E73)</f>
        <v>-13968.000000000005</v>
      </c>
      <c r="F74" s="244">
        <f t="shared" si="7"/>
        <v>-10659</v>
      </c>
      <c r="G74" s="244">
        <f t="shared" si="7"/>
        <v>-1500</v>
      </c>
      <c r="H74" s="244">
        <f t="shared" si="7"/>
        <v>0</v>
      </c>
      <c r="I74" s="244">
        <f t="shared" si="7"/>
        <v>0</v>
      </c>
      <c r="J74" s="244">
        <f t="shared" si="7"/>
        <v>0</v>
      </c>
      <c r="K74" s="244">
        <f aca="true" t="shared" si="8" ref="K74:W74">SUM(K35:K73)</f>
        <v>345</v>
      </c>
      <c r="L74" s="244">
        <f t="shared" si="8"/>
        <v>13399.000000000007</v>
      </c>
      <c r="M74" s="244">
        <f t="shared" si="8"/>
        <v>0</v>
      </c>
      <c r="N74" s="244">
        <f t="shared" si="8"/>
        <v>0</v>
      </c>
      <c r="O74" s="244">
        <f t="shared" si="8"/>
        <v>47042</v>
      </c>
      <c r="P74" s="244">
        <f t="shared" si="8"/>
        <v>68082</v>
      </c>
      <c r="Q74" s="244">
        <f t="shared" si="8"/>
        <v>12112</v>
      </c>
      <c r="R74" s="244">
        <f t="shared" si="8"/>
        <v>49153.00000000001</v>
      </c>
      <c r="S74" s="244">
        <f t="shared" si="8"/>
        <v>1071</v>
      </c>
      <c r="T74" s="244">
        <f t="shared" si="8"/>
        <v>561</v>
      </c>
      <c r="U74" s="244">
        <f t="shared" si="8"/>
        <v>0</v>
      </c>
      <c r="V74" s="245">
        <f t="shared" si="8"/>
        <v>0</v>
      </c>
      <c r="W74" s="246">
        <f t="shared" si="8"/>
        <v>230859.00000000003</v>
      </c>
    </row>
    <row r="75" spans="1:23" ht="24.75" customHeight="1" hidden="1" thickTop="1">
      <c r="A75" s="47"/>
      <c r="B75" s="37"/>
      <c r="C75" s="4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9"/>
      <c r="W75" s="240">
        <f t="shared" si="0"/>
        <v>0</v>
      </c>
    </row>
    <row r="76" spans="1:23" ht="24.75" customHeight="1" hidden="1">
      <c r="A76" s="47"/>
      <c r="B76" s="37"/>
      <c r="C76" s="4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9"/>
      <c r="W76" s="240">
        <f t="shared" si="0"/>
        <v>0</v>
      </c>
    </row>
    <row r="77" spans="1:23" ht="24.75" customHeight="1" hidden="1">
      <c r="A77" s="47"/>
      <c r="B77" s="38"/>
      <c r="C77" s="4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9"/>
      <c r="W77" s="240">
        <f t="shared" si="0"/>
        <v>0</v>
      </c>
    </row>
    <row r="78" spans="1:23" ht="24.75" customHeight="1" hidden="1">
      <c r="A78" s="47"/>
      <c r="B78" s="38"/>
      <c r="C78" s="4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9"/>
      <c r="W78" s="240">
        <f t="shared" si="0"/>
        <v>0</v>
      </c>
    </row>
    <row r="79" spans="1:23" ht="24.75" customHeight="1" hidden="1">
      <c r="A79" s="47"/>
      <c r="B79" s="38"/>
      <c r="C79" s="4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9"/>
      <c r="W79" s="240">
        <f t="shared" si="0"/>
        <v>0</v>
      </c>
    </row>
    <row r="80" spans="1:23" ht="24.75" customHeight="1" hidden="1">
      <c r="A80" s="47"/>
      <c r="B80" s="38"/>
      <c r="C80" s="4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9"/>
      <c r="W80" s="240">
        <f t="shared" si="0"/>
        <v>0</v>
      </c>
    </row>
    <row r="81" spans="1:23" ht="24.75" customHeight="1" hidden="1">
      <c r="A81" s="47"/>
      <c r="B81" s="38"/>
      <c r="C81" s="4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9"/>
      <c r="W81" s="240">
        <f t="shared" si="0"/>
        <v>0</v>
      </c>
    </row>
    <row r="82" spans="1:23" ht="24.75" customHeight="1" hidden="1">
      <c r="A82" s="47"/>
      <c r="B82" s="37"/>
      <c r="C82" s="4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9"/>
      <c r="W82" s="240">
        <f t="shared" si="0"/>
        <v>0</v>
      </c>
    </row>
    <row r="83" spans="1:23" ht="24.75" customHeight="1" hidden="1">
      <c r="A83" s="47"/>
      <c r="B83" s="37"/>
      <c r="C83" s="4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9"/>
      <c r="W83" s="240">
        <f t="shared" si="0"/>
        <v>0</v>
      </c>
    </row>
    <row r="84" spans="1:23" ht="24.75" customHeight="1" hidden="1">
      <c r="A84" s="47"/>
      <c r="B84" s="37"/>
      <c r="C84" s="4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9"/>
      <c r="W84" s="240">
        <f t="shared" si="0"/>
        <v>0</v>
      </c>
    </row>
    <row r="85" spans="1:23" ht="24.75" customHeight="1" hidden="1" thickBot="1">
      <c r="A85" s="47"/>
      <c r="B85" s="38"/>
      <c r="C85" s="40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9"/>
      <c r="W85" s="240"/>
    </row>
    <row r="86" spans="1:23" ht="24.75" customHeight="1" hidden="1" thickBot="1" thickTop="1">
      <c r="A86" s="49"/>
      <c r="B86" s="128" t="s">
        <v>146</v>
      </c>
      <c r="C86" s="51" t="s">
        <v>65</v>
      </c>
      <c r="D86" s="244">
        <f aca="true" t="shared" si="9" ref="D86:O86">SUM(D75:D78)</f>
        <v>0</v>
      </c>
      <c r="E86" s="244">
        <f t="shared" si="9"/>
        <v>0</v>
      </c>
      <c r="F86" s="244">
        <f t="shared" si="9"/>
        <v>0</v>
      </c>
      <c r="G86" s="244">
        <f t="shared" si="9"/>
        <v>0</v>
      </c>
      <c r="H86" s="244">
        <f t="shared" si="9"/>
        <v>0</v>
      </c>
      <c r="I86" s="244">
        <f t="shared" si="9"/>
        <v>0</v>
      </c>
      <c r="J86" s="244">
        <f t="shared" si="9"/>
        <v>0</v>
      </c>
      <c r="K86" s="244">
        <f t="shared" si="9"/>
        <v>0</v>
      </c>
      <c r="L86" s="244">
        <f t="shared" si="9"/>
        <v>0</v>
      </c>
      <c r="M86" s="244">
        <f t="shared" si="9"/>
        <v>0</v>
      </c>
      <c r="N86" s="244">
        <f t="shared" si="9"/>
        <v>0</v>
      </c>
      <c r="O86" s="244">
        <f t="shared" si="9"/>
        <v>0</v>
      </c>
      <c r="P86" s="244">
        <f>SUM(P75:P78)</f>
        <v>0</v>
      </c>
      <c r="Q86" s="244">
        <f aca="true" t="shared" si="10" ref="Q86:W86">SUM(Q75:Q78)</f>
        <v>0</v>
      </c>
      <c r="R86" s="244">
        <f t="shared" si="10"/>
        <v>0</v>
      </c>
      <c r="S86" s="244">
        <f t="shared" si="10"/>
        <v>0</v>
      </c>
      <c r="T86" s="244">
        <f t="shared" si="10"/>
        <v>0</v>
      </c>
      <c r="U86" s="244">
        <f t="shared" si="10"/>
        <v>0</v>
      </c>
      <c r="V86" s="245">
        <f t="shared" si="10"/>
        <v>0</v>
      </c>
      <c r="W86" s="246">
        <f t="shared" si="10"/>
        <v>0</v>
      </c>
    </row>
    <row r="87" spans="1:23" ht="24.75" customHeight="1" thickBot="1" thickTop="1">
      <c r="A87" s="49"/>
      <c r="B87" s="127" t="s">
        <v>67</v>
      </c>
      <c r="C87" s="51" t="s">
        <v>66</v>
      </c>
      <c r="D87" s="245">
        <f aca="true" t="shared" si="11" ref="D87:W87">D34+D74+D86</f>
        <v>206721</v>
      </c>
      <c r="E87" s="245">
        <f t="shared" si="11"/>
        <v>1314197</v>
      </c>
      <c r="F87" s="245">
        <f t="shared" si="11"/>
        <v>435540</v>
      </c>
      <c r="G87" s="245">
        <f t="shared" si="11"/>
        <v>187075</v>
      </c>
      <c r="H87" s="245">
        <f t="shared" si="11"/>
        <v>6508908</v>
      </c>
      <c r="I87" s="245">
        <f t="shared" si="11"/>
        <v>1125568</v>
      </c>
      <c r="J87" s="245">
        <f t="shared" si="11"/>
        <v>425091</v>
      </c>
      <c r="K87" s="245">
        <f t="shared" si="11"/>
        <v>31845</v>
      </c>
      <c r="L87" s="245">
        <f t="shared" si="11"/>
        <v>3410793</v>
      </c>
      <c r="M87" s="245">
        <f t="shared" si="11"/>
        <v>0</v>
      </c>
      <c r="N87" s="245">
        <f t="shared" si="11"/>
        <v>1324402</v>
      </c>
      <c r="O87" s="245">
        <f t="shared" si="11"/>
        <v>767042</v>
      </c>
      <c r="P87" s="245">
        <f t="shared" si="11"/>
        <v>163593</v>
      </c>
      <c r="Q87" s="245">
        <f t="shared" si="11"/>
        <v>12440</v>
      </c>
      <c r="R87" s="245">
        <f t="shared" si="11"/>
        <v>49153.00000000001</v>
      </c>
      <c r="S87" s="245">
        <f t="shared" si="11"/>
        <v>1071</v>
      </c>
      <c r="T87" s="245">
        <f t="shared" si="11"/>
        <v>34561</v>
      </c>
      <c r="U87" s="245">
        <f t="shared" si="11"/>
        <v>0</v>
      </c>
      <c r="V87" s="245">
        <f t="shared" si="11"/>
        <v>3572697</v>
      </c>
      <c r="W87" s="246">
        <f t="shared" si="11"/>
        <v>19570697</v>
      </c>
    </row>
    <row r="88" spans="1:23" ht="24.75" customHeight="1" hidden="1">
      <c r="A88" s="259"/>
      <c r="B88" s="260"/>
      <c r="C88" s="266" t="s">
        <v>64</v>
      </c>
      <c r="D88" s="264">
        <v>112022</v>
      </c>
      <c r="E88" s="264">
        <v>562064</v>
      </c>
      <c r="F88" s="264">
        <v>346830</v>
      </c>
      <c r="G88" s="264">
        <v>376478</v>
      </c>
      <c r="H88" s="264">
        <v>6139250</v>
      </c>
      <c r="I88" s="264">
        <v>1011850</v>
      </c>
      <c r="J88" s="264">
        <v>561400</v>
      </c>
      <c r="K88" s="264">
        <v>85100</v>
      </c>
      <c r="L88" s="264">
        <v>3657882</v>
      </c>
      <c r="M88" s="264">
        <v>0</v>
      </c>
      <c r="N88" s="264">
        <v>8930412</v>
      </c>
      <c r="O88" s="264">
        <v>98713</v>
      </c>
      <c r="P88" s="264">
        <v>323338</v>
      </c>
      <c r="Q88" s="264">
        <v>3485</v>
      </c>
      <c r="R88" s="264">
        <v>753009</v>
      </c>
      <c r="S88" s="264">
        <v>34</v>
      </c>
      <c r="T88" s="264">
        <v>31500</v>
      </c>
      <c r="U88" s="264">
        <v>0</v>
      </c>
      <c r="V88" s="267">
        <v>5438535</v>
      </c>
      <c r="W88" s="268">
        <f>SUM(D88:V88)</f>
        <v>28431902</v>
      </c>
    </row>
    <row r="89" spans="1:24" ht="24.75" customHeight="1" hidden="1">
      <c r="A89" s="47">
        <v>1</v>
      </c>
      <c r="B89" s="141"/>
      <c r="C89" s="34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9"/>
      <c r="W89" s="240">
        <f aca="true" t="shared" si="12" ref="W89:W124">SUM(D89:V89)</f>
        <v>0</v>
      </c>
      <c r="X89" s="35"/>
    </row>
    <row r="90" spans="1:24" ht="33" customHeight="1" hidden="1">
      <c r="A90" s="47">
        <v>2</v>
      </c>
      <c r="B90" s="36"/>
      <c r="C90" s="34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9"/>
      <c r="W90" s="240">
        <f t="shared" si="12"/>
        <v>0</v>
      </c>
      <c r="X90" s="35"/>
    </row>
    <row r="91" spans="1:24" ht="33" customHeight="1" hidden="1">
      <c r="A91" s="47">
        <v>3</v>
      </c>
      <c r="B91" s="36"/>
      <c r="C91" s="34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9"/>
      <c r="W91" s="240">
        <f t="shared" si="12"/>
        <v>0</v>
      </c>
      <c r="X91" s="35"/>
    </row>
    <row r="92" spans="1:23" ht="24.75" customHeight="1" hidden="1">
      <c r="A92" s="47">
        <v>4</v>
      </c>
      <c r="B92" s="36"/>
      <c r="C92" s="34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9"/>
      <c r="W92" s="240">
        <f t="shared" si="12"/>
        <v>0</v>
      </c>
    </row>
    <row r="93" spans="1:23" ht="24.75" customHeight="1" hidden="1">
      <c r="A93" s="47">
        <v>5</v>
      </c>
      <c r="B93" s="52"/>
      <c r="C93" s="39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9"/>
      <c r="W93" s="240">
        <f t="shared" si="12"/>
        <v>0</v>
      </c>
    </row>
    <row r="94" spans="1:23" ht="24.75" customHeight="1" hidden="1">
      <c r="A94" s="47">
        <v>6</v>
      </c>
      <c r="B94" s="36"/>
      <c r="C94" s="34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9"/>
      <c r="W94" s="240">
        <f t="shared" si="12"/>
        <v>0</v>
      </c>
    </row>
    <row r="95" spans="1:23" ht="24.75" customHeight="1" hidden="1">
      <c r="A95" s="47">
        <v>7</v>
      </c>
      <c r="B95" s="36"/>
      <c r="C95" s="34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9"/>
      <c r="W95" s="240">
        <f t="shared" si="12"/>
        <v>0</v>
      </c>
    </row>
    <row r="96" spans="1:23" ht="24.75" customHeight="1" hidden="1">
      <c r="A96" s="47">
        <v>8</v>
      </c>
      <c r="B96" s="36"/>
      <c r="C96" s="34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9"/>
      <c r="W96" s="240">
        <f t="shared" si="12"/>
        <v>0</v>
      </c>
    </row>
    <row r="97" spans="1:23" ht="24.75" customHeight="1" hidden="1">
      <c r="A97" s="47">
        <v>9</v>
      </c>
      <c r="B97" s="52"/>
      <c r="C97" s="39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9"/>
      <c r="W97" s="240">
        <f t="shared" si="12"/>
        <v>0</v>
      </c>
    </row>
    <row r="98" spans="1:23" ht="24.75" customHeight="1" hidden="1">
      <c r="A98" s="47">
        <v>10</v>
      </c>
      <c r="B98" s="52"/>
      <c r="C98" s="34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9"/>
      <c r="W98" s="240">
        <f t="shared" si="12"/>
        <v>0</v>
      </c>
    </row>
    <row r="99" spans="1:23" ht="24.75" customHeight="1" hidden="1">
      <c r="A99" s="47">
        <v>11</v>
      </c>
      <c r="B99" s="38"/>
      <c r="C99" s="40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9"/>
      <c r="W99" s="240">
        <f t="shared" si="12"/>
        <v>0</v>
      </c>
    </row>
    <row r="100" spans="1:23" ht="24.75" customHeight="1" hidden="1">
      <c r="A100" s="47">
        <v>12</v>
      </c>
      <c r="B100" s="37"/>
      <c r="C100" s="34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9"/>
      <c r="W100" s="240">
        <f t="shared" si="12"/>
        <v>0</v>
      </c>
    </row>
    <row r="101" spans="1:23" ht="24.75" customHeight="1" hidden="1">
      <c r="A101" s="47">
        <v>13</v>
      </c>
      <c r="B101" s="37"/>
      <c r="C101" s="34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9"/>
      <c r="W101" s="240">
        <f t="shared" si="12"/>
        <v>0</v>
      </c>
    </row>
    <row r="102" spans="1:23" ht="24.75" customHeight="1" hidden="1">
      <c r="A102" s="47">
        <v>14</v>
      </c>
      <c r="B102" s="37"/>
      <c r="C102" s="4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9"/>
      <c r="W102" s="240">
        <f t="shared" si="12"/>
        <v>0</v>
      </c>
    </row>
    <row r="103" spans="1:23" ht="24.75" customHeight="1" hidden="1">
      <c r="A103" s="47">
        <v>15</v>
      </c>
      <c r="B103" s="38"/>
      <c r="C103" s="40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9"/>
      <c r="W103" s="240">
        <f t="shared" si="12"/>
        <v>0</v>
      </c>
    </row>
    <row r="104" spans="1:23" ht="24.75" customHeight="1" hidden="1">
      <c r="A104" s="47">
        <v>16</v>
      </c>
      <c r="B104" s="96"/>
      <c r="C104" s="4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9"/>
      <c r="W104" s="240">
        <f t="shared" si="12"/>
        <v>0</v>
      </c>
    </row>
    <row r="105" spans="1:23" ht="24.75" customHeight="1" hidden="1">
      <c r="A105" s="47">
        <v>17</v>
      </c>
      <c r="B105" s="37"/>
      <c r="C105" s="4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9"/>
      <c r="W105" s="240">
        <f t="shared" si="12"/>
        <v>0</v>
      </c>
    </row>
    <row r="106" spans="1:23" ht="24.75" customHeight="1" hidden="1">
      <c r="A106" s="47">
        <v>18</v>
      </c>
      <c r="B106" s="38"/>
      <c r="C106" s="4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9"/>
      <c r="W106" s="240">
        <f t="shared" si="12"/>
        <v>0</v>
      </c>
    </row>
    <row r="107" spans="1:23" ht="24.75" customHeight="1" hidden="1">
      <c r="A107" s="47">
        <v>19</v>
      </c>
      <c r="B107" s="38"/>
      <c r="C107" s="4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9"/>
      <c r="W107" s="240">
        <f t="shared" si="12"/>
        <v>0</v>
      </c>
    </row>
    <row r="108" spans="1:23" ht="24.75" customHeight="1" hidden="1">
      <c r="A108" s="47">
        <v>20</v>
      </c>
      <c r="B108" s="151"/>
      <c r="C108" s="4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9"/>
      <c r="W108" s="240">
        <f t="shared" si="12"/>
        <v>0</v>
      </c>
    </row>
    <row r="109" spans="1:23" ht="24.75" customHeight="1" hidden="1">
      <c r="A109" s="47">
        <v>21</v>
      </c>
      <c r="B109" s="151"/>
      <c r="C109" s="4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9"/>
      <c r="W109" s="240">
        <f t="shared" si="12"/>
        <v>0</v>
      </c>
    </row>
    <row r="110" spans="1:23" ht="24.75" customHeight="1" hidden="1">
      <c r="A110" s="47">
        <v>22</v>
      </c>
      <c r="B110" s="151"/>
      <c r="C110" s="4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9"/>
      <c r="W110" s="240">
        <f t="shared" si="12"/>
        <v>0</v>
      </c>
    </row>
    <row r="111" spans="1:23" ht="24.75" customHeight="1" hidden="1">
      <c r="A111" s="47">
        <v>23</v>
      </c>
      <c r="B111" s="151"/>
      <c r="C111" s="48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9"/>
      <c r="W111" s="240">
        <f t="shared" si="12"/>
        <v>0</v>
      </c>
    </row>
    <row r="112" spans="1:23" ht="24.75" customHeight="1" hidden="1">
      <c r="A112" s="47">
        <v>24</v>
      </c>
      <c r="B112" s="151"/>
      <c r="C112" s="48"/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9"/>
      <c r="W112" s="240">
        <f t="shared" si="12"/>
        <v>0</v>
      </c>
    </row>
    <row r="113" spans="1:23" ht="24.75" customHeight="1" hidden="1">
      <c r="A113" s="47">
        <v>25</v>
      </c>
      <c r="B113" s="151"/>
      <c r="C113" s="4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9"/>
      <c r="W113" s="240">
        <f t="shared" si="12"/>
        <v>0</v>
      </c>
    </row>
    <row r="114" spans="1:23" ht="24.75" customHeight="1" hidden="1">
      <c r="A114" s="47">
        <v>26</v>
      </c>
      <c r="B114" s="151"/>
      <c r="C114" s="4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9"/>
      <c r="W114" s="240">
        <f t="shared" si="12"/>
        <v>0</v>
      </c>
    </row>
    <row r="115" spans="1:23" ht="24.75" customHeight="1" hidden="1">
      <c r="A115" s="47">
        <v>27</v>
      </c>
      <c r="B115" s="151"/>
      <c r="C115" s="4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9"/>
      <c r="W115" s="240">
        <f t="shared" si="12"/>
        <v>0</v>
      </c>
    </row>
    <row r="116" spans="1:23" ht="24.75" customHeight="1" hidden="1">
      <c r="A116" s="47">
        <v>28</v>
      </c>
      <c r="B116" s="151"/>
      <c r="C116" s="4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9"/>
      <c r="W116" s="240">
        <f t="shared" si="12"/>
        <v>0</v>
      </c>
    </row>
    <row r="117" spans="1:23" ht="24.75" customHeight="1" hidden="1">
      <c r="A117" s="47">
        <v>29</v>
      </c>
      <c r="B117" s="151"/>
      <c r="C117" s="4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9"/>
      <c r="W117" s="240">
        <f t="shared" si="12"/>
        <v>0</v>
      </c>
    </row>
    <row r="118" spans="1:23" ht="24.75" customHeight="1" hidden="1">
      <c r="A118" s="47">
        <v>30</v>
      </c>
      <c r="B118" s="151"/>
      <c r="C118" s="4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9"/>
      <c r="W118" s="240">
        <f t="shared" si="12"/>
        <v>0</v>
      </c>
    </row>
    <row r="119" spans="1:23" ht="24.75" customHeight="1" hidden="1">
      <c r="A119" s="47">
        <v>31</v>
      </c>
      <c r="B119" s="151"/>
      <c r="C119" s="4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9"/>
      <c r="W119" s="240">
        <f t="shared" si="12"/>
        <v>0</v>
      </c>
    </row>
    <row r="120" spans="1:23" ht="24.75" customHeight="1" hidden="1">
      <c r="A120" s="47">
        <v>32</v>
      </c>
      <c r="B120" s="151"/>
      <c r="C120" s="4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9"/>
      <c r="W120" s="240">
        <f t="shared" si="12"/>
        <v>0</v>
      </c>
    </row>
    <row r="121" spans="1:23" ht="24.75" customHeight="1" hidden="1">
      <c r="A121" s="47">
        <v>33</v>
      </c>
      <c r="B121" s="151"/>
      <c r="C121" s="4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9"/>
      <c r="W121" s="240">
        <f t="shared" si="12"/>
        <v>0</v>
      </c>
    </row>
    <row r="122" spans="1:23" ht="24.75" customHeight="1" hidden="1">
      <c r="A122" s="47">
        <v>34</v>
      </c>
      <c r="B122" s="151"/>
      <c r="C122" s="4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9"/>
      <c r="W122" s="240">
        <f>SUM(D122:V122)</f>
        <v>0</v>
      </c>
    </row>
    <row r="123" spans="1:23" ht="24.75" customHeight="1" hidden="1">
      <c r="A123" s="47">
        <v>35</v>
      </c>
      <c r="B123" s="151"/>
      <c r="C123" s="4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9"/>
      <c r="W123" s="240">
        <f t="shared" si="12"/>
        <v>0</v>
      </c>
    </row>
    <row r="124" spans="1:23" ht="24.75" customHeight="1" hidden="1">
      <c r="A124" s="47">
        <v>36</v>
      </c>
      <c r="B124" s="151"/>
      <c r="C124" s="4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9"/>
      <c r="W124" s="240">
        <f t="shared" si="12"/>
        <v>0</v>
      </c>
    </row>
    <row r="125" spans="1:23" ht="24.75" customHeight="1" hidden="1" thickBot="1">
      <c r="A125" s="47"/>
      <c r="B125" s="38"/>
      <c r="C125" s="40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9"/>
      <c r="W125" s="240"/>
    </row>
    <row r="126" spans="1:26" ht="24.75" customHeight="1" hidden="1" thickBot="1" thickTop="1">
      <c r="A126" s="53"/>
      <c r="B126" s="154" t="s">
        <v>150</v>
      </c>
      <c r="C126" s="51" t="s">
        <v>65</v>
      </c>
      <c r="D126" s="244">
        <f aca="true" t="shared" si="13" ref="D126:V126">SUM(D89:D125)</f>
        <v>0</v>
      </c>
      <c r="E126" s="244">
        <f t="shared" si="13"/>
        <v>0</v>
      </c>
      <c r="F126" s="244">
        <f t="shared" si="13"/>
        <v>0</v>
      </c>
      <c r="G126" s="244">
        <f t="shared" si="13"/>
        <v>0</v>
      </c>
      <c r="H126" s="244">
        <f t="shared" si="13"/>
        <v>0</v>
      </c>
      <c r="I126" s="244">
        <f t="shared" si="13"/>
        <v>0</v>
      </c>
      <c r="J126" s="244">
        <f t="shared" si="13"/>
        <v>0</v>
      </c>
      <c r="K126" s="244">
        <f t="shared" si="13"/>
        <v>0</v>
      </c>
      <c r="L126" s="244">
        <f t="shared" si="13"/>
        <v>0</v>
      </c>
      <c r="M126" s="244">
        <f t="shared" si="13"/>
        <v>0</v>
      </c>
      <c r="N126" s="244">
        <f t="shared" si="13"/>
        <v>0</v>
      </c>
      <c r="O126" s="244">
        <f t="shared" si="13"/>
        <v>0</v>
      </c>
      <c r="P126" s="244">
        <f t="shared" si="13"/>
        <v>0</v>
      </c>
      <c r="Q126" s="244">
        <f t="shared" si="13"/>
        <v>0</v>
      </c>
      <c r="R126" s="244">
        <f t="shared" si="13"/>
        <v>0</v>
      </c>
      <c r="S126" s="244">
        <f t="shared" si="13"/>
        <v>0</v>
      </c>
      <c r="T126" s="244">
        <f t="shared" si="13"/>
        <v>0</v>
      </c>
      <c r="U126" s="244">
        <f t="shared" si="13"/>
        <v>0</v>
      </c>
      <c r="V126" s="244">
        <f t="shared" si="13"/>
        <v>0</v>
      </c>
      <c r="W126" s="246">
        <f>SUM(D126:V126)</f>
        <v>0</v>
      </c>
      <c r="X126" s="155"/>
      <c r="Y126" s="2" t="s">
        <v>147</v>
      </c>
      <c r="Z126" s="2" t="s">
        <v>148</v>
      </c>
    </row>
    <row r="127" spans="1:27" ht="24.75" customHeight="1" hidden="1" thickBot="1" thickTop="1">
      <c r="A127" s="49"/>
      <c r="B127" s="50" t="s">
        <v>68</v>
      </c>
      <c r="C127" s="51" t="s">
        <v>66</v>
      </c>
      <c r="D127" s="244">
        <f aca="true" t="shared" si="14" ref="D127:L127">D87+D126</f>
        <v>206721</v>
      </c>
      <c r="E127" s="244">
        <f t="shared" si="14"/>
        <v>1314197</v>
      </c>
      <c r="F127" s="244">
        <f t="shared" si="14"/>
        <v>435540</v>
      </c>
      <c r="G127" s="244">
        <f t="shared" si="14"/>
        <v>187075</v>
      </c>
      <c r="H127" s="244">
        <f t="shared" si="14"/>
        <v>6508908</v>
      </c>
      <c r="I127" s="244">
        <f t="shared" si="14"/>
        <v>1125568</v>
      </c>
      <c r="J127" s="244">
        <f t="shared" si="14"/>
        <v>425091</v>
      </c>
      <c r="K127" s="244">
        <f t="shared" si="14"/>
        <v>31845</v>
      </c>
      <c r="L127" s="244">
        <f t="shared" si="14"/>
        <v>3410793</v>
      </c>
      <c r="M127" s="244">
        <f aca="true" t="shared" si="15" ref="M127:V127">M87+M126</f>
        <v>0</v>
      </c>
      <c r="N127" s="244">
        <f t="shared" si="15"/>
        <v>1324402</v>
      </c>
      <c r="O127" s="244">
        <f t="shared" si="15"/>
        <v>767042</v>
      </c>
      <c r="P127" s="244">
        <f t="shared" si="15"/>
        <v>163593</v>
      </c>
      <c r="Q127" s="244">
        <f t="shared" si="15"/>
        <v>12440</v>
      </c>
      <c r="R127" s="244">
        <f t="shared" si="15"/>
        <v>49153.00000000001</v>
      </c>
      <c r="S127" s="244">
        <f t="shared" si="15"/>
        <v>1071</v>
      </c>
      <c r="T127" s="244">
        <f t="shared" si="15"/>
        <v>34561</v>
      </c>
      <c r="U127" s="244">
        <f t="shared" si="15"/>
        <v>0</v>
      </c>
      <c r="V127" s="244">
        <f t="shared" si="15"/>
        <v>3572697</v>
      </c>
      <c r="W127" s="246">
        <f>SUM(D127:V127)</f>
        <v>19570697</v>
      </c>
      <c r="X127" s="155">
        <f>Y127-Z127-W127</f>
        <v>9098237</v>
      </c>
      <c r="Y127" s="35">
        <v>30811210</v>
      </c>
      <c r="Z127" s="35">
        <v>2142276</v>
      </c>
      <c r="AA127" s="35"/>
    </row>
    <row r="128" spans="1:23" ht="24.75" customHeight="1" hidden="1" thickTop="1">
      <c r="A128" s="47"/>
      <c r="B128" s="55" t="s">
        <v>69</v>
      </c>
      <c r="C128" s="56" t="s">
        <v>70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25"/>
      <c r="W128" s="240">
        <f aca="true" t="shared" si="16" ref="W128:W135">SUM(D128:V128)</f>
        <v>0</v>
      </c>
    </row>
    <row r="129" spans="1:23" ht="24.75" customHeight="1" hidden="1">
      <c r="A129" s="47"/>
      <c r="B129" s="55" t="s">
        <v>71</v>
      </c>
      <c r="C129" s="56" t="s">
        <v>70</v>
      </c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25"/>
      <c r="W129" s="240">
        <f t="shared" si="16"/>
        <v>0</v>
      </c>
    </row>
    <row r="130" spans="1:23" ht="24.75" customHeight="1" hidden="1">
      <c r="A130" s="47"/>
      <c r="B130" s="55" t="s">
        <v>151</v>
      </c>
      <c r="C130" s="56" t="s">
        <v>70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25"/>
      <c r="W130" s="240">
        <f t="shared" si="16"/>
        <v>0</v>
      </c>
    </row>
    <row r="131" spans="1:23" ht="24.75" customHeight="1" hidden="1">
      <c r="A131" s="47"/>
      <c r="B131" s="55" t="s">
        <v>72</v>
      </c>
      <c r="C131" s="56" t="s">
        <v>70</v>
      </c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25"/>
      <c r="W131" s="240">
        <f t="shared" si="16"/>
        <v>0</v>
      </c>
    </row>
    <row r="132" spans="1:23" ht="24.75" customHeight="1" hidden="1">
      <c r="A132" s="47"/>
      <c r="B132" s="55" t="s">
        <v>78</v>
      </c>
      <c r="C132" s="56" t="s">
        <v>70</v>
      </c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25"/>
      <c r="W132" s="240">
        <f t="shared" si="16"/>
        <v>0</v>
      </c>
    </row>
    <row r="133" spans="1:23" ht="24.75" customHeight="1" hidden="1">
      <c r="A133" s="47"/>
      <c r="B133" s="55" t="s">
        <v>79</v>
      </c>
      <c r="C133" s="56" t="s">
        <v>70</v>
      </c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25"/>
      <c r="W133" s="240">
        <f t="shared" si="16"/>
        <v>0</v>
      </c>
    </row>
    <row r="134" spans="1:23" ht="24.75" customHeight="1" hidden="1" thickBot="1">
      <c r="A134" s="47"/>
      <c r="B134" s="55"/>
      <c r="C134" s="56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25"/>
      <c r="W134" s="240">
        <f t="shared" si="16"/>
        <v>0</v>
      </c>
    </row>
    <row r="135" spans="1:23" ht="24.75" customHeight="1" hidden="1" thickBot="1" thickTop="1">
      <c r="A135" s="54"/>
      <c r="B135" s="50"/>
      <c r="C135" s="51" t="s">
        <v>80</v>
      </c>
      <c r="D135" s="227">
        <f aca="true" t="shared" si="17" ref="D135:V135">SUM(D128:D134)</f>
        <v>0</v>
      </c>
      <c r="E135" s="227">
        <f t="shared" si="17"/>
        <v>0</v>
      </c>
      <c r="F135" s="227">
        <f t="shared" si="17"/>
        <v>0</v>
      </c>
      <c r="G135" s="227">
        <f t="shared" si="17"/>
        <v>0</v>
      </c>
      <c r="H135" s="227">
        <f t="shared" si="17"/>
        <v>0</v>
      </c>
      <c r="I135" s="227">
        <f t="shared" si="17"/>
        <v>0</v>
      </c>
      <c r="J135" s="227">
        <f t="shared" si="17"/>
        <v>0</v>
      </c>
      <c r="K135" s="227">
        <f t="shared" si="17"/>
        <v>0</v>
      </c>
      <c r="L135" s="227">
        <f t="shared" si="17"/>
        <v>0</v>
      </c>
      <c r="M135" s="227">
        <f t="shared" si="17"/>
        <v>0</v>
      </c>
      <c r="N135" s="227">
        <f t="shared" si="17"/>
        <v>0</v>
      </c>
      <c r="O135" s="227">
        <f t="shared" si="17"/>
        <v>0</v>
      </c>
      <c r="P135" s="227">
        <f t="shared" si="17"/>
        <v>0</v>
      </c>
      <c r="Q135" s="227">
        <f t="shared" si="17"/>
        <v>0</v>
      </c>
      <c r="R135" s="227">
        <f t="shared" si="17"/>
        <v>0</v>
      </c>
      <c r="S135" s="227">
        <f t="shared" si="17"/>
        <v>0</v>
      </c>
      <c r="T135" s="227">
        <f t="shared" si="17"/>
        <v>0</v>
      </c>
      <c r="U135" s="227">
        <f t="shared" si="17"/>
        <v>0</v>
      </c>
      <c r="V135" s="227">
        <f t="shared" si="17"/>
        <v>0</v>
      </c>
      <c r="W135" s="247">
        <f t="shared" si="16"/>
        <v>0</v>
      </c>
    </row>
    <row r="136" spans="1:27" ht="24.75" customHeight="1" hidden="1" thickBot="1" thickTop="1">
      <c r="A136" s="104"/>
      <c r="B136" s="104" t="s">
        <v>149</v>
      </c>
      <c r="C136" s="51" t="s">
        <v>66</v>
      </c>
      <c r="D136" s="244">
        <f aca="true" t="shared" si="18" ref="D136:W136">D127+D135</f>
        <v>206721</v>
      </c>
      <c r="E136" s="244">
        <f t="shared" si="18"/>
        <v>1314197</v>
      </c>
      <c r="F136" s="244">
        <f t="shared" si="18"/>
        <v>435540</v>
      </c>
      <c r="G136" s="244">
        <f t="shared" si="18"/>
        <v>187075</v>
      </c>
      <c r="H136" s="244">
        <f t="shared" si="18"/>
        <v>6508908</v>
      </c>
      <c r="I136" s="244">
        <f t="shared" si="18"/>
        <v>1125568</v>
      </c>
      <c r="J136" s="244">
        <f t="shared" si="18"/>
        <v>425091</v>
      </c>
      <c r="K136" s="244">
        <f t="shared" si="18"/>
        <v>31845</v>
      </c>
      <c r="L136" s="244">
        <f t="shared" si="18"/>
        <v>3410793</v>
      </c>
      <c r="M136" s="244">
        <f t="shared" si="18"/>
        <v>0</v>
      </c>
      <c r="N136" s="244">
        <f t="shared" si="18"/>
        <v>1324402</v>
      </c>
      <c r="O136" s="244">
        <f t="shared" si="18"/>
        <v>767042</v>
      </c>
      <c r="P136" s="244">
        <f t="shared" si="18"/>
        <v>163593</v>
      </c>
      <c r="Q136" s="244">
        <f t="shared" si="18"/>
        <v>12440</v>
      </c>
      <c r="R136" s="244">
        <f t="shared" si="18"/>
        <v>49153.00000000001</v>
      </c>
      <c r="S136" s="244">
        <f t="shared" si="18"/>
        <v>1071</v>
      </c>
      <c r="T136" s="244">
        <f t="shared" si="18"/>
        <v>34561</v>
      </c>
      <c r="U136" s="244">
        <f t="shared" si="18"/>
        <v>0</v>
      </c>
      <c r="V136" s="244">
        <f t="shared" si="18"/>
        <v>3572697</v>
      </c>
      <c r="W136" s="244">
        <f t="shared" si="18"/>
        <v>19570697</v>
      </c>
      <c r="X136" s="155">
        <f>Y136-Z136-W136</f>
        <v>7747000</v>
      </c>
      <c r="Y136" s="2">
        <v>29522757</v>
      </c>
      <c r="Z136" s="2">
        <v>2205060</v>
      </c>
      <c r="AA136" s="35"/>
    </row>
    <row r="137" spans="1:23" ht="24.75" customHeight="1" hidden="1" thickTop="1">
      <c r="A137" s="47"/>
      <c r="B137" s="57"/>
      <c r="C137" s="39"/>
      <c r="D137" s="248"/>
      <c r="E137" s="238"/>
      <c r="F137" s="238"/>
      <c r="G137" s="238"/>
      <c r="H137" s="249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9"/>
      <c r="W137" s="240"/>
    </row>
    <row r="138" spans="1:23" ht="24.75" customHeight="1" hidden="1">
      <c r="A138" s="47"/>
      <c r="B138" s="57"/>
      <c r="C138" s="39"/>
      <c r="D138" s="248"/>
      <c r="E138" s="238"/>
      <c r="F138" s="238"/>
      <c r="G138" s="238"/>
      <c r="H138" s="249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9"/>
      <c r="W138" s="240"/>
    </row>
    <row r="139" spans="1:23" ht="24.75" customHeight="1" hidden="1">
      <c r="A139" s="47"/>
      <c r="B139" s="57"/>
      <c r="C139" s="39"/>
      <c r="D139" s="248"/>
      <c r="E139" s="238"/>
      <c r="F139" s="238"/>
      <c r="G139" s="238"/>
      <c r="H139" s="249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9"/>
      <c r="W139" s="240"/>
    </row>
    <row r="140" spans="1:23" ht="24.75" customHeight="1" hidden="1">
      <c r="A140" s="47"/>
      <c r="B140" s="57"/>
      <c r="C140" s="39"/>
      <c r="D140" s="248"/>
      <c r="E140" s="238"/>
      <c r="F140" s="238"/>
      <c r="G140" s="238"/>
      <c r="H140" s="249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9"/>
      <c r="W140" s="240"/>
    </row>
    <row r="141" spans="1:23" ht="24.75" customHeight="1" hidden="1">
      <c r="A141" s="47"/>
      <c r="B141" s="57"/>
      <c r="C141" s="39"/>
      <c r="D141" s="248"/>
      <c r="E141" s="238"/>
      <c r="F141" s="238"/>
      <c r="G141" s="238"/>
      <c r="H141" s="249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9"/>
      <c r="W141" s="240"/>
    </row>
    <row r="142" spans="1:23" ht="24.75" customHeight="1" hidden="1" thickBot="1">
      <c r="A142" s="47"/>
      <c r="B142" s="57"/>
      <c r="C142" s="46"/>
      <c r="D142" s="248"/>
      <c r="E142" s="238"/>
      <c r="F142" s="238"/>
      <c r="G142" s="238"/>
      <c r="H142" s="249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9"/>
      <c r="W142" s="240"/>
    </row>
    <row r="143" spans="1:23" ht="24.75" customHeight="1" hidden="1" thickBot="1" thickTop="1">
      <c r="A143" s="54"/>
      <c r="B143" s="50"/>
      <c r="C143" s="51" t="s">
        <v>81</v>
      </c>
      <c r="D143" s="250">
        <f aca="true" t="shared" si="19" ref="D143:P143">SUM(D128:D142)</f>
        <v>206721</v>
      </c>
      <c r="E143" s="251">
        <f t="shared" si="19"/>
        <v>1314197</v>
      </c>
      <c r="F143" s="251">
        <f t="shared" si="19"/>
        <v>435540</v>
      </c>
      <c r="G143" s="251">
        <f t="shared" si="19"/>
        <v>187075</v>
      </c>
      <c r="H143" s="252">
        <f t="shared" si="19"/>
        <v>6508908</v>
      </c>
      <c r="I143" s="251">
        <f t="shared" si="19"/>
        <v>1125568</v>
      </c>
      <c r="J143" s="251">
        <f t="shared" si="19"/>
        <v>425091</v>
      </c>
      <c r="K143" s="251">
        <f t="shared" si="19"/>
        <v>31845</v>
      </c>
      <c r="L143" s="251">
        <f t="shared" si="19"/>
        <v>3410793</v>
      </c>
      <c r="M143" s="251">
        <f t="shared" si="19"/>
        <v>0</v>
      </c>
      <c r="N143" s="251">
        <f t="shared" si="19"/>
        <v>1324402</v>
      </c>
      <c r="O143" s="251">
        <f t="shared" si="19"/>
        <v>767042</v>
      </c>
      <c r="P143" s="251">
        <f t="shared" si="19"/>
        <v>163593</v>
      </c>
      <c r="Q143" s="251"/>
      <c r="R143" s="251"/>
      <c r="S143" s="251">
        <f>SUM(S128:S142)</f>
        <v>1071</v>
      </c>
      <c r="T143" s="251">
        <f>SUM(T128:T142)</f>
        <v>34561</v>
      </c>
      <c r="U143" s="251">
        <f>SUM(U128:U142)</f>
        <v>0</v>
      </c>
      <c r="V143" s="251">
        <f>SUM(V128:V142)</f>
        <v>3572697</v>
      </c>
      <c r="W143" s="253">
        <f>SUM(D143:V143)</f>
        <v>19509104</v>
      </c>
    </row>
    <row r="144" spans="1:23" ht="24.75" customHeight="1" hidden="1" thickBot="1" thickTop="1">
      <c r="A144" s="54"/>
      <c r="B144" s="50"/>
      <c r="C144" s="51" t="s">
        <v>82</v>
      </c>
      <c r="D144" s="250" t="e">
        <f>#REF!+D143</f>
        <v>#REF!</v>
      </c>
      <c r="E144" s="251" t="e">
        <f>#REF!+E143</f>
        <v>#REF!</v>
      </c>
      <c r="F144" s="251" t="e">
        <f>#REF!+F143</f>
        <v>#REF!</v>
      </c>
      <c r="G144" s="251" t="e">
        <f>#REF!+G143</f>
        <v>#REF!</v>
      </c>
      <c r="H144" s="252" t="e">
        <f>#REF!+H143</f>
        <v>#REF!</v>
      </c>
      <c r="I144" s="251" t="e">
        <f>#REF!+I143</f>
        <v>#REF!</v>
      </c>
      <c r="J144" s="251" t="e">
        <f>#REF!+J143</f>
        <v>#REF!</v>
      </c>
      <c r="K144" s="251" t="e">
        <f>#REF!+K143</f>
        <v>#REF!</v>
      </c>
      <c r="L144" s="251" t="e">
        <f>#REF!+L143</f>
        <v>#REF!</v>
      </c>
      <c r="M144" s="251" t="e">
        <f>#REF!+M143</f>
        <v>#REF!</v>
      </c>
      <c r="N144" s="251" t="e">
        <f>#REF!+N143</f>
        <v>#REF!</v>
      </c>
      <c r="O144" s="251" t="e">
        <f>#REF!+O143</f>
        <v>#REF!</v>
      </c>
      <c r="P144" s="251" t="e">
        <f>#REF!+P143</f>
        <v>#REF!</v>
      </c>
      <c r="Q144" s="251"/>
      <c r="R144" s="251"/>
      <c r="S144" s="251" t="e">
        <f>#REF!+S143</f>
        <v>#REF!</v>
      </c>
      <c r="T144" s="251" t="e">
        <f>#REF!+T143</f>
        <v>#REF!</v>
      </c>
      <c r="U144" s="251" t="e">
        <f>#REF!+U143</f>
        <v>#REF!</v>
      </c>
      <c r="V144" s="236" t="e">
        <f>#REF!+V143</f>
        <v>#REF!</v>
      </c>
      <c r="W144" s="253" t="e">
        <f>#REF!+W143</f>
        <v>#REF!</v>
      </c>
    </row>
    <row r="145" spans="1:23" ht="24.75" customHeight="1" hidden="1" thickTop="1">
      <c r="A145" s="47"/>
      <c r="B145" s="57"/>
      <c r="C145" s="5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9"/>
      <c r="W145" s="240">
        <f>SUM(D145:V145)</f>
        <v>0</v>
      </c>
    </row>
    <row r="146" spans="1:23" ht="24.75" customHeight="1" hidden="1">
      <c r="A146" s="47"/>
      <c r="B146" s="57"/>
      <c r="C146" s="5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9"/>
      <c r="W146" s="240">
        <f>SUM(D146:V146)</f>
        <v>0</v>
      </c>
    </row>
    <row r="147" spans="4:23" ht="24.75" customHeight="1" thickTop="1"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</row>
    <row r="148" spans="4:23" ht="24.75" customHeight="1"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</row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445" ht="16.5">
      <c r="I445" s="59">
        <f>-10437-1367-86-236+13-6357-200+31+71-310-1500-799-55-443-3970</f>
        <v>-25645</v>
      </c>
    </row>
  </sheetData>
  <mergeCells count="5">
    <mergeCell ref="A2:W2"/>
    <mergeCell ref="A3:W3"/>
    <mergeCell ref="D6:V6"/>
    <mergeCell ref="H7:K7"/>
    <mergeCell ref="D7:G7"/>
  </mergeCells>
  <printOptions horizontalCentered="1" verticalCentered="1"/>
  <pageMargins left="0" right="0" top="0.4" bottom="0.3937007874015748" header="0.2755905511811024" footer="0.31496062992125984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57"/>
  <sheetViews>
    <sheetView tabSelected="1" zoomScale="75" zoomScaleNormal="75" workbookViewId="0" topLeftCell="A5">
      <pane xSplit="3" ySplit="103" topLeftCell="D183" activePane="bottomRight" state="frozen"/>
      <selection pane="topLeft" activeCell="A5" sqref="A5"/>
      <selection pane="topRight" activeCell="D5" sqref="D5"/>
      <selection pane="bottomLeft" activeCell="A108" sqref="A108"/>
      <selection pane="bottomRight" activeCell="Y112" sqref="Y112"/>
    </sheetView>
  </sheetViews>
  <sheetFormatPr defaultColWidth="9.140625" defaultRowHeight="12.75"/>
  <cols>
    <col min="1" max="1" width="5.140625" style="105" customWidth="1"/>
    <col min="2" max="2" width="7.421875" style="1" hidden="1" customWidth="1"/>
    <col min="3" max="3" width="57.7109375" style="2" customWidth="1"/>
    <col min="4" max="6" width="16.7109375" style="2" customWidth="1"/>
    <col min="7" max="8" width="15.7109375" style="2" customWidth="1"/>
    <col min="9" max="10" width="13.421875" style="2" customWidth="1"/>
    <col min="11" max="11" width="15.7109375" style="2" customWidth="1"/>
    <col min="12" max="12" width="16.7109375" style="2" customWidth="1"/>
    <col min="13" max="13" width="15.7109375" style="2" customWidth="1"/>
    <col min="14" max="14" width="13.421875" style="2" customWidth="1"/>
    <col min="15" max="15" width="16.7109375" style="2" customWidth="1"/>
    <col min="16" max="18" width="15.7109375" style="2" customWidth="1"/>
    <col min="19" max="19" width="16.28125" style="2" customWidth="1"/>
    <col min="20" max="20" width="16.7109375" style="2" customWidth="1"/>
    <col min="21" max="21" width="18.28125" style="60" customWidth="1"/>
    <col min="22" max="22" width="12.28125" style="60" hidden="1" customWidth="1"/>
    <col min="23" max="23" width="13.57421875" style="60" hidden="1" customWidth="1"/>
    <col min="24" max="24" width="12.28125" style="60" customWidth="1"/>
    <col min="25" max="27" width="10.421875" style="60" customWidth="1"/>
    <col min="28" max="28" width="12.28125" style="60" customWidth="1"/>
    <col min="29" max="29" width="14.00390625" style="60" customWidth="1"/>
    <col min="30" max="30" width="12.28125" style="60" customWidth="1"/>
    <col min="31" max="32" width="10.421875" style="60" customWidth="1"/>
    <col min="33" max="33" width="12.28125" style="60" customWidth="1"/>
    <col min="34" max="34" width="9.140625" style="60" customWidth="1"/>
    <col min="35" max="36" width="10.421875" style="60" customWidth="1"/>
    <col min="37" max="37" width="12.28125" style="60" customWidth="1"/>
    <col min="38" max="38" width="12.7109375" style="60" customWidth="1"/>
    <col min="39" max="16384" width="9.140625" style="2" customWidth="1"/>
  </cols>
  <sheetData>
    <row r="1" spans="1:21" ht="16.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29.25" customHeight="1">
      <c r="A2" s="281" t="s">
        <v>212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1:21" ht="17.2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" t="s">
        <v>1</v>
      </c>
    </row>
    <row r="4" spans="1:38" ht="17.25" thickBot="1">
      <c r="A4" s="62"/>
      <c r="B4" s="8"/>
      <c r="C4" s="9"/>
      <c r="D4" s="282" t="s">
        <v>83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1:38" ht="17.25" customHeight="1" thickBot="1" thickTop="1">
      <c r="A5" s="64"/>
      <c r="B5" s="12"/>
      <c r="C5" s="13"/>
      <c r="D5" s="278" t="s">
        <v>84</v>
      </c>
      <c r="E5" s="279"/>
      <c r="F5" s="279"/>
      <c r="G5" s="279"/>
      <c r="H5" s="279"/>
      <c r="I5" s="279"/>
      <c r="J5" s="279"/>
      <c r="K5" s="280"/>
      <c r="L5" s="278" t="s">
        <v>85</v>
      </c>
      <c r="M5" s="279"/>
      <c r="N5" s="279"/>
      <c r="O5" s="279"/>
      <c r="P5" s="279"/>
      <c r="Q5" s="279"/>
      <c r="R5" s="280"/>
      <c r="S5" s="13"/>
      <c r="T5" s="65"/>
      <c r="U5" s="115" t="s">
        <v>5</v>
      </c>
      <c r="V5" s="4" t="s">
        <v>86</v>
      </c>
      <c r="W5" s="4" t="s">
        <v>153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63"/>
    </row>
    <row r="6" spans="1:38" ht="17.25" thickTop="1">
      <c r="A6" s="64" t="s">
        <v>87</v>
      </c>
      <c r="B6" s="12"/>
      <c r="C6" s="13" t="s">
        <v>6</v>
      </c>
      <c r="D6" s="66"/>
      <c r="E6" s="66"/>
      <c r="F6" s="67"/>
      <c r="G6" s="67"/>
      <c r="H6" s="67" t="s">
        <v>88</v>
      </c>
      <c r="I6" s="67" t="s">
        <v>89</v>
      </c>
      <c r="J6" s="67" t="s">
        <v>18</v>
      </c>
      <c r="K6" s="67" t="s">
        <v>19</v>
      </c>
      <c r="L6" s="67" t="s">
        <v>18</v>
      </c>
      <c r="M6" s="67" t="s">
        <v>20</v>
      </c>
      <c r="N6" s="67" t="s">
        <v>90</v>
      </c>
      <c r="O6" s="67" t="s">
        <v>91</v>
      </c>
      <c r="P6" s="68" t="s">
        <v>92</v>
      </c>
      <c r="Q6" s="68" t="s">
        <v>17</v>
      </c>
      <c r="R6" s="67"/>
      <c r="S6" s="20"/>
      <c r="T6" s="4" t="s">
        <v>93</v>
      </c>
      <c r="U6" s="116" t="s">
        <v>94</v>
      </c>
      <c r="V6" s="4"/>
      <c r="W6" s="4" t="s">
        <v>154</v>
      </c>
      <c r="X6" s="4"/>
      <c r="Y6" s="4"/>
      <c r="Z6" s="4"/>
      <c r="AA6" s="4"/>
      <c r="AB6" s="4"/>
      <c r="AC6" s="4"/>
      <c r="AD6" s="4"/>
      <c r="AE6" s="4"/>
      <c r="AF6" s="272"/>
      <c r="AG6" s="272"/>
      <c r="AH6" s="4"/>
      <c r="AI6" s="4"/>
      <c r="AJ6" s="4"/>
      <c r="AK6" s="4"/>
      <c r="AL6" s="63"/>
    </row>
    <row r="7" spans="1:38" ht="16.5" customHeight="1">
      <c r="A7" s="64" t="s">
        <v>95</v>
      </c>
      <c r="B7" s="12"/>
      <c r="C7" s="13" t="s">
        <v>25</v>
      </c>
      <c r="D7" s="67" t="s">
        <v>96</v>
      </c>
      <c r="E7" s="67" t="s">
        <v>97</v>
      </c>
      <c r="F7" s="67" t="s">
        <v>98</v>
      </c>
      <c r="G7" s="67" t="s">
        <v>99</v>
      </c>
      <c r="H7" s="67" t="s">
        <v>100</v>
      </c>
      <c r="I7" s="67" t="s">
        <v>101</v>
      </c>
      <c r="J7" s="67" t="s">
        <v>38</v>
      </c>
      <c r="K7" s="67" t="s">
        <v>39</v>
      </c>
      <c r="L7" s="67" t="s">
        <v>38</v>
      </c>
      <c r="M7" s="67" t="s">
        <v>39</v>
      </c>
      <c r="N7" s="67" t="s">
        <v>102</v>
      </c>
      <c r="O7" s="67" t="s">
        <v>102</v>
      </c>
      <c r="P7" s="67" t="s">
        <v>103</v>
      </c>
      <c r="Q7" s="67" t="s">
        <v>104</v>
      </c>
      <c r="R7" s="67" t="s">
        <v>41</v>
      </c>
      <c r="S7" s="13" t="s">
        <v>105</v>
      </c>
      <c r="T7" s="4" t="s">
        <v>106</v>
      </c>
      <c r="U7" s="116" t="s">
        <v>43</v>
      </c>
      <c r="V7" s="4"/>
      <c r="W7" s="159">
        <v>1695833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3"/>
    </row>
    <row r="8" spans="1:38" ht="16.5">
      <c r="A8" s="64"/>
      <c r="B8" s="12"/>
      <c r="C8" s="13" t="s">
        <v>44</v>
      </c>
      <c r="D8" s="67" t="s">
        <v>107</v>
      </c>
      <c r="E8" s="67" t="s">
        <v>108</v>
      </c>
      <c r="F8" s="67" t="s">
        <v>102</v>
      </c>
      <c r="G8" s="67" t="s">
        <v>102</v>
      </c>
      <c r="H8" s="67" t="s">
        <v>109</v>
      </c>
      <c r="I8" s="67" t="s">
        <v>110</v>
      </c>
      <c r="J8" s="67" t="s">
        <v>49</v>
      </c>
      <c r="K8" s="67" t="s">
        <v>53</v>
      </c>
      <c r="L8" s="67" t="s">
        <v>54</v>
      </c>
      <c r="M8" s="67" t="s">
        <v>53</v>
      </c>
      <c r="N8" s="67" t="s">
        <v>111</v>
      </c>
      <c r="O8" s="67" t="s">
        <v>111</v>
      </c>
      <c r="P8" s="67" t="s">
        <v>112</v>
      </c>
      <c r="Q8" s="67" t="s">
        <v>113</v>
      </c>
      <c r="R8" s="67" t="s">
        <v>114</v>
      </c>
      <c r="S8" s="13"/>
      <c r="T8" s="4" t="s">
        <v>115</v>
      </c>
      <c r="U8" s="117" t="s">
        <v>145</v>
      </c>
      <c r="V8" s="4" t="s">
        <v>116</v>
      </c>
      <c r="W8" s="4" t="s">
        <v>155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63"/>
    </row>
    <row r="9" spans="1:38" ht="16.5">
      <c r="A9" s="64"/>
      <c r="B9" s="12"/>
      <c r="C9" s="13"/>
      <c r="D9" s="69"/>
      <c r="E9" s="67" t="s">
        <v>117</v>
      </c>
      <c r="F9" s="67"/>
      <c r="G9" s="68"/>
      <c r="H9" s="162" t="s">
        <v>118</v>
      </c>
      <c r="I9" s="162"/>
      <c r="J9" s="162" t="s">
        <v>119</v>
      </c>
      <c r="K9" s="70" t="s">
        <v>120</v>
      </c>
      <c r="L9" s="70" t="s">
        <v>119</v>
      </c>
      <c r="M9" s="67" t="s">
        <v>120</v>
      </c>
      <c r="N9" s="67"/>
      <c r="O9" s="67"/>
      <c r="P9" s="67"/>
      <c r="Q9" s="67"/>
      <c r="R9" s="67"/>
      <c r="S9" s="13"/>
      <c r="T9" s="4"/>
      <c r="U9" s="116"/>
      <c r="V9" s="71">
        <f>U12-T12</f>
        <v>13826726</v>
      </c>
      <c r="W9" s="160">
        <f>U12+W7</f>
        <v>17016430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63"/>
    </row>
    <row r="10" spans="1:38" ht="16.5" hidden="1">
      <c r="A10" s="142"/>
      <c r="B10" s="131"/>
      <c r="C10" s="132"/>
      <c r="D10" s="133" t="s">
        <v>121</v>
      </c>
      <c r="E10" s="19">
        <v>53</v>
      </c>
      <c r="F10" s="19" t="s">
        <v>122</v>
      </c>
      <c r="G10" s="19">
        <v>57</v>
      </c>
      <c r="H10" s="13" t="s">
        <v>123</v>
      </c>
      <c r="I10" s="20">
        <v>588</v>
      </c>
      <c r="J10" s="20">
        <v>3731</v>
      </c>
      <c r="K10" s="143">
        <v>3811</v>
      </c>
      <c r="L10" s="143">
        <v>3741</v>
      </c>
      <c r="M10" s="143">
        <v>3821</v>
      </c>
      <c r="N10" s="144" t="s">
        <v>124</v>
      </c>
      <c r="O10" s="145" t="s">
        <v>125</v>
      </c>
      <c r="P10" s="132">
        <v>19</v>
      </c>
      <c r="Q10" s="132" t="s">
        <v>126</v>
      </c>
      <c r="R10" s="146" t="s">
        <v>127</v>
      </c>
      <c r="S10" s="132">
        <v>592</v>
      </c>
      <c r="T10" s="133">
        <v>3711</v>
      </c>
      <c r="U10" s="147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63"/>
    </row>
    <row r="11" spans="1:38" ht="18" customHeight="1" thickBot="1">
      <c r="A11" s="148">
        <v>1</v>
      </c>
      <c r="B11" s="149"/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139">
        <v>8</v>
      </c>
      <c r="J11" s="139">
        <v>9</v>
      </c>
      <c r="K11" s="139">
        <v>10</v>
      </c>
      <c r="L11" s="139">
        <v>11</v>
      </c>
      <c r="M11" s="139">
        <v>12</v>
      </c>
      <c r="N11" s="139">
        <v>13</v>
      </c>
      <c r="O11" s="139">
        <v>14</v>
      </c>
      <c r="P11" s="139">
        <v>15</v>
      </c>
      <c r="Q11" s="139">
        <v>16</v>
      </c>
      <c r="R11" s="139">
        <v>17</v>
      </c>
      <c r="S11" s="139">
        <v>18</v>
      </c>
      <c r="T11" s="150">
        <v>19</v>
      </c>
      <c r="U11" s="140">
        <v>20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272"/>
      <c r="AG11" s="272"/>
      <c r="AH11" s="4"/>
      <c r="AI11" s="4"/>
      <c r="AJ11" s="4"/>
      <c r="AK11" s="4"/>
      <c r="AL11" s="4"/>
    </row>
    <row r="12" spans="1:38" s="76" customFormat="1" ht="19.5" customHeight="1" hidden="1">
      <c r="A12" s="72"/>
      <c r="B12" s="203"/>
      <c r="C12" s="73" t="s">
        <v>209</v>
      </c>
      <c r="D12" s="204">
        <v>4850901</v>
      </c>
      <c r="E12" s="204">
        <v>1265878</v>
      </c>
      <c r="F12" s="204">
        <v>4436822</v>
      </c>
      <c r="G12" s="204">
        <v>245203</v>
      </c>
      <c r="H12" s="204">
        <v>404879</v>
      </c>
      <c r="I12" s="204">
        <v>38797</v>
      </c>
      <c r="J12" s="204">
        <v>15150</v>
      </c>
      <c r="K12" s="204">
        <v>123442</v>
      </c>
      <c r="L12" s="204">
        <v>67213</v>
      </c>
      <c r="M12" s="204">
        <v>155000</v>
      </c>
      <c r="N12" s="204">
        <v>40500</v>
      </c>
      <c r="O12" s="204">
        <v>1086463</v>
      </c>
      <c r="P12" s="204">
        <v>25200</v>
      </c>
      <c r="Q12" s="204">
        <v>0</v>
      </c>
      <c r="R12" s="204">
        <v>144828</v>
      </c>
      <c r="S12" s="204">
        <f>54500+145950+726000</f>
        <v>926450</v>
      </c>
      <c r="T12" s="205">
        <v>1493871</v>
      </c>
      <c r="U12" s="206">
        <f aca="true" t="shared" si="0" ref="U12:U42">SUM(D12:T12)</f>
        <v>15320597</v>
      </c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5"/>
    </row>
    <row r="13" spans="1:38" ht="19.5" customHeight="1" hidden="1">
      <c r="A13" s="77"/>
      <c r="B13" s="178" t="s">
        <v>157</v>
      </c>
      <c r="C13" s="48" t="s">
        <v>158</v>
      </c>
      <c r="D13" s="81"/>
      <c r="E13" s="81"/>
      <c r="F13" s="82">
        <f>-22637-5659+4414</f>
        <v>-23882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>
        <f>431746+23882</f>
        <v>455628</v>
      </c>
      <c r="T13" s="83"/>
      <c r="U13" s="95">
        <f t="shared" si="0"/>
        <v>431746</v>
      </c>
      <c r="V13" s="78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80"/>
    </row>
    <row r="14" spans="1:38" ht="19.5" customHeight="1" hidden="1">
      <c r="A14" s="212"/>
      <c r="B14" s="33"/>
      <c r="C14" s="29" t="s">
        <v>64</v>
      </c>
      <c r="D14" s="204">
        <f>SUM(D12:D13)</f>
        <v>4850901</v>
      </c>
      <c r="E14" s="204">
        <f aca="true" t="shared" si="1" ref="E14:U14">SUM(E12:E13)</f>
        <v>1265878</v>
      </c>
      <c r="F14" s="204">
        <f t="shared" si="1"/>
        <v>4412940</v>
      </c>
      <c r="G14" s="204">
        <f t="shared" si="1"/>
        <v>245203</v>
      </c>
      <c r="H14" s="204">
        <f t="shared" si="1"/>
        <v>404879</v>
      </c>
      <c r="I14" s="204">
        <f t="shared" si="1"/>
        <v>38797</v>
      </c>
      <c r="J14" s="204">
        <f t="shared" si="1"/>
        <v>15150</v>
      </c>
      <c r="K14" s="204">
        <f t="shared" si="1"/>
        <v>123442</v>
      </c>
      <c r="L14" s="204">
        <f t="shared" si="1"/>
        <v>67213</v>
      </c>
      <c r="M14" s="204">
        <f t="shared" si="1"/>
        <v>155000</v>
      </c>
      <c r="N14" s="204">
        <f t="shared" si="1"/>
        <v>40500</v>
      </c>
      <c r="O14" s="204">
        <f t="shared" si="1"/>
        <v>1086463</v>
      </c>
      <c r="P14" s="204">
        <f t="shared" si="1"/>
        <v>25200</v>
      </c>
      <c r="Q14" s="204">
        <f t="shared" si="1"/>
        <v>0</v>
      </c>
      <c r="R14" s="204">
        <f t="shared" si="1"/>
        <v>144828</v>
      </c>
      <c r="S14" s="204">
        <f t="shared" si="1"/>
        <v>1382078</v>
      </c>
      <c r="T14" s="204">
        <f t="shared" si="1"/>
        <v>1493871</v>
      </c>
      <c r="U14" s="206">
        <f t="shared" si="1"/>
        <v>15752343</v>
      </c>
      <c r="V14" s="78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80"/>
    </row>
    <row r="15" spans="1:38" ht="30" customHeight="1" hidden="1">
      <c r="A15" s="94">
        <v>1</v>
      </c>
      <c r="B15" s="178" t="s">
        <v>159</v>
      </c>
      <c r="C15" s="34" t="s">
        <v>160</v>
      </c>
      <c r="D15" s="82"/>
      <c r="E15" s="82"/>
      <c r="F15" s="82">
        <f>2428</f>
        <v>2428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>
        <f>-2428</f>
        <v>-2428</v>
      </c>
      <c r="T15" s="83"/>
      <c r="U15" s="95">
        <f t="shared" si="0"/>
        <v>0</v>
      </c>
      <c r="V15" s="78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30" customHeight="1" hidden="1">
      <c r="A16" s="94">
        <v>2</v>
      </c>
      <c r="B16" s="178" t="s">
        <v>161</v>
      </c>
      <c r="C16" s="34" t="s">
        <v>162</v>
      </c>
      <c r="D16" s="82"/>
      <c r="E16" s="82"/>
      <c r="F16" s="82">
        <f>440+110</f>
        <v>550</v>
      </c>
      <c r="G16" s="82">
        <f>50</f>
        <v>50</v>
      </c>
      <c r="H16" s="82"/>
      <c r="I16" s="82"/>
      <c r="J16" s="82"/>
      <c r="K16" s="82"/>
      <c r="L16" s="82"/>
      <c r="M16" s="82"/>
      <c r="N16" s="82"/>
      <c r="O16" s="82">
        <f>320+80</f>
        <v>400</v>
      </c>
      <c r="P16" s="82"/>
      <c r="Q16" s="82"/>
      <c r="R16" s="82"/>
      <c r="S16" s="82">
        <f>-1000</f>
        <v>-1000</v>
      </c>
      <c r="T16" s="83"/>
      <c r="U16" s="95">
        <f t="shared" si="0"/>
        <v>0</v>
      </c>
      <c r="V16" s="78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30" customHeight="1" hidden="1">
      <c r="A17" s="94">
        <v>3</v>
      </c>
      <c r="B17" s="178" t="s">
        <v>164</v>
      </c>
      <c r="C17" s="34" t="s">
        <v>163</v>
      </c>
      <c r="D17" s="82"/>
      <c r="E17" s="82"/>
      <c r="F17" s="82">
        <f>17+300+1126+57</f>
        <v>1500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>
        <f>-1500</f>
        <v>-1500</v>
      </c>
      <c r="T17" s="83"/>
      <c r="U17" s="95">
        <f t="shared" si="0"/>
        <v>0</v>
      </c>
      <c r="V17" s="78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80"/>
    </row>
    <row r="18" spans="1:38" ht="30" customHeight="1" hidden="1">
      <c r="A18" s="94">
        <v>4</v>
      </c>
      <c r="B18" s="178" t="s">
        <v>165</v>
      </c>
      <c r="C18" s="34" t="s">
        <v>166</v>
      </c>
      <c r="D18" s="82">
        <f>1440</f>
        <v>1440</v>
      </c>
      <c r="E18" s="82">
        <f>347+22+7+14</f>
        <v>390</v>
      </c>
      <c r="F18" s="82">
        <f>4+29+21+50+150+40+754+50+2672</f>
        <v>3770</v>
      </c>
      <c r="G18" s="82">
        <f>200</f>
        <v>200</v>
      </c>
      <c r="H18" s="82"/>
      <c r="I18" s="82"/>
      <c r="J18" s="82"/>
      <c r="K18" s="82">
        <f>700</f>
        <v>700</v>
      </c>
      <c r="L18" s="82"/>
      <c r="M18" s="82"/>
      <c r="N18" s="82"/>
      <c r="O18" s="82">
        <f>400+100</f>
        <v>500</v>
      </c>
      <c r="P18" s="82"/>
      <c r="Q18" s="82"/>
      <c r="R18" s="82"/>
      <c r="S18" s="82">
        <f>-7000</f>
        <v>-7000</v>
      </c>
      <c r="T18" s="83"/>
      <c r="U18" s="95">
        <f t="shared" si="0"/>
        <v>0</v>
      </c>
      <c r="V18" s="78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80"/>
    </row>
    <row r="19" spans="1:38" ht="30" customHeight="1" hidden="1">
      <c r="A19" s="94">
        <v>5</v>
      </c>
      <c r="B19" s="178" t="s">
        <v>167</v>
      </c>
      <c r="C19" s="34" t="s">
        <v>168</v>
      </c>
      <c r="D19" s="82"/>
      <c r="E19" s="82"/>
      <c r="F19" s="82">
        <f>-215-22+127</f>
        <v>-110</v>
      </c>
      <c r="G19" s="82"/>
      <c r="H19" s="82"/>
      <c r="I19" s="82"/>
      <c r="J19" s="82"/>
      <c r="K19" s="82"/>
      <c r="L19" s="82"/>
      <c r="M19" s="82"/>
      <c r="N19" s="82"/>
      <c r="O19" s="82">
        <f>88+22</f>
        <v>110</v>
      </c>
      <c r="P19" s="82"/>
      <c r="Q19" s="82"/>
      <c r="R19" s="82"/>
      <c r="S19" s="82"/>
      <c r="T19" s="83"/>
      <c r="U19" s="95">
        <f t="shared" si="0"/>
        <v>0</v>
      </c>
      <c r="V19" s="78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0"/>
    </row>
    <row r="20" spans="1:38" ht="30" customHeight="1" hidden="1">
      <c r="A20" s="94">
        <v>6</v>
      </c>
      <c r="B20" s="178" t="s">
        <v>169</v>
      </c>
      <c r="C20" s="34" t="s">
        <v>170</v>
      </c>
      <c r="D20" s="82"/>
      <c r="E20" s="82"/>
      <c r="F20" s="82"/>
      <c r="G20" s="82"/>
      <c r="H20" s="82"/>
      <c r="I20" s="82"/>
      <c r="J20" s="82"/>
      <c r="K20" s="82">
        <f>300+50+50+50+200+100</f>
        <v>750</v>
      </c>
      <c r="L20" s="82"/>
      <c r="M20" s="82"/>
      <c r="N20" s="82"/>
      <c r="O20" s="82"/>
      <c r="P20" s="82"/>
      <c r="Q20" s="82"/>
      <c r="R20" s="82"/>
      <c r="S20" s="82">
        <f>-750</f>
        <v>-750</v>
      </c>
      <c r="T20" s="83"/>
      <c r="U20" s="95">
        <f t="shared" si="0"/>
        <v>0</v>
      </c>
      <c r="V20" s="78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80"/>
    </row>
    <row r="21" spans="1:38" ht="30" customHeight="1" hidden="1">
      <c r="A21" s="94">
        <v>7</v>
      </c>
      <c r="B21" s="179">
        <v>10</v>
      </c>
      <c r="C21" s="34" t="s">
        <v>171</v>
      </c>
      <c r="D21" s="82"/>
      <c r="E21" s="82"/>
      <c r="F21" s="82"/>
      <c r="G21" s="82"/>
      <c r="H21" s="82"/>
      <c r="I21" s="82"/>
      <c r="J21" s="82"/>
      <c r="K21" s="82">
        <f>100+50+200+100+150+150</f>
        <v>750</v>
      </c>
      <c r="L21" s="82"/>
      <c r="M21" s="82"/>
      <c r="N21" s="82"/>
      <c r="O21" s="82"/>
      <c r="P21" s="82"/>
      <c r="Q21" s="82"/>
      <c r="R21" s="82"/>
      <c r="S21" s="82">
        <f>-750</f>
        <v>-750</v>
      </c>
      <c r="T21" s="83"/>
      <c r="U21" s="95">
        <f t="shared" si="0"/>
        <v>0</v>
      </c>
      <c r="V21" s="78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</row>
    <row r="22" spans="1:38" ht="30" customHeight="1" hidden="1">
      <c r="A22" s="94">
        <v>8</v>
      </c>
      <c r="B22" s="179">
        <v>11</v>
      </c>
      <c r="C22" s="34" t="s">
        <v>180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>
        <f>-3400</f>
        <v>-3400</v>
      </c>
      <c r="T22" s="83">
        <f>3400</f>
        <v>3400</v>
      </c>
      <c r="U22" s="95">
        <f t="shared" si="0"/>
        <v>0</v>
      </c>
      <c r="V22" s="78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80"/>
    </row>
    <row r="23" spans="1:38" ht="30" customHeight="1" hidden="1">
      <c r="A23" s="94">
        <v>9</v>
      </c>
      <c r="B23" s="179">
        <v>12</v>
      </c>
      <c r="C23" s="34" t="s">
        <v>181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>
        <f>-1488</f>
        <v>-1488</v>
      </c>
      <c r="T23" s="83">
        <f>1488</f>
        <v>1488</v>
      </c>
      <c r="U23" s="95">
        <f t="shared" si="0"/>
        <v>0</v>
      </c>
      <c r="V23" s="78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80"/>
    </row>
    <row r="24" spans="1:38" ht="30" customHeight="1" hidden="1">
      <c r="A24" s="94">
        <v>10</v>
      </c>
      <c r="B24" s="179">
        <v>13</v>
      </c>
      <c r="C24" s="34" t="s">
        <v>172</v>
      </c>
      <c r="D24" s="82"/>
      <c r="E24" s="82"/>
      <c r="F24" s="82">
        <f>-1336-334-40-10</f>
        <v>-1720</v>
      </c>
      <c r="G24" s="82"/>
      <c r="H24" s="82"/>
      <c r="I24" s="82"/>
      <c r="J24" s="82"/>
      <c r="K24" s="82"/>
      <c r="L24" s="82"/>
      <c r="M24" s="82"/>
      <c r="N24" s="82">
        <f>1376+344</f>
        <v>1720</v>
      </c>
      <c r="O24" s="216"/>
      <c r="P24" s="82"/>
      <c r="Q24" s="82"/>
      <c r="R24" s="82"/>
      <c r="S24" s="82"/>
      <c r="T24" s="83"/>
      <c r="U24" s="95">
        <f t="shared" si="0"/>
        <v>0</v>
      </c>
      <c r="V24" s="78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80"/>
    </row>
    <row r="25" spans="1:38" ht="30" customHeight="1" hidden="1">
      <c r="A25" s="94">
        <v>11</v>
      </c>
      <c r="B25" s="179">
        <v>14</v>
      </c>
      <c r="C25" s="34" t="s">
        <v>173</v>
      </c>
      <c r="D25" s="82"/>
      <c r="E25" s="82"/>
      <c r="F25" s="82">
        <f>-1718-429</f>
        <v>-2147</v>
      </c>
      <c r="G25" s="82"/>
      <c r="H25" s="82"/>
      <c r="I25" s="82"/>
      <c r="J25" s="82"/>
      <c r="K25" s="82">
        <f>2147</f>
        <v>2147</v>
      </c>
      <c r="L25" s="82"/>
      <c r="M25" s="82"/>
      <c r="N25" s="82"/>
      <c r="O25" s="82"/>
      <c r="P25" s="82"/>
      <c r="Q25" s="82"/>
      <c r="R25" s="82"/>
      <c r="S25" s="82"/>
      <c r="T25" s="83"/>
      <c r="U25" s="95">
        <f t="shared" si="0"/>
        <v>0</v>
      </c>
      <c r="V25" s="78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80"/>
    </row>
    <row r="26" spans="1:38" ht="30" customHeight="1" hidden="1">
      <c r="A26" s="94">
        <v>12</v>
      </c>
      <c r="B26" s="179">
        <v>15</v>
      </c>
      <c r="C26" s="34" t="s">
        <v>174</v>
      </c>
      <c r="D26" s="82"/>
      <c r="E26" s="82"/>
      <c r="F26" s="82">
        <f>-569-142</f>
        <v>-711</v>
      </c>
      <c r="G26" s="82"/>
      <c r="H26" s="82"/>
      <c r="I26" s="82"/>
      <c r="J26" s="82"/>
      <c r="K26" s="82"/>
      <c r="L26" s="82"/>
      <c r="M26" s="82"/>
      <c r="N26" s="82"/>
      <c r="O26" s="82">
        <f>569+142</f>
        <v>711</v>
      </c>
      <c r="P26" s="82"/>
      <c r="Q26" s="82"/>
      <c r="R26" s="82"/>
      <c r="S26" s="82"/>
      <c r="T26" s="83"/>
      <c r="U26" s="95">
        <f t="shared" si="0"/>
        <v>0</v>
      </c>
      <c r="V26" s="78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80"/>
    </row>
    <row r="27" spans="1:38" ht="30" customHeight="1" hidden="1">
      <c r="A27" s="94">
        <v>13</v>
      </c>
      <c r="B27" s="179">
        <v>16</v>
      </c>
      <c r="C27" s="34" t="s">
        <v>175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>
        <f>2000+500</f>
        <v>2500</v>
      </c>
      <c r="P27" s="82"/>
      <c r="Q27" s="82"/>
      <c r="R27" s="82"/>
      <c r="S27" s="82">
        <f>-2500</f>
        <v>-2500</v>
      </c>
      <c r="T27" s="83"/>
      <c r="U27" s="95">
        <f t="shared" si="0"/>
        <v>0</v>
      </c>
      <c r="V27" s="78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80"/>
    </row>
    <row r="28" spans="1:38" ht="30" customHeight="1" hidden="1">
      <c r="A28" s="94">
        <v>14</v>
      </c>
      <c r="B28" s="180">
        <v>17</v>
      </c>
      <c r="C28" s="39" t="s">
        <v>176</v>
      </c>
      <c r="D28" s="82"/>
      <c r="E28" s="82"/>
      <c r="F28" s="82">
        <f>150</f>
        <v>150</v>
      </c>
      <c r="G28" s="82"/>
      <c r="H28" s="82"/>
      <c r="I28" s="82"/>
      <c r="J28" s="82"/>
      <c r="K28" s="82">
        <f>-150</f>
        <v>-150</v>
      </c>
      <c r="L28" s="82"/>
      <c r="M28" s="82"/>
      <c r="N28" s="82"/>
      <c r="O28" s="82"/>
      <c r="P28" s="82"/>
      <c r="Q28" s="82"/>
      <c r="R28" s="82"/>
      <c r="S28" s="82"/>
      <c r="T28" s="83"/>
      <c r="U28" s="95">
        <f t="shared" si="0"/>
        <v>0</v>
      </c>
      <c r="V28" s="78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80"/>
    </row>
    <row r="29" spans="1:38" ht="30" customHeight="1" hidden="1">
      <c r="A29" s="94">
        <v>15</v>
      </c>
      <c r="B29" s="179">
        <v>20</v>
      </c>
      <c r="C29" s="34" t="s">
        <v>178</v>
      </c>
      <c r="D29" s="82"/>
      <c r="E29" s="82"/>
      <c r="F29" s="82">
        <f>-144-36</f>
        <v>-180</v>
      </c>
      <c r="G29" s="82"/>
      <c r="H29" s="82"/>
      <c r="I29" s="82"/>
      <c r="J29" s="82"/>
      <c r="K29" s="82"/>
      <c r="L29" s="82"/>
      <c r="M29" s="82"/>
      <c r="N29" s="82"/>
      <c r="O29" s="82">
        <f>144+36</f>
        <v>180</v>
      </c>
      <c r="P29" s="82"/>
      <c r="Q29" s="82"/>
      <c r="R29" s="82"/>
      <c r="S29" s="82"/>
      <c r="T29" s="83"/>
      <c r="U29" s="95">
        <f t="shared" si="0"/>
        <v>0</v>
      </c>
      <c r="V29" s="78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80"/>
    </row>
    <row r="30" spans="1:38" ht="30" customHeight="1" hidden="1">
      <c r="A30" s="94">
        <v>16</v>
      </c>
      <c r="B30" s="179">
        <v>21</v>
      </c>
      <c r="C30" s="34" t="s">
        <v>179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>
        <f>3000+750</f>
        <v>3750</v>
      </c>
      <c r="P30" s="82"/>
      <c r="Q30" s="82"/>
      <c r="R30" s="82"/>
      <c r="S30" s="82">
        <f>-3750</f>
        <v>-3750</v>
      </c>
      <c r="T30" s="83"/>
      <c r="U30" s="95">
        <f t="shared" si="0"/>
        <v>0</v>
      </c>
      <c r="V30" s="78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80"/>
    </row>
    <row r="31" spans="1:38" ht="30" customHeight="1" hidden="1">
      <c r="A31" s="94">
        <v>17</v>
      </c>
      <c r="B31" s="179">
        <v>22</v>
      </c>
      <c r="C31" s="46" t="s">
        <v>182</v>
      </c>
      <c r="D31" s="82"/>
      <c r="E31" s="82"/>
      <c r="F31" s="82"/>
      <c r="G31" s="82"/>
      <c r="H31" s="82"/>
      <c r="I31" s="82"/>
      <c r="J31" s="82"/>
      <c r="K31" s="82"/>
      <c r="L31" s="82"/>
      <c r="M31" s="82">
        <f>1000</f>
        <v>1000</v>
      </c>
      <c r="N31" s="82"/>
      <c r="O31" s="82"/>
      <c r="P31" s="82"/>
      <c r="Q31" s="82"/>
      <c r="R31" s="82"/>
      <c r="S31" s="82">
        <f>-1000</f>
        <v>-1000</v>
      </c>
      <c r="T31" s="83"/>
      <c r="U31" s="95">
        <f t="shared" si="0"/>
        <v>0</v>
      </c>
      <c r="V31" s="78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80"/>
    </row>
    <row r="32" spans="1:38" ht="30" customHeight="1" hidden="1">
      <c r="A32" s="94">
        <v>18</v>
      </c>
      <c r="B32" s="179">
        <v>23</v>
      </c>
      <c r="C32" s="46" t="s">
        <v>184</v>
      </c>
      <c r="D32" s="82"/>
      <c r="E32" s="82"/>
      <c r="F32" s="82"/>
      <c r="G32" s="82"/>
      <c r="H32" s="82"/>
      <c r="I32" s="82"/>
      <c r="J32" s="82"/>
      <c r="K32" s="82">
        <f>100</f>
        <v>100</v>
      </c>
      <c r="L32" s="82"/>
      <c r="M32" s="82"/>
      <c r="N32" s="82"/>
      <c r="O32" s="82"/>
      <c r="P32" s="82"/>
      <c r="Q32" s="82"/>
      <c r="R32" s="82"/>
      <c r="S32" s="82">
        <f>-100</f>
        <v>-100</v>
      </c>
      <c r="T32" s="83"/>
      <c r="U32" s="95">
        <f t="shared" si="0"/>
        <v>0</v>
      </c>
      <c r="V32" s="78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80"/>
    </row>
    <row r="33" spans="1:38" ht="19.5" customHeight="1" hidden="1">
      <c r="A33" s="94">
        <v>0</v>
      </c>
      <c r="B33" s="179">
        <v>25</v>
      </c>
      <c r="C33" s="48" t="s">
        <v>187</v>
      </c>
      <c r="D33" s="211"/>
      <c r="E33" s="211"/>
      <c r="F33" s="211">
        <f>9.539+270+80+510+70</f>
        <v>939.539</v>
      </c>
      <c r="G33" s="211"/>
      <c r="H33" s="211"/>
      <c r="I33" s="211"/>
      <c r="J33" s="211">
        <f>190</f>
        <v>190</v>
      </c>
      <c r="K33" s="211">
        <f>180</f>
        <v>180</v>
      </c>
      <c r="L33" s="211"/>
      <c r="M33" s="211"/>
      <c r="N33" s="211"/>
      <c r="O33" s="211"/>
      <c r="P33" s="211"/>
      <c r="Q33" s="211"/>
      <c r="R33" s="211"/>
      <c r="S33" s="211"/>
      <c r="T33" s="211"/>
      <c r="U33" s="211">
        <f t="shared" si="0"/>
        <v>1309.539</v>
      </c>
      <c r="V33" s="78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0"/>
    </row>
    <row r="34" spans="1:38" ht="19.5" customHeight="1" hidden="1">
      <c r="A34" s="94">
        <v>0</v>
      </c>
      <c r="B34" s="179">
        <v>26</v>
      </c>
      <c r="C34" s="46" t="s">
        <v>189</v>
      </c>
      <c r="D34" s="211"/>
      <c r="E34" s="211"/>
      <c r="F34" s="211">
        <f>9.539+520+168+142+1670</f>
        <v>2509.5389999999998</v>
      </c>
      <c r="G34" s="211"/>
      <c r="H34" s="211"/>
      <c r="I34" s="211"/>
      <c r="J34" s="211">
        <f>885</f>
        <v>885</v>
      </c>
      <c r="K34" s="211">
        <f>415</f>
        <v>415</v>
      </c>
      <c r="L34" s="211"/>
      <c r="M34" s="211"/>
      <c r="N34" s="211"/>
      <c r="O34" s="211"/>
      <c r="P34" s="211"/>
      <c r="Q34" s="211"/>
      <c r="R34" s="211"/>
      <c r="S34" s="211"/>
      <c r="T34" s="211"/>
      <c r="U34" s="211">
        <f t="shared" si="0"/>
        <v>3809.5389999999998</v>
      </c>
      <c r="V34" s="78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80"/>
    </row>
    <row r="35" spans="1:38" ht="19.5" customHeight="1" hidden="1">
      <c r="A35" s="94">
        <v>0</v>
      </c>
      <c r="B35" s="179">
        <v>27</v>
      </c>
      <c r="C35" s="34" t="s">
        <v>191</v>
      </c>
      <c r="D35" s="211"/>
      <c r="E35" s="211"/>
      <c r="F35" s="211">
        <f>9.539-13.959+0.143+8.304+3.4+2.112-50</f>
        <v>-40.461</v>
      </c>
      <c r="G35" s="211"/>
      <c r="H35" s="211"/>
      <c r="I35" s="211"/>
      <c r="J35" s="211"/>
      <c r="K35" s="211">
        <f>1500+50</f>
        <v>1550</v>
      </c>
      <c r="L35" s="211"/>
      <c r="M35" s="211"/>
      <c r="N35" s="211"/>
      <c r="O35" s="211"/>
      <c r="P35" s="211"/>
      <c r="Q35" s="211"/>
      <c r="R35" s="211"/>
      <c r="S35" s="211"/>
      <c r="T35" s="211"/>
      <c r="U35" s="211">
        <f t="shared" si="0"/>
        <v>1509.539</v>
      </c>
      <c r="V35" s="78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80"/>
    </row>
    <row r="36" spans="1:38" ht="19.5" customHeight="1" hidden="1">
      <c r="A36" s="94">
        <v>0</v>
      </c>
      <c r="B36" s="179">
        <v>28</v>
      </c>
      <c r="C36" s="34" t="s">
        <v>193</v>
      </c>
      <c r="D36" s="211"/>
      <c r="E36" s="211"/>
      <c r="F36" s="211">
        <f>9.539</f>
        <v>9.539</v>
      </c>
      <c r="G36" s="211"/>
      <c r="H36" s="211"/>
      <c r="I36" s="211"/>
      <c r="J36" s="211"/>
      <c r="K36" s="211">
        <f>1200</f>
        <v>1200</v>
      </c>
      <c r="L36" s="211"/>
      <c r="M36" s="211"/>
      <c r="N36" s="211"/>
      <c r="O36" s="211"/>
      <c r="P36" s="211"/>
      <c r="Q36" s="211"/>
      <c r="R36" s="211"/>
      <c r="S36" s="211"/>
      <c r="T36" s="211"/>
      <c r="U36" s="211">
        <f t="shared" si="0"/>
        <v>1209.539</v>
      </c>
      <c r="V36" s="78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</row>
    <row r="37" spans="1:38" ht="19.5" customHeight="1" hidden="1">
      <c r="A37" s="94">
        <v>0</v>
      </c>
      <c r="B37" s="179">
        <v>29</v>
      </c>
      <c r="C37" s="48" t="s">
        <v>195</v>
      </c>
      <c r="D37" s="211"/>
      <c r="E37" s="211"/>
      <c r="F37" s="211"/>
      <c r="G37" s="211"/>
      <c r="H37" s="211"/>
      <c r="I37" s="211"/>
      <c r="J37" s="211">
        <f>530</f>
        <v>530</v>
      </c>
      <c r="K37" s="211">
        <f>9.539+1170</f>
        <v>1179.539</v>
      </c>
      <c r="L37" s="211"/>
      <c r="M37" s="211"/>
      <c r="N37" s="211"/>
      <c r="O37" s="211"/>
      <c r="P37" s="211"/>
      <c r="Q37" s="211"/>
      <c r="R37" s="211"/>
      <c r="S37" s="211"/>
      <c r="T37" s="211"/>
      <c r="U37" s="211">
        <f t="shared" si="0"/>
        <v>1709.539</v>
      </c>
      <c r="V37" s="78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</row>
    <row r="38" spans="1:38" ht="19.5" customHeight="1" hidden="1">
      <c r="A38" s="94">
        <v>0</v>
      </c>
      <c r="B38" s="179">
        <v>30</v>
      </c>
      <c r="C38" s="34" t="s">
        <v>197</v>
      </c>
      <c r="D38" s="211"/>
      <c r="E38" s="211"/>
      <c r="F38" s="211">
        <f>9.539+140+109.76+62.44+1500-20</f>
        <v>1801.739</v>
      </c>
      <c r="G38" s="211"/>
      <c r="H38" s="211"/>
      <c r="I38" s="211"/>
      <c r="J38" s="211"/>
      <c r="K38" s="211">
        <f>300+20</f>
        <v>320</v>
      </c>
      <c r="L38" s="211"/>
      <c r="M38" s="211"/>
      <c r="N38" s="211"/>
      <c r="O38" s="211"/>
      <c r="P38" s="211"/>
      <c r="Q38" s="211"/>
      <c r="R38" s="211"/>
      <c r="S38" s="211"/>
      <c r="T38" s="211"/>
      <c r="U38" s="211">
        <f t="shared" si="0"/>
        <v>2121.739</v>
      </c>
      <c r="V38" s="78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</row>
    <row r="39" spans="1:38" ht="19.5" customHeight="1" hidden="1">
      <c r="A39" s="94">
        <v>0</v>
      </c>
      <c r="B39" s="179">
        <v>31</v>
      </c>
      <c r="C39" s="48" t="s">
        <v>199</v>
      </c>
      <c r="D39" s="211">
        <f>195</f>
        <v>195</v>
      </c>
      <c r="E39" s="211"/>
      <c r="F39" s="211">
        <f>9.539+236+30+930+109-6</f>
        <v>1308.539</v>
      </c>
      <c r="G39" s="211">
        <f>6</f>
        <v>6</v>
      </c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>
        <f t="shared" si="0"/>
        <v>1509.539</v>
      </c>
      <c r="V39" s="78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</row>
    <row r="40" spans="1:38" ht="19.5" customHeight="1" hidden="1">
      <c r="A40" s="94">
        <v>0</v>
      </c>
      <c r="B40" s="179">
        <v>32</v>
      </c>
      <c r="C40" s="48" t="s">
        <v>201</v>
      </c>
      <c r="D40" s="211"/>
      <c r="E40" s="211"/>
      <c r="F40" s="211">
        <f>9.539+130+240-5+5</f>
        <v>379.539</v>
      </c>
      <c r="G40" s="211"/>
      <c r="H40" s="211"/>
      <c r="I40" s="211"/>
      <c r="J40" s="211">
        <f>50</f>
        <v>50</v>
      </c>
      <c r="K40" s="211">
        <f>580</f>
        <v>580</v>
      </c>
      <c r="L40" s="211"/>
      <c r="M40" s="211"/>
      <c r="N40" s="211"/>
      <c r="O40" s="211"/>
      <c r="P40" s="211"/>
      <c r="Q40" s="211"/>
      <c r="R40" s="211"/>
      <c r="S40" s="211"/>
      <c r="T40" s="211"/>
      <c r="U40" s="211">
        <f t="shared" si="0"/>
        <v>1009.539</v>
      </c>
      <c r="V40" s="78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</row>
    <row r="41" spans="1:38" ht="19.5" customHeight="1" hidden="1">
      <c r="A41" s="94">
        <v>0</v>
      </c>
      <c r="B41" s="179">
        <v>33</v>
      </c>
      <c r="C41" s="34" t="s">
        <v>203</v>
      </c>
      <c r="D41" s="211"/>
      <c r="E41" s="211"/>
      <c r="F41" s="211">
        <f>9.539+40+440+120</f>
        <v>609.539</v>
      </c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>
        <f t="shared" si="0"/>
        <v>609.539</v>
      </c>
      <c r="V41" s="78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</row>
    <row r="42" spans="1:38" ht="30" customHeight="1" hidden="1">
      <c r="A42" s="94">
        <v>19</v>
      </c>
      <c r="B42" s="179"/>
      <c r="C42" s="34" t="s">
        <v>210</v>
      </c>
      <c r="D42" s="82">
        <f>SUM(D33:D41)</f>
        <v>195</v>
      </c>
      <c r="E42" s="82">
        <f>SUM(E33:E41)</f>
        <v>0</v>
      </c>
      <c r="F42" s="82">
        <f>SUM(F33:F41)+0.488</f>
        <v>7518</v>
      </c>
      <c r="G42" s="82">
        <f>SUM(G33:G41)</f>
        <v>6</v>
      </c>
      <c r="H42" s="82">
        <f>SUM(H33:H41)</f>
        <v>0</v>
      </c>
      <c r="I42" s="82">
        <f>SUM(I33:I41)</f>
        <v>0</v>
      </c>
      <c r="J42" s="82">
        <f>SUM(J33:J41)</f>
        <v>1655</v>
      </c>
      <c r="K42" s="82">
        <f>SUM(K33:K41)-0.539</f>
        <v>5424</v>
      </c>
      <c r="L42" s="82"/>
      <c r="M42" s="82"/>
      <c r="N42" s="82"/>
      <c r="O42" s="82"/>
      <c r="P42" s="82"/>
      <c r="Q42" s="82"/>
      <c r="R42" s="82"/>
      <c r="S42" s="82"/>
      <c r="T42" s="82"/>
      <c r="U42" s="95">
        <f t="shared" si="0"/>
        <v>14798</v>
      </c>
      <c r="V42" s="78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</row>
    <row r="43" spans="1:21" ht="17.25" hidden="1" thickBot="1">
      <c r="A43" s="94"/>
      <c r="B43" s="156"/>
      <c r="C43" s="217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/>
      <c r="U43" s="95"/>
    </row>
    <row r="44" spans="1:21" ht="30" customHeight="1" hidden="1" thickBot="1" thickTop="1">
      <c r="A44" s="176"/>
      <c r="B44" s="102"/>
      <c r="C44" s="51" t="s">
        <v>65</v>
      </c>
      <c r="D44" s="98">
        <f aca="true" t="shared" si="2" ref="D44:U44">SUM(D15:D32)+D42</f>
        <v>1635</v>
      </c>
      <c r="E44" s="98">
        <f t="shared" si="2"/>
        <v>390</v>
      </c>
      <c r="F44" s="98">
        <f t="shared" si="2"/>
        <v>11048</v>
      </c>
      <c r="G44" s="98">
        <f t="shared" si="2"/>
        <v>256</v>
      </c>
      <c r="H44" s="98">
        <f t="shared" si="2"/>
        <v>0</v>
      </c>
      <c r="I44" s="98">
        <f t="shared" si="2"/>
        <v>0</v>
      </c>
      <c r="J44" s="98">
        <f t="shared" si="2"/>
        <v>1655</v>
      </c>
      <c r="K44" s="98">
        <f t="shared" si="2"/>
        <v>9721</v>
      </c>
      <c r="L44" s="98">
        <f t="shared" si="2"/>
        <v>0</v>
      </c>
      <c r="M44" s="98">
        <f t="shared" si="2"/>
        <v>1000</v>
      </c>
      <c r="N44" s="98">
        <f t="shared" si="2"/>
        <v>1720</v>
      </c>
      <c r="O44" s="98">
        <f t="shared" si="2"/>
        <v>8151</v>
      </c>
      <c r="P44" s="98">
        <f t="shared" si="2"/>
        <v>0</v>
      </c>
      <c r="Q44" s="98">
        <f t="shared" si="2"/>
        <v>0</v>
      </c>
      <c r="R44" s="98">
        <f t="shared" si="2"/>
        <v>0</v>
      </c>
      <c r="S44" s="98">
        <f t="shared" si="2"/>
        <v>-25666</v>
      </c>
      <c r="T44" s="98">
        <f t="shared" si="2"/>
        <v>4888</v>
      </c>
      <c r="U44" s="91">
        <f t="shared" si="2"/>
        <v>14798</v>
      </c>
    </row>
    <row r="45" spans="1:70" ht="30" customHeight="1" hidden="1" thickBot="1" thickTop="1">
      <c r="A45" s="176"/>
      <c r="B45" s="102"/>
      <c r="C45" s="51" t="s">
        <v>66</v>
      </c>
      <c r="D45" s="161">
        <f aca="true" t="shared" si="3" ref="D45:U45">D14+D44</f>
        <v>4852536</v>
      </c>
      <c r="E45" s="161">
        <f t="shared" si="3"/>
        <v>1266268</v>
      </c>
      <c r="F45" s="161">
        <f t="shared" si="3"/>
        <v>4423988</v>
      </c>
      <c r="G45" s="161">
        <f t="shared" si="3"/>
        <v>245459</v>
      </c>
      <c r="H45" s="161">
        <f t="shared" si="3"/>
        <v>404879</v>
      </c>
      <c r="I45" s="161">
        <f t="shared" si="3"/>
        <v>38797</v>
      </c>
      <c r="J45" s="161">
        <f t="shared" si="3"/>
        <v>16805</v>
      </c>
      <c r="K45" s="161">
        <f t="shared" si="3"/>
        <v>133163</v>
      </c>
      <c r="L45" s="161">
        <f t="shared" si="3"/>
        <v>67213</v>
      </c>
      <c r="M45" s="161">
        <f t="shared" si="3"/>
        <v>156000</v>
      </c>
      <c r="N45" s="161">
        <f t="shared" si="3"/>
        <v>42220</v>
      </c>
      <c r="O45" s="161">
        <f t="shared" si="3"/>
        <v>1094614</v>
      </c>
      <c r="P45" s="161">
        <f t="shared" si="3"/>
        <v>25200</v>
      </c>
      <c r="Q45" s="161">
        <f t="shared" si="3"/>
        <v>0</v>
      </c>
      <c r="R45" s="161">
        <f t="shared" si="3"/>
        <v>144828</v>
      </c>
      <c r="S45" s="161">
        <f t="shared" si="3"/>
        <v>1356412</v>
      </c>
      <c r="T45" s="161">
        <f t="shared" si="3"/>
        <v>1498759</v>
      </c>
      <c r="U45" s="213">
        <f t="shared" si="3"/>
        <v>15767141</v>
      </c>
      <c r="V45" s="92">
        <f>U45-T45</f>
        <v>14268382</v>
      </c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</row>
    <row r="46" spans="1:70" ht="17.25" hidden="1" thickTop="1">
      <c r="A46" s="32"/>
      <c r="B46" s="177" t="s">
        <v>69</v>
      </c>
      <c r="C46" s="106" t="s">
        <v>128</v>
      </c>
      <c r="D46" s="107"/>
      <c r="E46" s="107"/>
      <c r="F46" s="107"/>
      <c r="G46" s="107"/>
      <c r="H46" s="107"/>
      <c r="I46" s="107"/>
      <c r="J46" s="107"/>
      <c r="K46" s="107"/>
      <c r="L46" s="107">
        <f>748</f>
        <v>748</v>
      </c>
      <c r="M46" s="107"/>
      <c r="N46" s="107"/>
      <c r="O46" s="107"/>
      <c r="P46" s="107"/>
      <c r="Q46" s="107"/>
      <c r="R46" s="107"/>
      <c r="S46" s="107">
        <f>2376+47657+46172+275967+156992</f>
        <v>529164</v>
      </c>
      <c r="T46" s="111"/>
      <c r="U46" s="118">
        <f aca="true" t="shared" si="4" ref="U46:U105">SUM(D46:T46)</f>
        <v>529912</v>
      </c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</row>
    <row r="47" spans="1:70" ht="16.5" hidden="1">
      <c r="A47" s="32"/>
      <c r="B47" s="84" t="s">
        <v>205</v>
      </c>
      <c r="C47" s="108" t="s">
        <v>128</v>
      </c>
      <c r="D47" s="163"/>
      <c r="E47" s="163"/>
      <c r="F47" s="163">
        <f>2+7+6</f>
        <v>15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4"/>
      <c r="U47" s="119">
        <f t="shared" si="4"/>
        <v>15</v>
      </c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</row>
    <row r="48" spans="1:70" ht="16.5" hidden="1">
      <c r="A48" s="32"/>
      <c r="B48" s="84" t="s">
        <v>71</v>
      </c>
      <c r="C48" s="108" t="s">
        <v>128</v>
      </c>
      <c r="D48" s="109"/>
      <c r="E48" s="109"/>
      <c r="F48" s="109">
        <f>1000+14684+17+4+4088+1022+1875+960+240</f>
        <v>23890</v>
      </c>
      <c r="G48" s="109"/>
      <c r="H48" s="109"/>
      <c r="I48" s="109"/>
      <c r="J48" s="109"/>
      <c r="K48" s="109"/>
      <c r="L48" s="109"/>
      <c r="M48" s="109">
        <f>131209+3542+11356</f>
        <v>146107</v>
      </c>
      <c r="N48" s="109"/>
      <c r="O48" s="109"/>
      <c r="P48" s="109"/>
      <c r="Q48" s="109">
        <f>10000</f>
        <v>10000</v>
      </c>
      <c r="R48" s="109"/>
      <c r="S48" s="109"/>
      <c r="T48" s="112"/>
      <c r="U48" s="119">
        <f t="shared" si="4"/>
        <v>179997</v>
      </c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</row>
    <row r="49" spans="1:70" ht="16.5" hidden="1">
      <c r="A49" s="32"/>
      <c r="B49" s="84" t="s">
        <v>151</v>
      </c>
      <c r="C49" s="108" t="s">
        <v>128</v>
      </c>
      <c r="D49" s="109"/>
      <c r="E49" s="109"/>
      <c r="F49" s="109">
        <f>1306+400</f>
        <v>1706</v>
      </c>
      <c r="G49" s="109"/>
      <c r="H49" s="109"/>
      <c r="I49" s="109"/>
      <c r="J49" s="109"/>
      <c r="K49" s="109"/>
      <c r="L49" s="109"/>
      <c r="N49" s="109"/>
      <c r="O49" s="109"/>
      <c r="P49" s="109"/>
      <c r="Q49" s="109"/>
      <c r="R49" s="109"/>
      <c r="S49" s="109"/>
      <c r="T49" s="112"/>
      <c r="U49" s="119">
        <f t="shared" si="4"/>
        <v>1706</v>
      </c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</row>
    <row r="50" spans="1:70" ht="16.5" hidden="1">
      <c r="A50" s="32"/>
      <c r="B50" s="84" t="s">
        <v>129</v>
      </c>
      <c r="C50" s="108" t="s">
        <v>128</v>
      </c>
      <c r="D50" s="109"/>
      <c r="E50" s="109"/>
      <c r="F50" s="109">
        <f>5200+1300+4881+1220</f>
        <v>12601</v>
      </c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12"/>
      <c r="U50" s="119">
        <f t="shared" si="4"/>
        <v>12601</v>
      </c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</row>
    <row r="51" spans="1:70" ht="16.5" hidden="1">
      <c r="A51" s="32"/>
      <c r="B51" s="84" t="s">
        <v>130</v>
      </c>
      <c r="C51" s="108" t="s">
        <v>128</v>
      </c>
      <c r="D51" s="109">
        <f>98477+3400+2000+38447</f>
        <v>142324</v>
      </c>
      <c r="E51" s="109">
        <f>34158+2135+711+1423</f>
        <v>38427</v>
      </c>
      <c r="F51" s="109">
        <f>67+16</f>
        <v>83</v>
      </c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12"/>
      <c r="U51" s="119">
        <f t="shared" si="4"/>
        <v>180834</v>
      </c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</row>
    <row r="52" spans="1:70" ht="16.5" hidden="1">
      <c r="A52" s="32"/>
      <c r="B52" s="84" t="s">
        <v>206</v>
      </c>
      <c r="C52" s="108" t="s">
        <v>128</v>
      </c>
      <c r="D52" s="109">
        <f>43194</f>
        <v>43194</v>
      </c>
      <c r="F52" s="109"/>
      <c r="G52" s="109">
        <f>10527</f>
        <v>10527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12"/>
      <c r="U52" s="119">
        <f t="shared" si="4"/>
        <v>53721</v>
      </c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</row>
    <row r="53" spans="1:70" ht="16.5" hidden="1">
      <c r="A53" s="32"/>
      <c r="B53" s="84" t="s">
        <v>131</v>
      </c>
      <c r="C53" s="108" t="s">
        <v>128</v>
      </c>
      <c r="D53" s="109"/>
      <c r="E53" s="109"/>
      <c r="F53" s="109"/>
      <c r="G53" s="109"/>
      <c r="H53" s="109"/>
      <c r="I53" s="109"/>
      <c r="J53" s="109"/>
      <c r="K53" s="109">
        <f>100+50</f>
        <v>150</v>
      </c>
      <c r="L53" s="109"/>
      <c r="M53" s="109"/>
      <c r="N53" s="109"/>
      <c r="O53" s="109"/>
      <c r="P53" s="109"/>
      <c r="Q53" s="109"/>
      <c r="R53" s="109"/>
      <c r="S53" s="109"/>
      <c r="T53" s="112"/>
      <c r="U53" s="119">
        <f t="shared" si="4"/>
        <v>150</v>
      </c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</row>
    <row r="54" spans="1:70" ht="16.5" hidden="1">
      <c r="A54" s="32"/>
      <c r="B54" s="84" t="s">
        <v>132</v>
      </c>
      <c r="C54" s="108" t="s">
        <v>128</v>
      </c>
      <c r="D54" s="109"/>
      <c r="E54" s="109"/>
      <c r="F54" s="109"/>
      <c r="G54" s="109"/>
      <c r="H54" s="109"/>
      <c r="I54" s="109"/>
      <c r="J54" s="109"/>
      <c r="K54" s="109">
        <f>100+750+300+150</f>
        <v>1300</v>
      </c>
      <c r="L54" s="109"/>
      <c r="M54" s="109"/>
      <c r="N54" s="109"/>
      <c r="O54" s="109"/>
      <c r="P54" s="109"/>
      <c r="Q54" s="109"/>
      <c r="R54" s="109"/>
      <c r="S54" s="109"/>
      <c r="T54" s="112"/>
      <c r="U54" s="119">
        <f t="shared" si="4"/>
        <v>1300</v>
      </c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</row>
    <row r="55" spans="1:70" ht="16.5" hidden="1">
      <c r="A55" s="32"/>
      <c r="B55" s="84" t="s">
        <v>133</v>
      </c>
      <c r="C55" s="108" t="s">
        <v>128</v>
      </c>
      <c r="D55" s="109"/>
      <c r="E55" s="109"/>
      <c r="F55" s="109">
        <f>8+3+4+1+61+3+12+3</f>
        <v>95</v>
      </c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12"/>
      <c r="U55" s="119">
        <f t="shared" si="4"/>
        <v>95</v>
      </c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</row>
    <row r="56" spans="1:70" ht="16.5" hidden="1">
      <c r="A56" s="32"/>
      <c r="B56" s="84" t="s">
        <v>134</v>
      </c>
      <c r="C56" s="108" t="s">
        <v>128</v>
      </c>
      <c r="D56" s="109"/>
      <c r="E56" s="109"/>
      <c r="F56" s="109">
        <f>44</f>
        <v>44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12"/>
      <c r="U56" s="119">
        <f t="shared" si="4"/>
        <v>44</v>
      </c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</row>
    <row r="57" spans="1:70" ht="16.5" hidden="1">
      <c r="A57" s="32"/>
      <c r="B57" s="84" t="s">
        <v>135</v>
      </c>
      <c r="C57" s="108" t="s">
        <v>128</v>
      </c>
      <c r="D57" s="109"/>
      <c r="E57" s="109"/>
      <c r="F57" s="109">
        <f>130+33</f>
        <v>163</v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12"/>
      <c r="U57" s="119">
        <f t="shared" si="4"/>
        <v>163</v>
      </c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</row>
    <row r="58" spans="1:70" ht="16.5" hidden="1">
      <c r="A58" s="32"/>
      <c r="B58" s="84" t="s">
        <v>136</v>
      </c>
      <c r="C58" s="108" t="s">
        <v>128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12"/>
      <c r="U58" s="119">
        <f t="shared" si="4"/>
        <v>0</v>
      </c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</row>
    <row r="59" spans="1:70" ht="16.5" hidden="1">
      <c r="A59" s="32"/>
      <c r="B59" s="84" t="s">
        <v>73</v>
      </c>
      <c r="C59" s="108" t="s">
        <v>128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12"/>
      <c r="U59" s="119">
        <f t="shared" si="4"/>
        <v>0</v>
      </c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</row>
    <row r="60" spans="1:70" ht="16.5" hidden="1">
      <c r="A60" s="32"/>
      <c r="B60" s="84" t="s">
        <v>142</v>
      </c>
      <c r="C60" s="108" t="s">
        <v>128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12"/>
      <c r="U60" s="119">
        <f t="shared" si="4"/>
        <v>0</v>
      </c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</row>
    <row r="61" spans="1:70" ht="16.5" hidden="1">
      <c r="A61" s="32"/>
      <c r="B61" s="84" t="s">
        <v>137</v>
      </c>
      <c r="C61" s="108" t="s">
        <v>128</v>
      </c>
      <c r="D61" s="109">
        <f>4899</f>
        <v>4899</v>
      </c>
      <c r="E61" s="109">
        <f>1176+74+24+49</f>
        <v>1323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12"/>
      <c r="U61" s="119">
        <f t="shared" si="4"/>
        <v>6222</v>
      </c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</row>
    <row r="62" spans="1:70" ht="16.5" hidden="1">
      <c r="A62" s="32"/>
      <c r="B62" s="84" t="s">
        <v>138</v>
      </c>
      <c r="C62" s="108" t="s">
        <v>128</v>
      </c>
      <c r="D62" s="109"/>
      <c r="E62" s="109"/>
      <c r="F62" s="109">
        <f>1677+419+4710+1178</f>
        <v>7984</v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12"/>
      <c r="U62" s="119">
        <f t="shared" si="4"/>
        <v>7984</v>
      </c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</row>
    <row r="63" spans="1:70" ht="16.5" hidden="1">
      <c r="A63" s="32"/>
      <c r="B63" s="84" t="s">
        <v>139</v>
      </c>
      <c r="C63" s="108" t="s">
        <v>128</v>
      </c>
      <c r="D63" s="109"/>
      <c r="E63" s="109"/>
      <c r="F63" s="109">
        <f>18112+4528+3500+875</f>
        <v>27015</v>
      </c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12"/>
      <c r="U63" s="119">
        <f t="shared" si="4"/>
        <v>27015</v>
      </c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</row>
    <row r="64" spans="1:70" ht="16.5" hidden="1">
      <c r="A64" s="32"/>
      <c r="B64" s="84" t="s">
        <v>74</v>
      </c>
      <c r="C64" s="108" t="s">
        <v>128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12"/>
      <c r="U64" s="119">
        <f t="shared" si="4"/>
        <v>0</v>
      </c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</row>
    <row r="65" spans="1:70" ht="16.5" hidden="1">
      <c r="A65" s="32"/>
      <c r="B65" s="85" t="s">
        <v>75</v>
      </c>
      <c r="C65" s="110" t="s">
        <v>128</v>
      </c>
      <c r="D65" s="109"/>
      <c r="E65" s="109"/>
      <c r="F65" s="109">
        <f>2613+653</f>
        <v>3266</v>
      </c>
      <c r="G65" s="109"/>
      <c r="H65" s="109"/>
      <c r="I65" s="109">
        <f>14</f>
        <v>14</v>
      </c>
      <c r="J65" s="109"/>
      <c r="K65" s="109">
        <f>1500</f>
        <v>1500</v>
      </c>
      <c r="L65" s="109"/>
      <c r="M65" s="109"/>
      <c r="N65" s="109"/>
      <c r="O65" s="109"/>
      <c r="P65" s="109"/>
      <c r="Q65" s="109"/>
      <c r="R65" s="109"/>
      <c r="S65" s="109"/>
      <c r="T65" s="112"/>
      <c r="U65" s="119">
        <f t="shared" si="4"/>
        <v>4780</v>
      </c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</row>
    <row r="66" spans="1:70" ht="16.5" hidden="1">
      <c r="A66" s="32"/>
      <c r="B66" s="85" t="s">
        <v>207</v>
      </c>
      <c r="C66" s="110" t="s">
        <v>128</v>
      </c>
      <c r="D66" s="109">
        <f>22303</f>
        <v>22303</v>
      </c>
      <c r="E66" s="109">
        <f>5353+335+111+223</f>
        <v>6022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12"/>
      <c r="U66" s="119">
        <f t="shared" si="4"/>
        <v>28325</v>
      </c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</row>
    <row r="67" spans="1:70" ht="16.5" hidden="1">
      <c r="A67" s="32"/>
      <c r="B67" s="85" t="s">
        <v>156</v>
      </c>
      <c r="C67" s="110" t="s">
        <v>128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>
        <f>352+88+56058+14014+900+225</f>
        <v>71637</v>
      </c>
      <c r="P67" s="109"/>
      <c r="Q67" s="109"/>
      <c r="R67" s="109"/>
      <c r="S67" s="109"/>
      <c r="T67" s="112"/>
      <c r="U67" s="119">
        <f t="shared" si="4"/>
        <v>71637</v>
      </c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</row>
    <row r="68" spans="1:70" ht="16.5" hidden="1">
      <c r="A68" s="32"/>
      <c r="B68" s="85" t="s">
        <v>76</v>
      </c>
      <c r="C68" s="110" t="s">
        <v>128</v>
      </c>
      <c r="D68" s="109"/>
      <c r="E68" s="109"/>
      <c r="F68" s="109">
        <f>478+102+2845+239</f>
        <v>3664</v>
      </c>
      <c r="G68" s="109"/>
      <c r="H68" s="109">
        <f>726</f>
        <v>726</v>
      </c>
      <c r="I68" s="109"/>
      <c r="J68" s="109"/>
      <c r="K68" s="109">
        <f>2022+1720+2777</f>
        <v>6519</v>
      </c>
      <c r="L68" s="109"/>
      <c r="M68" s="109"/>
      <c r="N68" s="109"/>
      <c r="O68" s="109"/>
      <c r="P68" s="109"/>
      <c r="Q68" s="109"/>
      <c r="R68" s="109"/>
      <c r="S68" s="109"/>
      <c r="T68" s="112"/>
      <c r="U68" s="119">
        <f t="shared" si="4"/>
        <v>10909</v>
      </c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</row>
    <row r="69" spans="1:70" ht="16.5" hidden="1">
      <c r="A69" s="32"/>
      <c r="B69" s="85" t="s">
        <v>140</v>
      </c>
      <c r="C69" s="110" t="s">
        <v>128</v>
      </c>
      <c r="D69" s="109"/>
      <c r="E69" s="109"/>
      <c r="F69" s="109">
        <f>202+51+21+1+150+11+907+227+149+38+18+5+234+59+3128+681+32+8+780+195+1634+408</f>
        <v>8939</v>
      </c>
      <c r="G69" s="109"/>
      <c r="H69" s="109"/>
      <c r="I69" s="109"/>
      <c r="J69" s="109"/>
      <c r="K69" s="109"/>
      <c r="L69" s="109"/>
      <c r="M69" s="109"/>
      <c r="N69" s="109">
        <f>520+130+3586+896</f>
        <v>5132</v>
      </c>
      <c r="O69" s="109">
        <f>325+81+699+175+2659+664</f>
        <v>4603</v>
      </c>
      <c r="P69" s="109"/>
      <c r="Q69" s="109"/>
      <c r="R69" s="109"/>
      <c r="S69" s="109"/>
      <c r="T69" s="112"/>
      <c r="U69" s="119">
        <f t="shared" si="4"/>
        <v>18674</v>
      </c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</row>
    <row r="70" spans="1:70" ht="16.5" hidden="1">
      <c r="A70" s="32"/>
      <c r="B70" s="38">
        <v>102</v>
      </c>
      <c r="C70" s="110" t="s">
        <v>128</v>
      </c>
      <c r="D70" s="109"/>
      <c r="E70" s="109"/>
      <c r="F70" s="109">
        <f>135+34+672+168+300+75+43+11+9+3+475+119</f>
        <v>2044</v>
      </c>
      <c r="G70" s="109"/>
      <c r="H70" s="109"/>
      <c r="I70" s="109"/>
      <c r="J70" s="109"/>
      <c r="K70" s="109"/>
      <c r="L70" s="109"/>
      <c r="M70" s="109"/>
      <c r="N70" s="109"/>
      <c r="O70" s="109">
        <f>4008+1002+2838+709</f>
        <v>8557</v>
      </c>
      <c r="P70" s="109"/>
      <c r="Q70" s="109"/>
      <c r="R70" s="109"/>
      <c r="S70" s="109"/>
      <c r="T70" s="112"/>
      <c r="U70" s="119">
        <f t="shared" si="4"/>
        <v>10601</v>
      </c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</row>
    <row r="71" spans="1:70" ht="16.5" hidden="1">
      <c r="A71" s="32"/>
      <c r="B71" s="38">
        <v>103</v>
      </c>
      <c r="C71" s="110" t="s">
        <v>128</v>
      </c>
      <c r="D71" s="109"/>
      <c r="E71" s="109"/>
      <c r="F71" s="109">
        <f>7+1</f>
        <v>8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12"/>
      <c r="U71" s="119">
        <f t="shared" si="4"/>
        <v>8</v>
      </c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</row>
    <row r="72" spans="1:70" ht="17.25" hidden="1" thickTop="1">
      <c r="A72" s="32"/>
      <c r="B72" s="38">
        <v>105</v>
      </c>
      <c r="C72" s="110" t="s">
        <v>128</v>
      </c>
      <c r="D72" s="109"/>
      <c r="E72" s="109"/>
      <c r="F72" s="109">
        <f>487+121+285+72+791+198</f>
        <v>1954</v>
      </c>
      <c r="G72" s="109"/>
      <c r="H72" s="109"/>
      <c r="I72" s="109"/>
      <c r="J72" s="109"/>
      <c r="K72" s="109">
        <f>500</f>
        <v>500</v>
      </c>
      <c r="L72" s="109"/>
      <c r="M72" s="109"/>
      <c r="N72" s="109"/>
      <c r="O72" s="109"/>
      <c r="P72" s="109"/>
      <c r="Q72" s="109"/>
      <c r="R72" s="109"/>
      <c r="S72" s="109"/>
      <c r="T72" s="112"/>
      <c r="U72" s="119">
        <f t="shared" si="4"/>
        <v>2454</v>
      </c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</row>
    <row r="73" spans="1:70" ht="16.5" hidden="1">
      <c r="A73" s="32"/>
      <c r="B73" s="38">
        <v>106</v>
      </c>
      <c r="C73" s="110" t="s">
        <v>128</v>
      </c>
      <c r="D73" s="109"/>
      <c r="E73" s="109"/>
      <c r="F73" s="109">
        <f>3888+194</f>
        <v>4082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12"/>
      <c r="U73" s="119">
        <f t="shared" si="4"/>
        <v>4082</v>
      </c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</row>
    <row r="74" spans="1:70" ht="16.5" hidden="1">
      <c r="A74" s="32"/>
      <c r="B74" s="38">
        <v>111</v>
      </c>
      <c r="C74" s="110" t="s">
        <v>128</v>
      </c>
      <c r="D74" s="109"/>
      <c r="E74" s="109"/>
      <c r="F74" s="109"/>
      <c r="G74" s="109"/>
      <c r="H74" s="109"/>
      <c r="I74" s="109"/>
      <c r="J74" s="109"/>
      <c r="K74" s="109"/>
      <c r="L74" s="109">
        <f>2122491</f>
        <v>2122491</v>
      </c>
      <c r="M74" s="109">
        <f>7800+12502</f>
        <v>20302</v>
      </c>
      <c r="N74" s="109"/>
      <c r="O74" s="109"/>
      <c r="P74" s="109"/>
      <c r="Q74" s="109"/>
      <c r="R74" s="109"/>
      <c r="S74" s="109"/>
      <c r="T74" s="112"/>
      <c r="U74" s="119">
        <f t="shared" si="4"/>
        <v>2142793</v>
      </c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</row>
    <row r="75" spans="1:70" ht="16.5" hidden="1">
      <c r="A75" s="32"/>
      <c r="B75" s="38">
        <v>112</v>
      </c>
      <c r="C75" s="110" t="s">
        <v>128</v>
      </c>
      <c r="D75" s="109"/>
      <c r="E75" s="109"/>
      <c r="F75" s="109">
        <f>1500+375</f>
        <v>1875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12"/>
      <c r="U75" s="119">
        <f t="shared" si="4"/>
        <v>1875</v>
      </c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</row>
    <row r="76" spans="1:70" ht="16.5" hidden="1">
      <c r="A76" s="32"/>
      <c r="B76" s="38">
        <v>120</v>
      </c>
      <c r="C76" s="86" t="s">
        <v>128</v>
      </c>
      <c r="D76" s="87"/>
      <c r="E76" s="87"/>
      <c r="F76" s="87">
        <f>160+40+420+800+200</f>
        <v>1620</v>
      </c>
      <c r="G76" s="87"/>
      <c r="H76" s="87"/>
      <c r="I76" s="88"/>
      <c r="J76" s="88"/>
      <c r="K76" s="88"/>
      <c r="L76" s="88"/>
      <c r="M76" s="88"/>
      <c r="N76" s="88"/>
      <c r="O76" s="88">
        <f>569+142+508+128+3900+975+929+232+92+23+30+8+30+8+480+120</f>
        <v>8174</v>
      </c>
      <c r="P76" s="88"/>
      <c r="Q76" s="88"/>
      <c r="R76" s="88"/>
      <c r="S76" s="88"/>
      <c r="T76" s="113"/>
      <c r="U76" s="120">
        <f t="shared" si="4"/>
        <v>9794</v>
      </c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</row>
    <row r="77" spans="1:70" ht="16.5" hidden="1">
      <c r="A77" s="32"/>
      <c r="B77" s="38">
        <v>121</v>
      </c>
      <c r="C77" s="86" t="s">
        <v>128</v>
      </c>
      <c r="D77" s="87"/>
      <c r="E77" s="87"/>
      <c r="F77" s="87">
        <f>2570+643+148+37+2400+600+115+29+5500+1375+1000+250+2328+582+2530+632+2362+590+9600+2400</f>
        <v>35691</v>
      </c>
      <c r="G77" s="87"/>
      <c r="H77" s="87"/>
      <c r="I77" s="88"/>
      <c r="J77" s="88"/>
      <c r="K77" s="88"/>
      <c r="L77" s="88"/>
      <c r="M77" s="88"/>
      <c r="N77" s="88"/>
      <c r="O77" s="88">
        <f>2374+594+16847+4212+49208+12302+350+88+3970+993+7046+1762+172+43+92+23+2220+555+169+42+130+33</f>
        <v>103225</v>
      </c>
      <c r="P77" s="88"/>
      <c r="Q77" s="88"/>
      <c r="R77" s="88"/>
      <c r="S77" s="88"/>
      <c r="T77" s="113"/>
      <c r="U77" s="120">
        <f t="shared" si="4"/>
        <v>138916</v>
      </c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</row>
    <row r="78" spans="1:70" ht="16.5" hidden="1">
      <c r="A78" s="32"/>
      <c r="B78" s="38">
        <v>180</v>
      </c>
      <c r="C78" s="86" t="s">
        <v>128</v>
      </c>
      <c r="D78" s="87"/>
      <c r="E78" s="87"/>
      <c r="F78" s="87">
        <f>60+778+194+1660+415+31+1087+272+1716+429+1000+250</f>
        <v>7892</v>
      </c>
      <c r="G78" s="87"/>
      <c r="H78" s="87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113"/>
      <c r="U78" s="120">
        <f t="shared" si="4"/>
        <v>7892</v>
      </c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</row>
    <row r="79" spans="1:70" ht="16.5" hidden="1">
      <c r="A79" s="32"/>
      <c r="B79" s="38">
        <v>190</v>
      </c>
      <c r="C79" s="86" t="s">
        <v>128</v>
      </c>
      <c r="D79" s="87"/>
      <c r="E79" s="87"/>
      <c r="F79" s="87"/>
      <c r="G79" s="87"/>
      <c r="H79" s="87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113"/>
      <c r="U79" s="120">
        <f t="shared" si="4"/>
        <v>0</v>
      </c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</row>
    <row r="80" spans="1:70" ht="16.5" hidden="1">
      <c r="A80" s="32"/>
      <c r="B80" s="38">
        <v>200</v>
      </c>
      <c r="C80" s="86" t="s">
        <v>128</v>
      </c>
      <c r="D80" s="87"/>
      <c r="E80" s="87"/>
      <c r="F80" s="87"/>
      <c r="G80" s="87"/>
      <c r="H80" s="87"/>
      <c r="I80" s="88"/>
      <c r="J80" s="88"/>
      <c r="K80" s="88"/>
      <c r="L80" s="88"/>
      <c r="M80" s="88"/>
      <c r="N80" s="88">
        <f>7543+1886+754+189</f>
        <v>10372</v>
      </c>
      <c r="O80" s="88"/>
      <c r="P80" s="88"/>
      <c r="Q80" s="88"/>
      <c r="R80" s="88"/>
      <c r="S80" s="88"/>
      <c r="T80" s="113"/>
      <c r="U80" s="120">
        <f t="shared" si="4"/>
        <v>10372</v>
      </c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</row>
    <row r="81" spans="1:70" ht="16.5" hidden="1">
      <c r="A81" s="32"/>
      <c r="B81" s="38">
        <v>210</v>
      </c>
      <c r="C81" s="86" t="s">
        <v>128</v>
      </c>
      <c r="D81" s="87"/>
      <c r="E81" s="87"/>
      <c r="F81" s="87"/>
      <c r="G81" s="87"/>
      <c r="H81" s="87"/>
      <c r="I81" s="88"/>
      <c r="J81" s="88"/>
      <c r="K81" s="88"/>
      <c r="L81" s="88"/>
      <c r="M81" s="89"/>
      <c r="N81" s="88"/>
      <c r="O81" s="88"/>
      <c r="P81" s="88"/>
      <c r="Q81" s="88"/>
      <c r="R81" s="88"/>
      <c r="S81" s="88"/>
      <c r="T81" s="113"/>
      <c r="U81" s="120">
        <f t="shared" si="4"/>
        <v>0</v>
      </c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</row>
    <row r="82" spans="1:70" ht="16.5" hidden="1">
      <c r="A82" s="32"/>
      <c r="B82" s="38">
        <v>220</v>
      </c>
      <c r="C82" s="86" t="s">
        <v>128</v>
      </c>
      <c r="D82" s="87"/>
      <c r="E82" s="87"/>
      <c r="F82" s="87"/>
      <c r="G82" s="87"/>
      <c r="H82" s="87"/>
      <c r="I82" s="88"/>
      <c r="J82" s="88"/>
      <c r="K82" s="88"/>
      <c r="L82" s="88"/>
      <c r="M82" s="89"/>
      <c r="N82" s="88"/>
      <c r="O82" s="88"/>
      <c r="P82" s="88"/>
      <c r="Q82" s="88"/>
      <c r="R82" s="88"/>
      <c r="S82" s="88"/>
      <c r="T82" s="113"/>
      <c r="U82" s="120">
        <f t="shared" si="4"/>
        <v>0</v>
      </c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</row>
    <row r="83" spans="1:70" ht="16.5" hidden="1">
      <c r="A83" s="32"/>
      <c r="B83" s="38">
        <v>407</v>
      </c>
      <c r="C83" s="86" t="s">
        <v>128</v>
      </c>
      <c r="D83" s="87"/>
      <c r="E83" s="87"/>
      <c r="F83" s="87">
        <f>730+182</f>
        <v>912</v>
      </c>
      <c r="G83" s="87"/>
      <c r="H83" s="87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113"/>
      <c r="U83" s="120">
        <f t="shared" si="4"/>
        <v>912</v>
      </c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</row>
    <row r="84" spans="1:70" ht="16.5" hidden="1">
      <c r="A84" s="32"/>
      <c r="B84" s="38">
        <v>408</v>
      </c>
      <c r="C84" s="86" t="s">
        <v>128</v>
      </c>
      <c r="D84" s="87"/>
      <c r="E84" s="87"/>
      <c r="F84" s="87"/>
      <c r="G84" s="87"/>
      <c r="H84" s="87"/>
      <c r="I84" s="88"/>
      <c r="J84" s="88"/>
      <c r="K84" s="88"/>
      <c r="L84" s="88"/>
      <c r="M84" s="88"/>
      <c r="N84" s="88"/>
      <c r="O84" s="88">
        <f>70+18</f>
        <v>88</v>
      </c>
      <c r="P84" s="88"/>
      <c r="Q84" s="88"/>
      <c r="R84" s="88"/>
      <c r="S84" s="88"/>
      <c r="T84" s="113"/>
      <c r="U84" s="120">
        <f t="shared" si="4"/>
        <v>88</v>
      </c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</row>
    <row r="85" spans="1:70" ht="16.5" hidden="1">
      <c r="A85" s="32"/>
      <c r="B85" s="38">
        <v>409</v>
      </c>
      <c r="C85" s="86" t="s">
        <v>128</v>
      </c>
      <c r="D85" s="87"/>
      <c r="E85" s="87"/>
      <c r="F85" s="87"/>
      <c r="G85" s="87"/>
      <c r="H85" s="87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113"/>
      <c r="U85" s="120">
        <f t="shared" si="4"/>
        <v>0</v>
      </c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</row>
    <row r="86" spans="1:70" ht="16.5" hidden="1">
      <c r="A86" s="32"/>
      <c r="B86" s="38">
        <v>410</v>
      </c>
      <c r="C86" s="86" t="s">
        <v>128</v>
      </c>
      <c r="D86" s="87"/>
      <c r="E86" s="87"/>
      <c r="F86" s="87"/>
      <c r="G86" s="87"/>
      <c r="H86" s="87"/>
      <c r="I86" s="88"/>
      <c r="J86" s="88"/>
      <c r="K86" s="88"/>
      <c r="L86" s="88"/>
      <c r="M86" s="88"/>
      <c r="N86" s="88"/>
      <c r="O86" s="88">
        <f>1326+332</f>
        <v>1658</v>
      </c>
      <c r="P86" s="88"/>
      <c r="Q86" s="88"/>
      <c r="R86" s="88"/>
      <c r="S86" s="88"/>
      <c r="T86" s="113"/>
      <c r="U86" s="120">
        <f t="shared" si="4"/>
        <v>1658</v>
      </c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</row>
    <row r="87" spans="1:70" ht="16.5" hidden="1">
      <c r="A87" s="32"/>
      <c r="B87" s="38">
        <v>411</v>
      </c>
      <c r="C87" s="86" t="s">
        <v>128</v>
      </c>
      <c r="D87" s="87"/>
      <c r="E87" s="87"/>
      <c r="F87" s="87"/>
      <c r="G87" s="87"/>
      <c r="H87" s="87"/>
      <c r="I87" s="88"/>
      <c r="J87" s="88"/>
      <c r="K87" s="88"/>
      <c r="L87" s="88"/>
      <c r="M87" s="88"/>
      <c r="N87" s="88"/>
      <c r="O87" s="88">
        <f>15637+3909+77+19</f>
        <v>19642</v>
      </c>
      <c r="P87" s="88"/>
      <c r="Q87" s="88"/>
      <c r="R87" s="88"/>
      <c r="S87" s="88"/>
      <c r="T87" s="113"/>
      <c r="U87" s="120">
        <f t="shared" si="4"/>
        <v>19642</v>
      </c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</row>
    <row r="88" spans="1:70" ht="16.5" hidden="1">
      <c r="A88" s="32"/>
      <c r="B88" s="38">
        <v>412</v>
      </c>
      <c r="C88" s="86" t="s">
        <v>128</v>
      </c>
      <c r="D88" s="87"/>
      <c r="E88" s="87"/>
      <c r="F88" s="87"/>
      <c r="G88" s="87"/>
      <c r="H88" s="87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113"/>
      <c r="U88" s="120">
        <f t="shared" si="4"/>
        <v>0</v>
      </c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</row>
    <row r="89" spans="1:70" ht="16.5" hidden="1">
      <c r="A89" s="32"/>
      <c r="B89" s="38">
        <v>413</v>
      </c>
      <c r="C89" s="86" t="s">
        <v>128</v>
      </c>
      <c r="D89" s="87"/>
      <c r="E89" s="87"/>
      <c r="F89" s="87"/>
      <c r="G89" s="87"/>
      <c r="H89" s="87"/>
      <c r="I89" s="88"/>
      <c r="J89" s="88"/>
      <c r="K89" s="88"/>
      <c r="L89" s="88"/>
      <c r="M89" s="88"/>
      <c r="N89" s="88"/>
      <c r="O89" s="88">
        <f>15+4</f>
        <v>19</v>
      </c>
      <c r="P89" s="88"/>
      <c r="Q89" s="88"/>
      <c r="R89" s="88"/>
      <c r="S89" s="88"/>
      <c r="T89" s="113"/>
      <c r="U89" s="120">
        <f t="shared" si="4"/>
        <v>19</v>
      </c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</row>
    <row r="90" spans="1:70" ht="16.5" hidden="1">
      <c r="A90" s="32"/>
      <c r="B90" s="38">
        <v>414</v>
      </c>
      <c r="C90" s="86" t="s">
        <v>128</v>
      </c>
      <c r="D90" s="87"/>
      <c r="E90" s="87"/>
      <c r="F90" s="87"/>
      <c r="G90" s="87"/>
      <c r="H90" s="87"/>
      <c r="I90" s="88"/>
      <c r="J90" s="88"/>
      <c r="K90" s="88"/>
      <c r="L90" s="88"/>
      <c r="M90" s="88"/>
      <c r="N90" s="88"/>
      <c r="O90" s="88">
        <f>77+19</f>
        <v>96</v>
      </c>
      <c r="P90" s="88"/>
      <c r="Q90" s="88"/>
      <c r="R90" s="88"/>
      <c r="S90" s="88"/>
      <c r="T90" s="113"/>
      <c r="U90" s="120">
        <f t="shared" si="4"/>
        <v>96</v>
      </c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</row>
    <row r="91" spans="1:70" ht="16.5" hidden="1">
      <c r="A91" s="32"/>
      <c r="B91" s="38">
        <v>415</v>
      </c>
      <c r="C91" s="86" t="s">
        <v>128</v>
      </c>
      <c r="D91" s="87"/>
      <c r="E91" s="87"/>
      <c r="F91" s="87"/>
      <c r="G91" s="87"/>
      <c r="H91" s="87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113"/>
      <c r="U91" s="120">
        <f t="shared" si="4"/>
        <v>0</v>
      </c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</row>
    <row r="92" spans="1:70" ht="16.5" hidden="1">
      <c r="A92" s="32"/>
      <c r="B92" s="38">
        <v>416</v>
      </c>
      <c r="C92" s="86" t="s">
        <v>128</v>
      </c>
      <c r="D92" s="87"/>
      <c r="E92" s="87"/>
      <c r="F92" s="87"/>
      <c r="G92" s="87"/>
      <c r="H92" s="87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113"/>
      <c r="U92" s="120">
        <f t="shared" si="4"/>
        <v>0</v>
      </c>
      <c r="W92" s="167">
        <f>SUM(W93:W102)</f>
        <v>0</v>
      </c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</row>
    <row r="93" spans="1:70" ht="16.5" hidden="1">
      <c r="A93" s="32"/>
      <c r="B93" s="38">
        <v>301</v>
      </c>
      <c r="C93" s="86" t="s">
        <v>128</v>
      </c>
      <c r="D93" s="169"/>
      <c r="E93" s="169">
        <f>5.323</f>
        <v>5.323</v>
      </c>
      <c r="F93" s="169">
        <f>0.814+0.204+107.999+27.001+167.342+40.66+16.949+3.051+74+160+40+21.073+5.268+32.215</f>
        <v>696.576</v>
      </c>
      <c r="G93" s="169">
        <f>5.292+0.508</f>
        <v>5.8</v>
      </c>
      <c r="H93" s="169"/>
      <c r="I93" s="89"/>
      <c r="J93" s="89">
        <v>0.082</v>
      </c>
      <c r="K93" s="89"/>
      <c r="L93" s="89"/>
      <c r="M93" s="88"/>
      <c r="N93" s="88"/>
      <c r="O93" s="88"/>
      <c r="P93" s="88"/>
      <c r="Q93" s="88"/>
      <c r="R93" s="88"/>
      <c r="S93" s="88"/>
      <c r="T93" s="113"/>
      <c r="U93" s="165">
        <f t="shared" si="4"/>
        <v>707.781</v>
      </c>
      <c r="W93" s="166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</row>
    <row r="94" spans="1:70" ht="16.5" hidden="1">
      <c r="A94" s="32"/>
      <c r="B94" s="38">
        <v>302</v>
      </c>
      <c r="C94" s="86" t="s">
        <v>128</v>
      </c>
      <c r="D94" s="169"/>
      <c r="E94" s="169">
        <f>37.585</f>
        <v>37.585</v>
      </c>
      <c r="F94" s="169">
        <f>60.984+15.246+25+5+7.345+1.837+7.927+1.982+200.642+401.782</f>
        <v>727.7449999999999</v>
      </c>
      <c r="G94" s="169">
        <f>75.17+90</f>
        <v>165.17000000000002</v>
      </c>
      <c r="H94" s="169"/>
      <c r="I94" s="89"/>
      <c r="J94" s="89">
        <f>228.554</f>
        <v>228.554</v>
      </c>
      <c r="K94" s="89"/>
      <c r="L94" s="89"/>
      <c r="M94" s="88"/>
      <c r="N94" s="88"/>
      <c r="O94" s="88"/>
      <c r="P94" s="88"/>
      <c r="Q94" s="88"/>
      <c r="R94" s="88"/>
      <c r="S94" s="89">
        <f>474.687+38.329</f>
        <v>513.016</v>
      </c>
      <c r="T94" s="113"/>
      <c r="U94" s="165">
        <f t="shared" si="4"/>
        <v>1672.0700000000002</v>
      </c>
      <c r="W94" s="166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</row>
    <row r="95" spans="1:70" ht="16.5" hidden="1">
      <c r="A95" s="32"/>
      <c r="B95" s="168">
        <v>303</v>
      </c>
      <c r="C95" s="86" t="s">
        <v>128</v>
      </c>
      <c r="D95" s="169"/>
      <c r="E95" s="169"/>
      <c r="F95" s="169">
        <f>24+33.857+14.464</f>
        <v>72.321</v>
      </c>
      <c r="G95" s="169"/>
      <c r="H95" s="169"/>
      <c r="I95" s="89"/>
      <c r="J95" s="89"/>
      <c r="K95" s="89"/>
      <c r="L95" s="89"/>
      <c r="M95" s="88"/>
      <c r="N95" s="88"/>
      <c r="O95" s="88"/>
      <c r="P95" s="88"/>
      <c r="Q95" s="88"/>
      <c r="R95" s="88"/>
      <c r="S95" s="88"/>
      <c r="T95" s="113"/>
      <c r="U95" s="165">
        <f t="shared" si="4"/>
        <v>72.321</v>
      </c>
      <c r="W95" s="166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</row>
    <row r="96" spans="1:70" ht="16.5" hidden="1">
      <c r="A96" s="32"/>
      <c r="B96" s="168">
        <v>305</v>
      </c>
      <c r="C96" s="86" t="s">
        <v>128</v>
      </c>
      <c r="D96" s="169"/>
      <c r="E96" s="169"/>
      <c r="F96" s="169">
        <f>20.851+42.3</f>
        <v>63.150999999999996</v>
      </c>
      <c r="G96" s="169"/>
      <c r="H96" s="169"/>
      <c r="I96" s="89"/>
      <c r="J96" s="89"/>
      <c r="K96" s="89"/>
      <c r="L96" s="89"/>
      <c r="M96" s="88"/>
      <c r="N96" s="88"/>
      <c r="O96" s="88"/>
      <c r="P96" s="88"/>
      <c r="Q96" s="88"/>
      <c r="R96" s="88"/>
      <c r="S96" s="88"/>
      <c r="T96" s="113"/>
      <c r="U96" s="165">
        <f t="shared" si="4"/>
        <v>63.150999999999996</v>
      </c>
      <c r="W96" s="166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</row>
    <row r="97" spans="1:70" ht="16.5" hidden="1">
      <c r="A97" s="32"/>
      <c r="B97" s="168">
        <v>306</v>
      </c>
      <c r="C97" s="86" t="s">
        <v>128</v>
      </c>
      <c r="D97" s="169"/>
      <c r="E97" s="169"/>
      <c r="F97" s="169"/>
      <c r="G97" s="169"/>
      <c r="H97" s="169"/>
      <c r="I97" s="89"/>
      <c r="J97" s="89"/>
      <c r="K97" s="89">
        <f>1.276+37.761</f>
        <v>39.037000000000006</v>
      </c>
      <c r="L97" s="89"/>
      <c r="M97" s="88"/>
      <c r="N97" s="88"/>
      <c r="O97" s="88"/>
      <c r="P97" s="88"/>
      <c r="Q97" s="88"/>
      <c r="R97" s="88"/>
      <c r="S97" s="88"/>
      <c r="T97" s="113"/>
      <c r="U97" s="165">
        <f t="shared" si="4"/>
        <v>39.037000000000006</v>
      </c>
      <c r="W97" s="166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</row>
    <row r="98" spans="1:70" ht="16.5" hidden="1">
      <c r="A98" s="32"/>
      <c r="B98" s="168">
        <v>307</v>
      </c>
      <c r="C98" s="86" t="s">
        <v>128</v>
      </c>
      <c r="D98" s="169"/>
      <c r="E98" s="169"/>
      <c r="F98" s="169">
        <f>37.296+9.324+4.24+1.06+24.743+23.52+5.88+5.75+11.602+133.088+21.038+90.422+22.606+15.36+3.84+11.271</f>
        <v>421.03999999999996</v>
      </c>
      <c r="G98" s="169">
        <f>1.676</f>
        <v>1.676</v>
      </c>
      <c r="H98" s="169"/>
      <c r="I98" s="89"/>
      <c r="J98" s="89">
        <f>5.755</f>
        <v>5.755</v>
      </c>
      <c r="K98" s="89"/>
      <c r="L98" s="89"/>
      <c r="M98" s="88"/>
      <c r="N98" s="88"/>
      <c r="O98" s="88"/>
      <c r="P98" s="88"/>
      <c r="Q98" s="88"/>
      <c r="R98" s="88"/>
      <c r="S98" s="88"/>
      <c r="T98" s="113"/>
      <c r="U98" s="165">
        <f t="shared" si="4"/>
        <v>428.47099999999995</v>
      </c>
      <c r="W98" s="166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</row>
    <row r="99" spans="1:70" ht="16.5" hidden="1">
      <c r="A99" s="32"/>
      <c r="B99" s="168">
        <v>308</v>
      </c>
      <c r="C99" s="86" t="s">
        <v>128</v>
      </c>
      <c r="D99" s="169"/>
      <c r="E99" s="169"/>
      <c r="F99" s="169">
        <f>36.478+100.322+9.119+25.081+38.954</f>
        <v>209.954</v>
      </c>
      <c r="G99" s="169"/>
      <c r="H99" s="169"/>
      <c r="I99" s="89"/>
      <c r="J99" s="89"/>
      <c r="K99" s="89"/>
      <c r="L99" s="89"/>
      <c r="M99" s="88"/>
      <c r="N99" s="88"/>
      <c r="O99" s="88"/>
      <c r="P99" s="88"/>
      <c r="Q99" s="88"/>
      <c r="R99" s="88"/>
      <c r="S99" s="88"/>
      <c r="T99" s="113"/>
      <c r="U99" s="165">
        <f t="shared" si="4"/>
        <v>209.954</v>
      </c>
      <c r="W99" s="166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</row>
    <row r="100" spans="1:70" ht="16.5" hidden="1">
      <c r="A100" s="32"/>
      <c r="B100" s="168">
        <v>309</v>
      </c>
      <c r="C100" s="86" t="s">
        <v>128</v>
      </c>
      <c r="D100" s="169"/>
      <c r="E100" s="169"/>
      <c r="F100" s="169"/>
      <c r="G100" s="169"/>
      <c r="H100" s="169"/>
      <c r="I100" s="89"/>
      <c r="J100" s="89"/>
      <c r="K100" s="89"/>
      <c r="L100" s="89"/>
      <c r="M100" s="88"/>
      <c r="N100" s="88"/>
      <c r="O100" s="88"/>
      <c r="P100" s="88"/>
      <c r="Q100" s="88"/>
      <c r="R100" s="88"/>
      <c r="S100" s="88"/>
      <c r="T100" s="113"/>
      <c r="U100" s="165">
        <f t="shared" si="4"/>
        <v>0</v>
      </c>
      <c r="W100" s="166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</row>
    <row r="101" spans="1:70" ht="16.5" hidden="1">
      <c r="A101" s="32"/>
      <c r="B101" s="168">
        <v>310</v>
      </c>
      <c r="C101" s="86" t="s">
        <v>128</v>
      </c>
      <c r="D101" s="170"/>
      <c r="E101" s="170"/>
      <c r="F101" s="170">
        <f>22.8+5.7+140.907+35.227+34+2.5</f>
        <v>241.13400000000001</v>
      </c>
      <c r="G101" s="170"/>
      <c r="H101" s="170"/>
      <c r="I101" s="171"/>
      <c r="J101" s="171"/>
      <c r="K101" s="171"/>
      <c r="L101" s="171"/>
      <c r="M101" s="90"/>
      <c r="N101" s="90"/>
      <c r="O101" s="90"/>
      <c r="P101" s="90"/>
      <c r="Q101" s="90"/>
      <c r="R101" s="90"/>
      <c r="S101" s="90"/>
      <c r="T101" s="114"/>
      <c r="U101" s="165">
        <f t="shared" si="4"/>
        <v>241.13400000000001</v>
      </c>
      <c r="W101" s="166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</row>
    <row r="102" spans="1:70" ht="16.5" hidden="1">
      <c r="A102" s="198"/>
      <c r="B102" s="199">
        <v>311</v>
      </c>
      <c r="C102" s="86" t="s">
        <v>128</v>
      </c>
      <c r="D102" s="169"/>
      <c r="E102" s="169"/>
      <c r="F102" s="169">
        <f>280+40+7.484</f>
        <v>327.484</v>
      </c>
      <c r="G102" s="169"/>
      <c r="H102" s="169"/>
      <c r="I102" s="89"/>
      <c r="J102" s="89">
        <f>92.899</f>
        <v>92.899</v>
      </c>
      <c r="K102" s="89"/>
      <c r="L102" s="89"/>
      <c r="M102" s="88"/>
      <c r="N102" s="88"/>
      <c r="O102" s="88"/>
      <c r="P102" s="88"/>
      <c r="Q102" s="88"/>
      <c r="R102" s="88"/>
      <c r="S102" s="88"/>
      <c r="T102" s="113"/>
      <c r="U102" s="165">
        <f t="shared" si="4"/>
        <v>420.383</v>
      </c>
      <c r="W102" s="166"/>
      <c r="X102" s="166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</row>
    <row r="103" spans="1:70" ht="16.5" hidden="1">
      <c r="A103" s="207"/>
      <c r="B103" s="208">
        <v>312</v>
      </c>
      <c r="C103" s="86" t="s">
        <v>128</v>
      </c>
      <c r="D103" s="169"/>
      <c r="E103" s="169"/>
      <c r="F103" s="169">
        <f>0.415</f>
        <v>0.415</v>
      </c>
      <c r="G103" s="169"/>
      <c r="H103" s="169"/>
      <c r="I103" s="89"/>
      <c r="J103" s="89"/>
      <c r="K103" s="89"/>
      <c r="L103" s="89"/>
      <c r="M103" s="88"/>
      <c r="N103" s="88"/>
      <c r="O103" s="88"/>
      <c r="P103" s="88"/>
      <c r="Q103" s="88"/>
      <c r="R103" s="88"/>
      <c r="S103" s="88"/>
      <c r="T103" s="113"/>
      <c r="U103" s="165">
        <f t="shared" si="4"/>
        <v>0.415</v>
      </c>
      <c r="W103" s="166"/>
      <c r="X103" s="166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</row>
    <row r="104" spans="1:70" ht="17.25" hidden="1" thickBot="1">
      <c r="A104" s="201"/>
      <c r="B104" s="202"/>
      <c r="C104" s="192" t="s">
        <v>208</v>
      </c>
      <c r="D104" s="193">
        <v>26892</v>
      </c>
      <c r="E104" s="193">
        <v>3626</v>
      </c>
      <c r="F104" s="193">
        <v>24126</v>
      </c>
      <c r="G104" s="193">
        <v>682</v>
      </c>
      <c r="H104" s="193"/>
      <c r="I104" s="194"/>
      <c r="J104" s="194"/>
      <c r="K104" s="194"/>
      <c r="L104" s="194"/>
      <c r="M104" s="195"/>
      <c r="N104" s="195">
        <v>964</v>
      </c>
      <c r="O104" s="195">
        <v>25266</v>
      </c>
      <c r="P104" s="195"/>
      <c r="Q104" s="195"/>
      <c r="R104" s="195"/>
      <c r="S104" s="195"/>
      <c r="T104" s="196"/>
      <c r="U104" s="197">
        <f t="shared" si="4"/>
        <v>81556</v>
      </c>
      <c r="W104" s="166"/>
      <c r="X104" s="166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</row>
    <row r="105" spans="1:70" s="93" customFormat="1" ht="30" customHeight="1" hidden="1" thickBot="1" thickTop="1">
      <c r="A105" s="200"/>
      <c r="B105" s="190"/>
      <c r="C105" s="46" t="s">
        <v>143</v>
      </c>
      <c r="D105" s="59">
        <f>SUM(D46:D104)</f>
        <v>239612</v>
      </c>
      <c r="E105" s="59">
        <f>SUM(E46:E104)</f>
        <v>49440.907999999996</v>
      </c>
      <c r="F105" s="59">
        <f aca="true" t="shared" si="5" ref="F105:L105">SUM(F46:F104)</f>
        <v>172428.82</v>
      </c>
      <c r="G105" s="59">
        <f t="shared" si="5"/>
        <v>11381.645999999999</v>
      </c>
      <c r="H105" s="59">
        <f t="shared" si="5"/>
        <v>726</v>
      </c>
      <c r="I105" s="59">
        <f t="shared" si="5"/>
        <v>14</v>
      </c>
      <c r="J105" s="59">
        <f t="shared" si="5"/>
        <v>327.28999999999996</v>
      </c>
      <c r="K105" s="59">
        <f t="shared" si="5"/>
        <v>10008.037</v>
      </c>
      <c r="L105" s="59">
        <f t="shared" si="5"/>
        <v>2123239</v>
      </c>
      <c r="M105" s="59">
        <f aca="true" t="shared" si="6" ref="M105:T105">SUM(M46:M104)</f>
        <v>166409</v>
      </c>
      <c r="N105" s="59">
        <f t="shared" si="6"/>
        <v>16468</v>
      </c>
      <c r="O105" s="59">
        <f t="shared" si="6"/>
        <v>242965</v>
      </c>
      <c r="P105" s="59">
        <f t="shared" si="6"/>
        <v>0</v>
      </c>
      <c r="Q105" s="59">
        <f t="shared" si="6"/>
        <v>10000</v>
      </c>
      <c r="R105" s="59">
        <f t="shared" si="6"/>
        <v>0</v>
      </c>
      <c r="S105" s="59">
        <f t="shared" si="6"/>
        <v>529677.016</v>
      </c>
      <c r="T105" s="59">
        <f t="shared" si="6"/>
        <v>0</v>
      </c>
      <c r="U105" s="191">
        <f t="shared" si="4"/>
        <v>3572696.7169999997</v>
      </c>
      <c r="V105" s="92">
        <v>4496580</v>
      </c>
      <c r="W105" s="92">
        <f>V105-U105</f>
        <v>923883.2830000003</v>
      </c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</row>
    <row r="106" spans="1:70" ht="30" customHeight="1" hidden="1" thickBot="1" thickTop="1">
      <c r="A106" s="175"/>
      <c r="B106" s="43"/>
      <c r="C106" s="51" t="s">
        <v>141</v>
      </c>
      <c r="D106" s="98">
        <f aca="true" t="shared" si="7" ref="D106:U106">D45+D105</f>
        <v>5092148</v>
      </c>
      <c r="E106" s="98">
        <f t="shared" si="7"/>
        <v>1315708.908</v>
      </c>
      <c r="F106" s="98">
        <f t="shared" si="7"/>
        <v>4596416.82</v>
      </c>
      <c r="G106" s="98">
        <f t="shared" si="7"/>
        <v>256840.646</v>
      </c>
      <c r="H106" s="98">
        <f t="shared" si="7"/>
        <v>405605</v>
      </c>
      <c r="I106" s="98">
        <f t="shared" si="7"/>
        <v>38811</v>
      </c>
      <c r="J106" s="98">
        <f t="shared" si="7"/>
        <v>17132.29</v>
      </c>
      <c r="K106" s="98">
        <f t="shared" si="7"/>
        <v>143171.037</v>
      </c>
      <c r="L106" s="98">
        <f t="shared" si="7"/>
        <v>2190452</v>
      </c>
      <c r="M106" s="98">
        <f t="shared" si="7"/>
        <v>322409</v>
      </c>
      <c r="N106" s="98">
        <f t="shared" si="7"/>
        <v>58688</v>
      </c>
      <c r="O106" s="98">
        <f t="shared" si="7"/>
        <v>1337579</v>
      </c>
      <c r="P106" s="98">
        <f t="shared" si="7"/>
        <v>25200</v>
      </c>
      <c r="Q106" s="98">
        <f t="shared" si="7"/>
        <v>10000</v>
      </c>
      <c r="R106" s="98">
        <f t="shared" si="7"/>
        <v>144828</v>
      </c>
      <c r="S106" s="98">
        <f t="shared" si="7"/>
        <v>1886089.0159999998</v>
      </c>
      <c r="T106" s="99">
        <f t="shared" si="7"/>
        <v>1498759</v>
      </c>
      <c r="U106" s="91">
        <f t="shared" si="7"/>
        <v>19339837.717</v>
      </c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</row>
    <row r="107" spans="1:23" ht="24" customHeight="1" thickBot="1" thickTop="1">
      <c r="A107" s="172"/>
      <c r="B107" s="173"/>
      <c r="C107" s="174" t="s">
        <v>64</v>
      </c>
      <c r="D107" s="263">
        <f aca="true" t="shared" si="8" ref="D107:T107">D106</f>
        <v>5092148</v>
      </c>
      <c r="E107" s="263">
        <f>E106+0.092</f>
        <v>1315709</v>
      </c>
      <c r="F107" s="263">
        <f>F106+0.18</f>
        <v>4596417</v>
      </c>
      <c r="G107" s="263">
        <f>G106+0.354</f>
        <v>256841</v>
      </c>
      <c r="H107" s="263">
        <f t="shared" si="8"/>
        <v>405605</v>
      </c>
      <c r="I107" s="263">
        <f t="shared" si="8"/>
        <v>38811</v>
      </c>
      <c r="J107" s="263">
        <f>J106-0.29</f>
        <v>17132</v>
      </c>
      <c r="K107" s="263">
        <f>K106-0.037</f>
        <v>143171</v>
      </c>
      <c r="L107" s="263">
        <f t="shared" si="8"/>
        <v>2190452</v>
      </c>
      <c r="M107" s="263">
        <f t="shared" si="8"/>
        <v>322409</v>
      </c>
      <c r="N107" s="263">
        <f t="shared" si="8"/>
        <v>58688</v>
      </c>
      <c r="O107" s="263">
        <f t="shared" si="8"/>
        <v>1337579</v>
      </c>
      <c r="P107" s="263">
        <f t="shared" si="8"/>
        <v>25200</v>
      </c>
      <c r="Q107" s="263">
        <f t="shared" si="8"/>
        <v>10000</v>
      </c>
      <c r="R107" s="263">
        <f t="shared" si="8"/>
        <v>144828</v>
      </c>
      <c r="S107" s="263">
        <f>S106-0.016</f>
        <v>1886088.9999999998</v>
      </c>
      <c r="T107" s="263">
        <f t="shared" si="8"/>
        <v>1498759</v>
      </c>
      <c r="U107" s="265">
        <f aca="true" t="shared" si="9" ref="U107:U140">SUM(D107:T107)</f>
        <v>19339838</v>
      </c>
      <c r="V107" s="92">
        <f>U107-T107</f>
        <v>17841079</v>
      </c>
      <c r="W107" s="60">
        <v>19339833</v>
      </c>
    </row>
    <row r="108" spans="1:21" ht="24" customHeight="1" thickTop="1">
      <c r="A108" s="94">
        <v>1</v>
      </c>
      <c r="B108" s="33" t="s">
        <v>214</v>
      </c>
      <c r="C108" s="34" t="s">
        <v>213</v>
      </c>
      <c r="D108" s="221"/>
      <c r="E108" s="221"/>
      <c r="F108" s="211">
        <f>9.539+480+120</f>
        <v>609.539</v>
      </c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3"/>
      <c r="U108" s="219">
        <f t="shared" si="9"/>
        <v>609.539</v>
      </c>
    </row>
    <row r="109" spans="1:21" ht="24" customHeight="1">
      <c r="A109" s="94">
        <v>2</v>
      </c>
      <c r="B109" s="33" t="s">
        <v>215</v>
      </c>
      <c r="C109" s="34" t="s">
        <v>216</v>
      </c>
      <c r="D109" s="224"/>
      <c r="E109" s="224"/>
      <c r="F109" s="211">
        <f>36+110+195+200+880+1231+540+798+8400+8400+6800+5900</f>
        <v>33490</v>
      </c>
      <c r="G109" s="211"/>
      <c r="H109" s="211"/>
      <c r="I109" s="211"/>
      <c r="J109" s="211"/>
      <c r="K109" s="211"/>
      <c r="L109" s="211"/>
      <c r="M109" s="211"/>
      <c r="N109" s="211"/>
      <c r="O109" s="211">
        <f>298+75+1280+320+450+113+41120+10280+1200+300</f>
        <v>55436</v>
      </c>
      <c r="P109" s="211"/>
      <c r="Q109" s="211"/>
      <c r="R109" s="211"/>
      <c r="S109" s="211">
        <f>-6526-80900-1500</f>
        <v>-88926</v>
      </c>
      <c r="T109" s="225"/>
      <c r="U109" s="220">
        <f t="shared" si="9"/>
        <v>0</v>
      </c>
    </row>
    <row r="110" spans="1:21" ht="24" customHeight="1">
      <c r="A110" s="94">
        <v>3</v>
      </c>
      <c r="B110" s="33" t="s">
        <v>218</v>
      </c>
      <c r="C110" s="48" t="s">
        <v>217</v>
      </c>
      <c r="D110" s="224"/>
      <c r="E110" s="224"/>
      <c r="F110" s="211">
        <f>578</f>
        <v>578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>
        <f>2310</f>
        <v>2310</v>
      </c>
      <c r="T110" s="225"/>
      <c r="U110" s="220">
        <f t="shared" si="9"/>
        <v>2888</v>
      </c>
    </row>
    <row r="111" spans="1:21" ht="24" customHeight="1">
      <c r="A111" s="94">
        <v>4</v>
      </c>
      <c r="B111" s="36">
        <v>39</v>
      </c>
      <c r="C111" s="34" t="s">
        <v>219</v>
      </c>
      <c r="D111" s="211"/>
      <c r="E111" s="211"/>
      <c r="F111" s="211">
        <f>-48-12</f>
        <v>-60</v>
      </c>
      <c r="G111" s="211"/>
      <c r="H111" s="211"/>
      <c r="I111" s="211"/>
      <c r="J111" s="211"/>
      <c r="K111" s="211"/>
      <c r="L111" s="211"/>
      <c r="M111" s="211"/>
      <c r="N111" s="211"/>
      <c r="O111" s="211">
        <f>48+12</f>
        <v>60</v>
      </c>
      <c r="P111" s="211"/>
      <c r="Q111" s="211"/>
      <c r="R111" s="211"/>
      <c r="S111" s="211"/>
      <c r="T111" s="225"/>
      <c r="U111" s="220">
        <f t="shared" si="9"/>
        <v>0</v>
      </c>
    </row>
    <row r="112" spans="1:21" ht="24" customHeight="1">
      <c r="A112" s="94">
        <v>5</v>
      </c>
      <c r="B112" s="36">
        <v>40</v>
      </c>
      <c r="C112" s="34" t="s">
        <v>220</v>
      </c>
      <c r="D112" s="211"/>
      <c r="E112" s="211"/>
      <c r="F112" s="211">
        <f>-100</f>
        <v>-100</v>
      </c>
      <c r="G112" s="211">
        <f>100</f>
        <v>100</v>
      </c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25"/>
      <c r="U112" s="220">
        <f t="shared" si="9"/>
        <v>0</v>
      </c>
    </row>
    <row r="113" spans="1:21" ht="24" customHeight="1">
      <c r="A113" s="94">
        <v>6</v>
      </c>
      <c r="B113" s="36">
        <v>41</v>
      </c>
      <c r="C113" s="34" t="s">
        <v>221</v>
      </c>
      <c r="D113" s="211"/>
      <c r="E113" s="211"/>
      <c r="F113" s="211"/>
      <c r="G113" s="211"/>
      <c r="H113" s="211"/>
      <c r="I113" s="211"/>
      <c r="J113" s="211"/>
      <c r="K113" s="211">
        <f>50+100</f>
        <v>150</v>
      </c>
      <c r="L113" s="211"/>
      <c r="M113" s="211"/>
      <c r="N113" s="211"/>
      <c r="O113" s="211"/>
      <c r="P113" s="211"/>
      <c r="Q113" s="211"/>
      <c r="R113" s="211"/>
      <c r="S113" s="211">
        <f>-150</f>
        <v>-150</v>
      </c>
      <c r="T113" s="225"/>
      <c r="U113" s="220">
        <f t="shared" si="9"/>
        <v>0</v>
      </c>
    </row>
    <row r="114" spans="1:21" ht="24" customHeight="1">
      <c r="A114" s="94">
        <v>7</v>
      </c>
      <c r="B114" s="36">
        <v>42</v>
      </c>
      <c r="C114" s="48" t="s">
        <v>222</v>
      </c>
      <c r="D114" s="211"/>
      <c r="E114" s="211"/>
      <c r="F114" s="211">
        <f>85+22</f>
        <v>107</v>
      </c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>
        <f>-107</f>
        <v>-107</v>
      </c>
      <c r="T114" s="225"/>
      <c r="U114" s="220">
        <f t="shared" si="9"/>
        <v>0</v>
      </c>
    </row>
    <row r="115" spans="1:21" ht="24" customHeight="1">
      <c r="A115" s="94">
        <v>8</v>
      </c>
      <c r="B115" s="36">
        <v>44</v>
      </c>
      <c r="C115" s="48" t="s">
        <v>273</v>
      </c>
      <c r="D115" s="211">
        <f>-2000-3000-4780+9780</f>
        <v>0</v>
      </c>
      <c r="E115" s="211">
        <f>-480-30-10-20-1867-117-39-78+2347+147+49+98</f>
        <v>0</v>
      </c>
      <c r="F115" s="211">
        <f>-5000-1200-1990-113-800-3000+12103</f>
        <v>0</v>
      </c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25"/>
      <c r="U115" s="220">
        <f t="shared" si="9"/>
        <v>0</v>
      </c>
    </row>
    <row r="116" spans="1:21" ht="24" customHeight="1">
      <c r="A116" s="94">
        <v>9</v>
      </c>
      <c r="B116" s="36">
        <v>45</v>
      </c>
      <c r="C116" s="48" t="s">
        <v>274</v>
      </c>
      <c r="D116" s="211">
        <f>-15480+8988+6492</f>
        <v>0</v>
      </c>
      <c r="E116" s="211">
        <f>-3715-232-77-155+2157+135+45+90+1558+97+32+65</f>
        <v>0</v>
      </c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25"/>
      <c r="U116" s="220">
        <f t="shared" si="9"/>
        <v>0</v>
      </c>
    </row>
    <row r="117" spans="1:21" ht="24" customHeight="1">
      <c r="A117" s="94">
        <v>10</v>
      </c>
      <c r="B117" s="36">
        <v>46</v>
      </c>
      <c r="C117" s="48" t="s">
        <v>223</v>
      </c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>
        <f>5017+1254</f>
        <v>6271</v>
      </c>
      <c r="O117" s="211"/>
      <c r="P117" s="211"/>
      <c r="Q117" s="211"/>
      <c r="R117" s="211"/>
      <c r="S117" s="211">
        <f>-6271</f>
        <v>-6271</v>
      </c>
      <c r="T117" s="225"/>
      <c r="U117" s="220">
        <f t="shared" si="9"/>
        <v>0</v>
      </c>
    </row>
    <row r="118" spans="1:21" ht="24" customHeight="1">
      <c r="A118" s="94">
        <v>11</v>
      </c>
      <c r="B118" s="52">
        <v>47</v>
      </c>
      <c r="C118" s="39" t="s">
        <v>224</v>
      </c>
      <c r="D118" s="211"/>
      <c r="E118" s="211"/>
      <c r="F118" s="211"/>
      <c r="G118" s="211"/>
      <c r="H118" s="211"/>
      <c r="I118" s="211"/>
      <c r="J118" s="211"/>
      <c r="K118" s="211">
        <f>-280</f>
        <v>-280</v>
      </c>
      <c r="L118" s="211"/>
      <c r="M118" s="211"/>
      <c r="N118" s="211"/>
      <c r="O118" s="211"/>
      <c r="P118" s="211"/>
      <c r="Q118" s="211"/>
      <c r="R118" s="211"/>
      <c r="S118" s="211"/>
      <c r="T118" s="225">
        <f>280</f>
        <v>280</v>
      </c>
      <c r="U118" s="220">
        <f t="shared" si="9"/>
        <v>0</v>
      </c>
    </row>
    <row r="119" spans="1:21" ht="24" customHeight="1">
      <c r="A119" s="94">
        <v>12</v>
      </c>
      <c r="B119" s="36">
        <v>48</v>
      </c>
      <c r="C119" s="34" t="s">
        <v>225</v>
      </c>
      <c r="D119" s="211"/>
      <c r="E119" s="211"/>
      <c r="F119" s="211">
        <f>80+50+80+70+40+410+380+300+280+120+400+50+160+430+160+270+120+80</f>
        <v>3480</v>
      </c>
      <c r="G119" s="211"/>
      <c r="H119" s="211"/>
      <c r="I119" s="211"/>
      <c r="J119" s="211"/>
      <c r="K119" s="211">
        <f>-3480-920</f>
        <v>-4400</v>
      </c>
      <c r="L119" s="211"/>
      <c r="M119" s="211"/>
      <c r="N119" s="211"/>
      <c r="O119" s="211"/>
      <c r="P119" s="211"/>
      <c r="Q119" s="211"/>
      <c r="R119" s="211"/>
      <c r="S119" s="211"/>
      <c r="T119" s="225">
        <f>180+350+390</f>
        <v>920</v>
      </c>
      <c r="U119" s="220">
        <f t="shared" si="9"/>
        <v>0</v>
      </c>
    </row>
    <row r="120" spans="1:21" ht="24" customHeight="1">
      <c r="A120" s="94">
        <v>13</v>
      </c>
      <c r="B120" s="36">
        <v>49</v>
      </c>
      <c r="C120" s="34" t="s">
        <v>226</v>
      </c>
      <c r="D120" s="211"/>
      <c r="E120" s="211"/>
      <c r="F120" s="211"/>
      <c r="G120" s="211"/>
      <c r="H120" s="211"/>
      <c r="I120" s="211"/>
      <c r="J120" s="211"/>
      <c r="K120" s="211">
        <f>-2000</f>
        <v>-2000</v>
      </c>
      <c r="L120" s="211"/>
      <c r="M120" s="211"/>
      <c r="N120" s="211"/>
      <c r="O120" s="211"/>
      <c r="P120" s="211"/>
      <c r="Q120" s="211"/>
      <c r="R120" s="211"/>
      <c r="S120" s="211"/>
      <c r="T120" s="225">
        <f>1300+700</f>
        <v>2000</v>
      </c>
      <c r="U120" s="220">
        <f t="shared" si="9"/>
        <v>0</v>
      </c>
    </row>
    <row r="121" spans="1:21" ht="24" customHeight="1">
      <c r="A121" s="94">
        <v>14</v>
      </c>
      <c r="B121" s="36">
        <v>50</v>
      </c>
      <c r="C121" s="48" t="s">
        <v>227</v>
      </c>
      <c r="D121" s="211"/>
      <c r="E121" s="211"/>
      <c r="F121" s="211">
        <f>30+20+20+30+20+30+20+30+40+30+70+110+70+40+30+20+20+80+20+70</f>
        <v>800</v>
      </c>
      <c r="G121" s="211"/>
      <c r="H121" s="211"/>
      <c r="I121" s="211"/>
      <c r="J121" s="211"/>
      <c r="K121" s="211">
        <f>-200-800</f>
        <v>-1000</v>
      </c>
      <c r="L121" s="211"/>
      <c r="M121" s="211"/>
      <c r="N121" s="211"/>
      <c r="O121" s="211"/>
      <c r="P121" s="211"/>
      <c r="Q121" s="211"/>
      <c r="R121" s="211"/>
      <c r="S121" s="211"/>
      <c r="T121" s="225">
        <f>70+130</f>
        <v>200</v>
      </c>
      <c r="U121" s="220">
        <f t="shared" si="9"/>
        <v>0</v>
      </c>
    </row>
    <row r="122" spans="1:21" ht="24" customHeight="1">
      <c r="A122" s="94">
        <v>15</v>
      </c>
      <c r="B122" s="36">
        <v>51</v>
      </c>
      <c r="C122" s="34" t="s">
        <v>228</v>
      </c>
      <c r="D122" s="211"/>
      <c r="E122" s="211"/>
      <c r="F122" s="211">
        <f>120+70+100+50+240+250+90+200+150+100+130+340+340+360+360+240+240+300+300+330+240+300</f>
        <v>4850</v>
      </c>
      <c r="G122" s="211"/>
      <c r="H122" s="211"/>
      <c r="I122" s="211"/>
      <c r="J122" s="211"/>
      <c r="K122" s="211">
        <f>-1150-4850</f>
        <v>-6000</v>
      </c>
      <c r="L122" s="211"/>
      <c r="M122" s="211"/>
      <c r="N122" s="211"/>
      <c r="O122" s="211"/>
      <c r="P122" s="211"/>
      <c r="Q122" s="211"/>
      <c r="R122" s="211"/>
      <c r="S122" s="211"/>
      <c r="T122" s="225">
        <f>330+420+400</f>
        <v>1150</v>
      </c>
      <c r="U122" s="220">
        <f t="shared" si="9"/>
        <v>0</v>
      </c>
    </row>
    <row r="123" spans="1:21" ht="24" customHeight="1">
      <c r="A123" s="94">
        <v>16</v>
      </c>
      <c r="B123" s="36">
        <v>52</v>
      </c>
      <c r="C123" s="34" t="s">
        <v>229</v>
      </c>
      <c r="D123" s="211"/>
      <c r="E123" s="211"/>
      <c r="F123" s="211">
        <f>91+89+72+65+51+44+49+67+66+47+60</f>
        <v>701</v>
      </c>
      <c r="G123" s="211"/>
      <c r="H123" s="211"/>
      <c r="I123" s="211"/>
      <c r="J123" s="211"/>
      <c r="K123" s="211">
        <f>-199-701</f>
        <v>-900</v>
      </c>
      <c r="L123" s="211"/>
      <c r="M123" s="211"/>
      <c r="N123" s="211"/>
      <c r="O123" s="211"/>
      <c r="P123" s="211"/>
      <c r="Q123" s="211"/>
      <c r="R123" s="211"/>
      <c r="S123" s="211"/>
      <c r="T123" s="225">
        <f>41+60+98</f>
        <v>199</v>
      </c>
      <c r="U123" s="220">
        <f t="shared" si="9"/>
        <v>0</v>
      </c>
    </row>
    <row r="124" spans="1:21" ht="24" customHeight="1">
      <c r="A124" s="94">
        <v>17</v>
      </c>
      <c r="B124" s="36">
        <v>53</v>
      </c>
      <c r="C124" s="48" t="s">
        <v>230</v>
      </c>
      <c r="D124" s="211"/>
      <c r="E124" s="211"/>
      <c r="F124" s="211">
        <f>250</f>
        <v>250</v>
      </c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25">
        <f>1000</f>
        <v>1000</v>
      </c>
      <c r="U124" s="220">
        <f t="shared" si="9"/>
        <v>1250</v>
      </c>
    </row>
    <row r="125" spans="1:21" ht="24" customHeight="1">
      <c r="A125" s="94">
        <v>18</v>
      </c>
      <c r="B125" s="36">
        <v>55</v>
      </c>
      <c r="C125" s="34" t="s">
        <v>232</v>
      </c>
      <c r="D125" s="211"/>
      <c r="E125" s="211"/>
      <c r="F125" s="211"/>
      <c r="G125" s="211"/>
      <c r="H125" s="211"/>
      <c r="I125" s="211"/>
      <c r="J125" s="211"/>
      <c r="K125" s="211">
        <f>50+50</f>
        <v>100</v>
      </c>
      <c r="L125" s="211"/>
      <c r="M125" s="211"/>
      <c r="N125" s="211"/>
      <c r="O125" s="211"/>
      <c r="P125" s="211"/>
      <c r="Q125" s="211"/>
      <c r="R125" s="211"/>
      <c r="S125" s="211">
        <f>-100</f>
        <v>-100</v>
      </c>
      <c r="T125" s="225"/>
      <c r="U125" s="220">
        <f t="shared" si="9"/>
        <v>0</v>
      </c>
    </row>
    <row r="126" spans="1:21" ht="24" customHeight="1">
      <c r="A126" s="94">
        <v>19</v>
      </c>
      <c r="B126" s="36">
        <v>56</v>
      </c>
      <c r="C126" s="34" t="s">
        <v>221</v>
      </c>
      <c r="D126" s="211"/>
      <c r="E126" s="211"/>
      <c r="F126" s="211"/>
      <c r="G126" s="211"/>
      <c r="H126" s="211"/>
      <c r="I126" s="211"/>
      <c r="J126" s="211"/>
      <c r="K126" s="211">
        <f>70</f>
        <v>70</v>
      </c>
      <c r="L126" s="211"/>
      <c r="M126" s="211"/>
      <c r="N126" s="211"/>
      <c r="O126" s="211"/>
      <c r="P126" s="211"/>
      <c r="Q126" s="211"/>
      <c r="R126" s="211"/>
      <c r="S126" s="211">
        <f>-70</f>
        <v>-70</v>
      </c>
      <c r="T126" s="225"/>
      <c r="U126" s="220">
        <f t="shared" si="9"/>
        <v>0</v>
      </c>
    </row>
    <row r="127" spans="1:21" ht="24" customHeight="1">
      <c r="A127" s="94">
        <v>20</v>
      </c>
      <c r="B127" s="36">
        <v>57</v>
      </c>
      <c r="C127" s="34" t="s">
        <v>234</v>
      </c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>
        <f>345</f>
        <v>345</v>
      </c>
      <c r="T127" s="225"/>
      <c r="U127" s="220">
        <f t="shared" si="9"/>
        <v>345</v>
      </c>
    </row>
    <row r="128" spans="1:21" ht="24" customHeight="1">
      <c r="A128" s="94">
        <v>21</v>
      </c>
      <c r="B128" s="36">
        <v>58</v>
      </c>
      <c r="C128" s="34" t="s">
        <v>235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>
        <f>1000</f>
        <v>1000</v>
      </c>
      <c r="T128" s="225"/>
      <c r="U128" s="220">
        <f t="shared" si="9"/>
        <v>1000</v>
      </c>
    </row>
    <row r="129" spans="1:21" ht="24" customHeight="1">
      <c r="A129" s="94">
        <v>22</v>
      </c>
      <c r="B129" s="36">
        <v>61</v>
      </c>
      <c r="C129" s="48" t="s">
        <v>236</v>
      </c>
      <c r="D129" s="211">
        <f>-14</f>
        <v>-14</v>
      </c>
      <c r="E129" s="211"/>
      <c r="F129" s="211">
        <f>11+3</f>
        <v>14</v>
      </c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25"/>
      <c r="U129" s="220">
        <f t="shared" si="9"/>
        <v>0</v>
      </c>
    </row>
    <row r="130" spans="1:21" ht="24" customHeight="1">
      <c r="A130" s="94">
        <v>23</v>
      </c>
      <c r="B130" s="36">
        <v>63</v>
      </c>
      <c r="C130" s="34" t="s">
        <v>163</v>
      </c>
      <c r="D130" s="211"/>
      <c r="E130" s="211"/>
      <c r="F130" s="211">
        <f>-800-200</f>
        <v>-1000</v>
      </c>
      <c r="G130" s="211"/>
      <c r="H130" s="211"/>
      <c r="I130" s="211"/>
      <c r="J130" s="211"/>
      <c r="K130" s="211"/>
      <c r="L130" s="211"/>
      <c r="M130" s="211"/>
      <c r="N130" s="211"/>
      <c r="O130" s="211">
        <f>800+200</f>
        <v>1000</v>
      </c>
      <c r="P130" s="211"/>
      <c r="Q130" s="211"/>
      <c r="R130" s="211"/>
      <c r="S130" s="211"/>
      <c r="T130" s="225"/>
      <c r="U130" s="220">
        <f t="shared" si="9"/>
        <v>0</v>
      </c>
    </row>
    <row r="131" spans="1:21" ht="24" customHeight="1">
      <c r="A131" s="94">
        <v>24</v>
      </c>
      <c r="B131" s="52">
        <v>64</v>
      </c>
      <c r="C131" s="39" t="s">
        <v>237</v>
      </c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>
        <f>3680+920</f>
        <v>4600</v>
      </c>
      <c r="P131" s="211"/>
      <c r="Q131" s="211"/>
      <c r="R131" s="211"/>
      <c r="S131" s="211">
        <f>-4600</f>
        <v>-4600</v>
      </c>
      <c r="T131" s="225"/>
      <c r="U131" s="220">
        <f t="shared" si="9"/>
        <v>0</v>
      </c>
    </row>
    <row r="132" spans="1:21" ht="24" customHeight="1">
      <c r="A132" s="94">
        <v>25</v>
      </c>
      <c r="B132" s="36">
        <v>65</v>
      </c>
      <c r="C132" s="34" t="s">
        <v>238</v>
      </c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>
        <f>5600+1400</f>
        <v>7000</v>
      </c>
      <c r="P132" s="211"/>
      <c r="Q132" s="211"/>
      <c r="R132" s="211"/>
      <c r="S132" s="211">
        <f>-7000</f>
        <v>-7000</v>
      </c>
      <c r="T132" s="225"/>
      <c r="U132" s="220">
        <f t="shared" si="9"/>
        <v>0</v>
      </c>
    </row>
    <row r="133" spans="1:21" ht="24" customHeight="1">
      <c r="A133" s="94">
        <v>26</v>
      </c>
      <c r="B133" s="36">
        <v>66</v>
      </c>
      <c r="C133" s="34" t="s">
        <v>239</v>
      </c>
      <c r="D133" s="211">
        <f>-13000</f>
        <v>-13000</v>
      </c>
      <c r="E133" s="211">
        <f>-2808-176-58-117</f>
        <v>-3159</v>
      </c>
      <c r="F133" s="211"/>
      <c r="G133" s="211"/>
      <c r="H133" s="211"/>
      <c r="I133" s="211"/>
      <c r="J133" s="211">
        <f>16159</f>
        <v>16159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25"/>
      <c r="U133" s="220">
        <f t="shared" si="9"/>
        <v>0</v>
      </c>
    </row>
    <row r="134" spans="1:21" ht="24" customHeight="1">
      <c r="A134" s="94">
        <v>27</v>
      </c>
      <c r="B134" s="52">
        <v>69</v>
      </c>
      <c r="C134" s="39" t="s">
        <v>240</v>
      </c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>
        <f>28371.482</f>
        <v>28371.482</v>
      </c>
      <c r="T134" s="225"/>
      <c r="U134" s="220">
        <f t="shared" si="9"/>
        <v>28371.482</v>
      </c>
    </row>
    <row r="135" spans="1:21" ht="24" customHeight="1">
      <c r="A135" s="94">
        <v>28</v>
      </c>
      <c r="B135" s="52">
        <v>71</v>
      </c>
      <c r="C135" s="39" t="s">
        <v>241</v>
      </c>
      <c r="D135" s="211"/>
      <c r="E135" s="211"/>
      <c r="F135" s="211">
        <f>-800-200</f>
        <v>-1000</v>
      </c>
      <c r="G135" s="211"/>
      <c r="H135" s="211"/>
      <c r="I135" s="211"/>
      <c r="J135" s="211">
        <f>1000</f>
        <v>1000</v>
      </c>
      <c r="K135" s="211"/>
      <c r="L135" s="211"/>
      <c r="M135" s="211"/>
      <c r="N135" s="211"/>
      <c r="O135" s="211"/>
      <c r="P135" s="211"/>
      <c r="Q135" s="211"/>
      <c r="R135" s="211"/>
      <c r="S135" s="211"/>
      <c r="T135" s="225"/>
      <c r="U135" s="220">
        <f t="shared" si="9"/>
        <v>0</v>
      </c>
    </row>
    <row r="136" spans="1:21" ht="24" customHeight="1">
      <c r="A136" s="94">
        <v>29</v>
      </c>
      <c r="B136" s="52">
        <v>72</v>
      </c>
      <c r="C136" s="34" t="s">
        <v>242</v>
      </c>
      <c r="D136" s="211">
        <f>34466</f>
        <v>34466</v>
      </c>
      <c r="E136" s="211">
        <f>8272.516+516+172.479+345</f>
        <v>9305.994999999999</v>
      </c>
      <c r="F136" s="211">
        <f>200+800</f>
        <v>1000</v>
      </c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25"/>
      <c r="U136" s="220">
        <f t="shared" si="9"/>
        <v>44771.994999999995</v>
      </c>
    </row>
    <row r="137" spans="1:21" ht="24" customHeight="1">
      <c r="A137" s="94">
        <v>30</v>
      </c>
      <c r="B137" s="38">
        <v>75</v>
      </c>
      <c r="C137" s="40" t="s">
        <v>243</v>
      </c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>
        <f>53065</f>
        <v>53065</v>
      </c>
      <c r="T137" s="225"/>
      <c r="U137" s="220">
        <f t="shared" si="9"/>
        <v>53065</v>
      </c>
    </row>
    <row r="138" spans="1:21" ht="24" customHeight="1">
      <c r="A138" s="94">
        <v>31</v>
      </c>
      <c r="B138" s="38">
        <v>76</v>
      </c>
      <c r="C138" s="40" t="s">
        <v>244</v>
      </c>
      <c r="D138" s="211"/>
      <c r="E138" s="211"/>
      <c r="F138" s="211">
        <f>4811+1203</f>
        <v>6014</v>
      </c>
      <c r="G138" s="211"/>
      <c r="H138" s="211"/>
      <c r="I138" s="211"/>
      <c r="J138" s="211"/>
      <c r="K138" s="211"/>
      <c r="L138" s="211"/>
      <c r="M138" s="211"/>
      <c r="N138" s="211"/>
      <c r="O138" s="211">
        <f>-4811-1203</f>
        <v>-6014</v>
      </c>
      <c r="P138" s="211"/>
      <c r="Q138" s="211"/>
      <c r="R138" s="211"/>
      <c r="S138" s="211"/>
      <c r="T138" s="225"/>
      <c r="U138" s="220">
        <f t="shared" si="9"/>
        <v>0</v>
      </c>
    </row>
    <row r="139" spans="1:21" ht="24" customHeight="1">
      <c r="A139" s="94">
        <v>32</v>
      </c>
      <c r="B139" s="38">
        <v>79</v>
      </c>
      <c r="C139" s="40" t="s">
        <v>230</v>
      </c>
      <c r="D139" s="211">
        <f>-1100</f>
        <v>-1100</v>
      </c>
      <c r="E139" s="211">
        <f>-264-19-8-11</f>
        <v>-302</v>
      </c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25">
        <f>382+382+382+128+128</f>
        <v>1402</v>
      </c>
      <c r="U139" s="220">
        <f t="shared" si="9"/>
        <v>0</v>
      </c>
    </row>
    <row r="140" spans="1:21" ht="24" customHeight="1">
      <c r="A140" s="94">
        <v>33</v>
      </c>
      <c r="B140" s="38">
        <v>80</v>
      </c>
      <c r="C140" s="40" t="s">
        <v>245</v>
      </c>
      <c r="D140" s="211"/>
      <c r="E140" s="211"/>
      <c r="F140" s="211">
        <f>96+95+64+96+69+60+55+42+94+47+51</f>
        <v>769</v>
      </c>
      <c r="G140" s="211"/>
      <c r="H140" s="211"/>
      <c r="I140" s="211"/>
      <c r="J140" s="211"/>
      <c r="K140" s="211">
        <f>-769-231</f>
        <v>-1000</v>
      </c>
      <c r="L140" s="211"/>
      <c r="M140" s="211"/>
      <c r="N140" s="211"/>
      <c r="O140" s="211"/>
      <c r="P140" s="211"/>
      <c r="Q140" s="211"/>
      <c r="R140" s="211"/>
      <c r="S140" s="211"/>
      <c r="T140" s="225">
        <f>72+75+84</f>
        <v>231</v>
      </c>
      <c r="U140" s="220">
        <f t="shared" si="9"/>
        <v>0</v>
      </c>
    </row>
    <row r="141" spans="1:21" ht="24" customHeight="1">
      <c r="A141" s="94">
        <v>34</v>
      </c>
      <c r="B141" s="37">
        <v>83</v>
      </c>
      <c r="C141" s="48" t="s">
        <v>230</v>
      </c>
      <c r="D141" s="224">
        <f>-160-240+80+80+80</f>
        <v>-160</v>
      </c>
      <c r="E141" s="224">
        <f>-38-2-2-57-3-3+19+1+1+19+1+1+19+1+1</f>
        <v>-42</v>
      </c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25">
        <f>101+101</f>
        <v>202</v>
      </c>
      <c r="U141" s="220">
        <f aca="true" t="shared" si="10" ref="U141:U171">SUM(D141:T141)</f>
        <v>0</v>
      </c>
    </row>
    <row r="142" spans="1:21" ht="24" customHeight="1">
      <c r="A142" s="94">
        <v>35</v>
      </c>
      <c r="B142" s="37">
        <v>84</v>
      </c>
      <c r="C142" s="48" t="s">
        <v>246</v>
      </c>
      <c r="D142" s="211"/>
      <c r="E142" s="211"/>
      <c r="F142" s="211">
        <f>974+244</f>
        <v>1218</v>
      </c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>
        <f>-1218</f>
        <v>-1218</v>
      </c>
      <c r="T142" s="225"/>
      <c r="U142" s="220">
        <f t="shared" si="10"/>
        <v>0</v>
      </c>
    </row>
    <row r="143" spans="1:21" ht="24" customHeight="1">
      <c r="A143" s="94">
        <v>36</v>
      </c>
      <c r="B143" s="37">
        <v>85</v>
      </c>
      <c r="C143" s="48" t="s">
        <v>247</v>
      </c>
      <c r="D143" s="211"/>
      <c r="E143" s="211"/>
      <c r="F143" s="211">
        <f>-80-20</f>
        <v>-100</v>
      </c>
      <c r="G143" s="211"/>
      <c r="H143" s="211"/>
      <c r="I143" s="211"/>
      <c r="J143" s="211"/>
      <c r="K143" s="211"/>
      <c r="L143" s="211"/>
      <c r="M143" s="211"/>
      <c r="N143" s="211"/>
      <c r="O143" s="211">
        <f>80+20</f>
        <v>100</v>
      </c>
      <c r="P143" s="211"/>
      <c r="Q143" s="211"/>
      <c r="R143" s="211"/>
      <c r="S143" s="211"/>
      <c r="T143" s="225"/>
      <c r="U143" s="220">
        <f t="shared" si="10"/>
        <v>0</v>
      </c>
    </row>
    <row r="144" spans="1:21" ht="24" customHeight="1">
      <c r="A144" s="94">
        <v>37</v>
      </c>
      <c r="B144" s="37">
        <v>86</v>
      </c>
      <c r="C144" s="48" t="s">
        <v>248</v>
      </c>
      <c r="D144" s="211"/>
      <c r="E144" s="211"/>
      <c r="F144" s="211">
        <f>-72-18</f>
        <v>-90</v>
      </c>
      <c r="G144" s="211"/>
      <c r="H144" s="211"/>
      <c r="I144" s="211"/>
      <c r="J144" s="211"/>
      <c r="K144" s="211"/>
      <c r="L144" s="211"/>
      <c r="M144" s="211"/>
      <c r="N144" s="211"/>
      <c r="O144" s="211">
        <f>72+18</f>
        <v>90</v>
      </c>
      <c r="P144" s="211"/>
      <c r="Q144" s="211"/>
      <c r="R144" s="211"/>
      <c r="S144" s="211"/>
      <c r="T144" s="225"/>
      <c r="U144" s="220">
        <f t="shared" si="10"/>
        <v>0</v>
      </c>
    </row>
    <row r="145" spans="1:21" ht="24" customHeight="1">
      <c r="A145" s="94">
        <v>38</v>
      </c>
      <c r="B145" s="121">
        <v>87</v>
      </c>
      <c r="C145" s="34" t="s">
        <v>249</v>
      </c>
      <c r="D145" s="211"/>
      <c r="E145" s="211"/>
      <c r="F145" s="211">
        <f>-208-52</f>
        <v>-260</v>
      </c>
      <c r="G145" s="211"/>
      <c r="H145" s="211"/>
      <c r="I145" s="211"/>
      <c r="J145" s="211"/>
      <c r="K145" s="211"/>
      <c r="L145" s="211"/>
      <c r="M145" s="211"/>
      <c r="N145" s="211"/>
      <c r="O145" s="211">
        <f>144+36+64+16</f>
        <v>260</v>
      </c>
      <c r="P145" s="211"/>
      <c r="Q145" s="211"/>
      <c r="R145" s="211"/>
      <c r="S145" s="211"/>
      <c r="T145" s="225"/>
      <c r="U145" s="220">
        <f t="shared" si="10"/>
        <v>0</v>
      </c>
    </row>
    <row r="146" spans="1:21" ht="24" customHeight="1">
      <c r="A146" s="94">
        <v>39</v>
      </c>
      <c r="B146" s="96">
        <v>88</v>
      </c>
      <c r="C146" s="48" t="s">
        <v>250</v>
      </c>
      <c r="D146" s="211"/>
      <c r="E146" s="211"/>
      <c r="F146" s="211">
        <f>-46-11</f>
        <v>-57</v>
      </c>
      <c r="G146" s="211"/>
      <c r="H146" s="211"/>
      <c r="I146" s="211"/>
      <c r="J146" s="211"/>
      <c r="K146" s="211"/>
      <c r="L146" s="211"/>
      <c r="M146" s="211"/>
      <c r="N146" s="211"/>
      <c r="O146" s="211">
        <f>57</f>
        <v>57</v>
      </c>
      <c r="P146" s="211"/>
      <c r="Q146" s="211"/>
      <c r="R146" s="211"/>
      <c r="S146" s="211"/>
      <c r="T146" s="225"/>
      <c r="U146" s="220">
        <f t="shared" si="10"/>
        <v>0</v>
      </c>
    </row>
    <row r="147" spans="1:21" ht="24" customHeight="1">
      <c r="A147" s="94">
        <v>40</v>
      </c>
      <c r="B147" s="37">
        <v>89</v>
      </c>
      <c r="C147" s="48" t="s">
        <v>251</v>
      </c>
      <c r="D147" s="211"/>
      <c r="E147" s="211"/>
      <c r="F147" s="211">
        <f>1680</f>
        <v>1680</v>
      </c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>
        <f>-1680</f>
        <v>-1680</v>
      </c>
      <c r="T147" s="225"/>
      <c r="U147" s="220">
        <f t="shared" si="10"/>
        <v>0</v>
      </c>
    </row>
    <row r="148" spans="1:21" ht="24" customHeight="1">
      <c r="A148" s="94">
        <v>41</v>
      </c>
      <c r="B148" s="37">
        <v>91</v>
      </c>
      <c r="C148" s="48" t="s">
        <v>252</v>
      </c>
      <c r="D148" s="211"/>
      <c r="E148" s="211"/>
      <c r="F148" s="211">
        <f>-104-26</f>
        <v>-130</v>
      </c>
      <c r="G148" s="211"/>
      <c r="H148" s="211"/>
      <c r="I148" s="211"/>
      <c r="J148" s="211"/>
      <c r="K148" s="211"/>
      <c r="L148" s="211"/>
      <c r="M148" s="211"/>
      <c r="N148" s="211"/>
      <c r="O148" s="211">
        <f>48+12+56+14</f>
        <v>130</v>
      </c>
      <c r="P148" s="211"/>
      <c r="Q148" s="211"/>
      <c r="R148" s="211"/>
      <c r="S148" s="211"/>
      <c r="T148" s="225"/>
      <c r="U148" s="220">
        <f t="shared" si="10"/>
        <v>0</v>
      </c>
    </row>
    <row r="149" spans="1:21" ht="24" customHeight="1">
      <c r="A149" s="94">
        <v>42</v>
      </c>
      <c r="B149" s="37">
        <v>94</v>
      </c>
      <c r="C149" s="48" t="s">
        <v>246</v>
      </c>
      <c r="D149" s="211">
        <f>1144+31560+400+186+2744+175+2496+760+26+500+145+24+4+135+1281+1496+23+21+40</f>
        <v>43160</v>
      </c>
      <c r="E149" s="211">
        <f>9513+595+198+392</f>
        <v>10698</v>
      </c>
      <c r="F149" s="211">
        <f>100+1000+2900+400+4+864+405+240+460+500+605+236+480+300+100+41+450+40+300+850+8+146+421+2714+203+2700</f>
        <v>16467</v>
      </c>
      <c r="G149" s="211">
        <f>170+150+288+210+150+907+576</f>
        <v>2451</v>
      </c>
      <c r="H149" s="211"/>
      <c r="I149" s="211"/>
      <c r="J149" s="211"/>
      <c r="K149" s="211"/>
      <c r="L149" s="211"/>
      <c r="M149" s="211"/>
      <c r="N149" s="211"/>
      <c r="O149" s="211">
        <f>416+104+7280+1820+713+178</f>
        <v>10511</v>
      </c>
      <c r="P149" s="211"/>
      <c r="Q149" s="211"/>
      <c r="R149" s="211"/>
      <c r="S149" s="211">
        <f>-25950-54637-2700</f>
        <v>-83287</v>
      </c>
      <c r="T149" s="225"/>
      <c r="U149" s="220">
        <f t="shared" si="10"/>
        <v>0</v>
      </c>
    </row>
    <row r="150" spans="1:21" ht="24" customHeight="1">
      <c r="A150" s="94">
        <v>43</v>
      </c>
      <c r="B150" s="36">
        <v>95</v>
      </c>
      <c r="C150" s="34" t="s">
        <v>253</v>
      </c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>
        <v>4510.388</v>
      </c>
      <c r="T150" s="225"/>
      <c r="U150" s="220">
        <f t="shared" si="10"/>
        <v>4510.388</v>
      </c>
    </row>
    <row r="151" spans="1:21" ht="24" customHeight="1">
      <c r="A151" s="157">
        <v>44</v>
      </c>
      <c r="B151" s="121">
        <v>96</v>
      </c>
      <c r="C151" s="122" t="s">
        <v>254</v>
      </c>
      <c r="D151" s="230"/>
      <c r="E151" s="230"/>
      <c r="F151" s="230"/>
      <c r="G151" s="230"/>
      <c r="H151" s="230">
        <f>450+4500-2550+50+500+2000</f>
        <v>4950</v>
      </c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32">
        <f t="shared" si="10"/>
        <v>4950</v>
      </c>
    </row>
    <row r="152" spans="1:21" ht="24" customHeight="1">
      <c r="A152" s="94">
        <v>45</v>
      </c>
      <c r="B152" s="96">
        <v>99</v>
      </c>
      <c r="C152" s="48" t="s">
        <v>285</v>
      </c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>
        <f>4500</f>
        <v>4500</v>
      </c>
      <c r="T152" s="225"/>
      <c r="U152" s="220">
        <f t="shared" si="10"/>
        <v>4500</v>
      </c>
    </row>
    <row r="153" spans="1:21" ht="24" customHeight="1">
      <c r="A153" s="94">
        <v>46</v>
      </c>
      <c r="B153" s="37">
        <v>100</v>
      </c>
      <c r="C153" s="152" t="s">
        <v>255</v>
      </c>
      <c r="D153" s="211"/>
      <c r="E153" s="211"/>
      <c r="F153" s="211">
        <f>-442.6-111</f>
        <v>-553.6</v>
      </c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25"/>
      <c r="U153" s="220">
        <f t="shared" si="10"/>
        <v>-553.6</v>
      </c>
    </row>
    <row r="154" spans="1:21" ht="24" customHeight="1">
      <c r="A154" s="94">
        <v>47</v>
      </c>
      <c r="B154" s="37">
        <v>102</v>
      </c>
      <c r="C154" s="39" t="s">
        <v>230</v>
      </c>
      <c r="D154" s="211">
        <f>-200</f>
        <v>-200</v>
      </c>
      <c r="E154" s="211">
        <f>-48-3-1-2</f>
        <v>-54</v>
      </c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25">
        <f>254</f>
        <v>254</v>
      </c>
      <c r="U154" s="220">
        <f t="shared" si="10"/>
        <v>0</v>
      </c>
    </row>
    <row r="155" spans="1:21" ht="24" customHeight="1">
      <c r="A155" s="94">
        <v>48</v>
      </c>
      <c r="B155" s="37">
        <v>103</v>
      </c>
      <c r="C155" s="256" t="s">
        <v>256</v>
      </c>
      <c r="D155" s="211"/>
      <c r="E155" s="211"/>
      <c r="F155" s="211">
        <f>536-536+266+67+203.5</f>
        <v>536.5</v>
      </c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25"/>
      <c r="U155" s="220">
        <f t="shared" si="10"/>
        <v>536.5</v>
      </c>
    </row>
    <row r="156" spans="1:21" ht="24" customHeight="1">
      <c r="A156" s="94">
        <v>49</v>
      </c>
      <c r="B156" s="37">
        <v>104</v>
      </c>
      <c r="C156" s="48" t="s">
        <v>257</v>
      </c>
      <c r="D156" s="211"/>
      <c r="E156" s="211"/>
      <c r="F156" s="211">
        <f>-4000</f>
        <v>-4000</v>
      </c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25">
        <f>1532+1234+2766</f>
        <v>5532</v>
      </c>
      <c r="U156" s="220">
        <f t="shared" si="10"/>
        <v>1532</v>
      </c>
    </row>
    <row r="157" spans="1:21" ht="24" customHeight="1">
      <c r="A157" s="94">
        <v>50</v>
      </c>
      <c r="B157" s="37">
        <v>107</v>
      </c>
      <c r="C157" s="48" t="s">
        <v>258</v>
      </c>
      <c r="D157" s="211"/>
      <c r="E157" s="211"/>
      <c r="F157" s="211"/>
      <c r="G157" s="211"/>
      <c r="H157" s="211"/>
      <c r="I157" s="211"/>
      <c r="J157" s="211">
        <f>2000</f>
        <v>2000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25"/>
      <c r="U157" s="220">
        <f t="shared" si="10"/>
        <v>2000</v>
      </c>
    </row>
    <row r="158" spans="1:21" ht="24" customHeight="1">
      <c r="A158" s="94">
        <v>51</v>
      </c>
      <c r="B158" s="37">
        <v>108</v>
      </c>
      <c r="C158" s="48" t="s">
        <v>187</v>
      </c>
      <c r="D158" s="211"/>
      <c r="E158" s="211"/>
      <c r="F158" s="211">
        <f>80+20+0.089+0.016-0.105-4.746+4.746</f>
        <v>100</v>
      </c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25"/>
      <c r="U158" s="220">
        <f t="shared" si="10"/>
        <v>100</v>
      </c>
    </row>
    <row r="159" spans="1:21" ht="24" customHeight="1">
      <c r="A159" s="94">
        <v>52</v>
      </c>
      <c r="B159" s="37">
        <v>109</v>
      </c>
      <c r="C159" s="48" t="s">
        <v>189</v>
      </c>
      <c r="D159" s="211"/>
      <c r="E159" s="211"/>
      <c r="F159" s="211">
        <f>80+20-2.2-37.335+26.668+3.2+7.467+3.368+0.842-132.5+106+26.5-40.5+32.4+8.1</f>
        <v>102.00999999999999</v>
      </c>
      <c r="G159" s="211">
        <f>2.2</f>
        <v>2.2</v>
      </c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>
        <f>-4.21</f>
        <v>-4.21</v>
      </c>
      <c r="T159" s="225"/>
      <c r="U159" s="220">
        <f t="shared" si="10"/>
        <v>100</v>
      </c>
    </row>
    <row r="160" spans="1:21" ht="24" customHeight="1">
      <c r="A160" s="94">
        <v>53</v>
      </c>
      <c r="B160" s="37">
        <v>110</v>
      </c>
      <c r="C160" s="48" t="s">
        <v>191</v>
      </c>
      <c r="D160" s="211"/>
      <c r="E160" s="211"/>
      <c r="F160" s="211">
        <f>-30-30-50-20</f>
        <v>-130</v>
      </c>
      <c r="G160" s="211"/>
      <c r="H160" s="211"/>
      <c r="I160" s="211"/>
      <c r="J160" s="211"/>
      <c r="K160" s="211">
        <f>100+30+30+50+20</f>
        <v>230</v>
      </c>
      <c r="L160" s="211"/>
      <c r="M160" s="211"/>
      <c r="N160" s="211"/>
      <c r="O160" s="211"/>
      <c r="P160" s="211"/>
      <c r="Q160" s="211"/>
      <c r="R160" s="211"/>
      <c r="S160" s="211"/>
      <c r="T160" s="225"/>
      <c r="U160" s="220">
        <f t="shared" si="10"/>
        <v>100</v>
      </c>
    </row>
    <row r="161" spans="1:21" ht="24" customHeight="1">
      <c r="A161" s="94">
        <v>54</v>
      </c>
      <c r="B161" s="37">
        <v>111</v>
      </c>
      <c r="C161" s="48" t="s">
        <v>193</v>
      </c>
      <c r="D161" s="211"/>
      <c r="E161" s="211"/>
      <c r="F161" s="211">
        <f>100-100+10+51.314+0.706+25.495+12.485-63.151</f>
        <v>36.849</v>
      </c>
      <c r="G161" s="211"/>
      <c r="H161" s="211"/>
      <c r="I161" s="211"/>
      <c r="J161" s="211"/>
      <c r="K161" s="211">
        <f>63.151</f>
        <v>63.151</v>
      </c>
      <c r="L161" s="211"/>
      <c r="M161" s="211"/>
      <c r="N161" s="211"/>
      <c r="O161" s="211"/>
      <c r="P161" s="211"/>
      <c r="Q161" s="211"/>
      <c r="R161" s="211"/>
      <c r="S161" s="211"/>
      <c r="T161" s="225"/>
      <c r="U161" s="220">
        <f t="shared" si="10"/>
        <v>100</v>
      </c>
    </row>
    <row r="162" spans="1:21" ht="24" customHeight="1">
      <c r="A162" s="94">
        <v>55</v>
      </c>
      <c r="B162" s="151">
        <v>112</v>
      </c>
      <c r="C162" s="48" t="s">
        <v>195</v>
      </c>
      <c r="D162" s="211"/>
      <c r="E162" s="211"/>
      <c r="F162" s="211">
        <f>80+20</f>
        <v>100</v>
      </c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25"/>
      <c r="U162" s="220">
        <f t="shared" si="10"/>
        <v>100</v>
      </c>
    </row>
    <row r="163" spans="1:21" ht="24" customHeight="1">
      <c r="A163" s="94">
        <v>56</v>
      </c>
      <c r="B163" s="96">
        <v>113</v>
      </c>
      <c r="C163" s="48" t="s">
        <v>197</v>
      </c>
      <c r="D163" s="211">
        <f>-96-18.881-2.719</f>
        <v>-117.6</v>
      </c>
      <c r="E163" s="211"/>
      <c r="F163" s="211">
        <f>80+20+293.236-40-10+50-200+160+40-90+72+18-11.271+9.017+2.254+2.175+0.544-339.702+239.518+52.411+41.674+2.547+3.552-131.119+150-112.5</f>
        <v>302.336</v>
      </c>
      <c r="G163" s="211"/>
      <c r="H163" s="211"/>
      <c r="I163" s="211"/>
      <c r="J163" s="211"/>
      <c r="K163" s="211">
        <f>96+112.5</f>
        <v>208.5</v>
      </c>
      <c r="L163" s="211"/>
      <c r="M163" s="211"/>
      <c r="N163" s="211"/>
      <c r="O163" s="211"/>
      <c r="P163" s="211"/>
      <c r="Q163" s="211"/>
      <c r="R163" s="211"/>
      <c r="S163" s="211"/>
      <c r="T163" s="225"/>
      <c r="U163" s="220">
        <f t="shared" si="10"/>
        <v>393.236</v>
      </c>
    </row>
    <row r="164" spans="1:21" ht="24" customHeight="1">
      <c r="A164" s="94">
        <v>57</v>
      </c>
      <c r="B164" s="37">
        <v>114</v>
      </c>
      <c r="C164" s="48" t="s">
        <v>203</v>
      </c>
      <c r="D164" s="211"/>
      <c r="E164" s="211"/>
      <c r="F164" s="211">
        <f>80+20-53.55+42.84+10.71</f>
        <v>100</v>
      </c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25"/>
      <c r="U164" s="220">
        <f t="shared" si="10"/>
        <v>100</v>
      </c>
    </row>
    <row r="165" spans="1:21" ht="24" customHeight="1">
      <c r="A165" s="94">
        <v>58</v>
      </c>
      <c r="B165" s="37">
        <v>115</v>
      </c>
      <c r="C165" s="48" t="s">
        <v>201</v>
      </c>
      <c r="D165" s="211"/>
      <c r="E165" s="211"/>
      <c r="F165" s="211">
        <f>80+20-160-40-7.484+7.484-42.516+42.516</f>
        <v>-100</v>
      </c>
      <c r="G165" s="211"/>
      <c r="H165" s="211"/>
      <c r="I165" s="211"/>
      <c r="J165" s="211">
        <f>160+40</f>
        <v>200</v>
      </c>
      <c r="K165" s="211"/>
      <c r="L165" s="211"/>
      <c r="M165" s="211"/>
      <c r="N165" s="211"/>
      <c r="O165" s="211"/>
      <c r="P165" s="211"/>
      <c r="Q165" s="211"/>
      <c r="R165" s="211"/>
      <c r="S165" s="211"/>
      <c r="T165" s="225"/>
      <c r="U165" s="220">
        <f t="shared" si="10"/>
        <v>100</v>
      </c>
    </row>
    <row r="166" spans="1:21" ht="24" customHeight="1">
      <c r="A166" s="94">
        <v>59</v>
      </c>
      <c r="B166" s="37">
        <v>116</v>
      </c>
      <c r="C166" s="48" t="s">
        <v>199</v>
      </c>
      <c r="D166" s="211">
        <f>10</f>
        <v>10</v>
      </c>
      <c r="E166" s="211"/>
      <c r="F166" s="211">
        <f>80+20-117.6+94.08+23.52-17.6+6.6+10.133+0.867-10+10-10-4.3+3.44+0.86-17.62+13.2+3.3+1.12-15.14+15.14-150+40.5+108.708+0.792-130+109.7+20.3-77.29-19.323+75.298+1.992+19.323-10.582+5.388+3.078+2.116</f>
        <v>90.00000000000001</v>
      </c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25"/>
      <c r="U166" s="220">
        <f t="shared" si="10"/>
        <v>100.00000000000001</v>
      </c>
    </row>
    <row r="167" spans="1:21" ht="24" customHeight="1">
      <c r="A167" s="94">
        <v>60</v>
      </c>
      <c r="B167" s="37">
        <v>117</v>
      </c>
      <c r="C167" s="48" t="s">
        <v>213</v>
      </c>
      <c r="D167" s="211"/>
      <c r="E167" s="211"/>
      <c r="F167" s="211">
        <f>80+20-10+8+2-28.954+28.954-11.046+11.046</f>
        <v>100</v>
      </c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25"/>
      <c r="U167" s="220">
        <f t="shared" si="10"/>
        <v>100</v>
      </c>
    </row>
    <row r="168" spans="1:21" ht="24" customHeight="1">
      <c r="A168" s="94">
        <v>61</v>
      </c>
      <c r="B168" s="37">
        <v>118</v>
      </c>
      <c r="C168" s="48" t="s">
        <v>259</v>
      </c>
      <c r="D168" s="211"/>
      <c r="E168" s="211"/>
      <c r="F168" s="211">
        <f>-1000</f>
        <v>-1000</v>
      </c>
      <c r="G168" s="211"/>
      <c r="H168" s="211">
        <f>1000</f>
        <v>1000</v>
      </c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25"/>
      <c r="U168" s="220">
        <f t="shared" si="10"/>
        <v>0</v>
      </c>
    </row>
    <row r="169" spans="1:22" ht="24" customHeight="1">
      <c r="A169" s="94">
        <v>62</v>
      </c>
      <c r="B169" s="37">
        <v>120</v>
      </c>
      <c r="C169" s="48" t="s">
        <v>230</v>
      </c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>
        <f>-21210-2529</f>
        <v>-23739</v>
      </c>
      <c r="T169" s="225">
        <f>21210+2529</f>
        <v>23739</v>
      </c>
      <c r="U169" s="220">
        <f t="shared" si="10"/>
        <v>0</v>
      </c>
      <c r="V169" s="97"/>
    </row>
    <row r="170" spans="1:21" ht="24" customHeight="1">
      <c r="A170" s="94">
        <v>63</v>
      </c>
      <c r="B170" s="37">
        <v>121</v>
      </c>
      <c r="C170" s="48" t="s">
        <v>260</v>
      </c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>
        <f>1166+291+834+208</f>
        <v>2499</v>
      </c>
      <c r="P170" s="211"/>
      <c r="Q170" s="211"/>
      <c r="R170" s="211"/>
      <c r="S170" s="211">
        <f>-2499</f>
        <v>-2499</v>
      </c>
      <c r="T170" s="225"/>
      <c r="U170" s="220">
        <f t="shared" si="10"/>
        <v>0</v>
      </c>
    </row>
    <row r="171" spans="1:21" ht="24" customHeight="1">
      <c r="A171" s="94">
        <v>64</v>
      </c>
      <c r="B171" s="37">
        <v>123</v>
      </c>
      <c r="C171" s="48" t="s">
        <v>246</v>
      </c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>
        <f>820+205</f>
        <v>1025</v>
      </c>
      <c r="P171" s="211"/>
      <c r="Q171" s="211"/>
      <c r="R171" s="211"/>
      <c r="S171" s="211">
        <f>-1025</f>
        <v>-1025</v>
      </c>
      <c r="T171" s="225"/>
      <c r="U171" s="220">
        <f t="shared" si="10"/>
        <v>0</v>
      </c>
    </row>
    <row r="172" spans="1:21" ht="24" customHeight="1">
      <c r="A172" s="94">
        <v>65</v>
      </c>
      <c r="B172" s="37">
        <v>124</v>
      </c>
      <c r="C172" s="48" t="s">
        <v>261</v>
      </c>
      <c r="D172" s="211"/>
      <c r="E172" s="211"/>
      <c r="F172" s="211">
        <f>158+39</f>
        <v>197</v>
      </c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>
        <f>-197</f>
        <v>-197</v>
      </c>
      <c r="T172" s="225"/>
      <c r="U172" s="220">
        <f aca="true" t="shared" si="11" ref="U172:U221">SUM(D172:T172)</f>
        <v>0</v>
      </c>
    </row>
    <row r="173" spans="1:21" ht="24" customHeight="1">
      <c r="A173" s="94">
        <v>66</v>
      </c>
      <c r="B173" s="36">
        <v>125</v>
      </c>
      <c r="C173" s="34" t="s">
        <v>262</v>
      </c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>
        <f>920+230</f>
        <v>1150</v>
      </c>
      <c r="P173" s="211"/>
      <c r="Q173" s="211"/>
      <c r="R173" s="211"/>
      <c r="S173" s="211">
        <f>-1150</f>
        <v>-1150</v>
      </c>
      <c r="T173" s="225"/>
      <c r="U173" s="220">
        <f t="shared" si="11"/>
        <v>0</v>
      </c>
    </row>
    <row r="174" spans="1:22" ht="24" customHeight="1">
      <c r="A174" s="94">
        <v>67</v>
      </c>
      <c r="B174" s="38">
        <v>126</v>
      </c>
      <c r="C174" s="34" t="s">
        <v>263</v>
      </c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>
        <f>7200+1800</f>
        <v>9000</v>
      </c>
      <c r="P174" s="211"/>
      <c r="Q174" s="211"/>
      <c r="R174" s="211"/>
      <c r="S174" s="211">
        <f>-9000</f>
        <v>-9000</v>
      </c>
      <c r="T174" s="225"/>
      <c r="U174" s="220">
        <f t="shared" si="11"/>
        <v>0</v>
      </c>
      <c r="V174" s="97"/>
    </row>
    <row r="175" spans="1:21" ht="24" customHeight="1">
      <c r="A175" s="94">
        <v>68</v>
      </c>
      <c r="B175" s="37">
        <v>127</v>
      </c>
      <c r="C175" s="34" t="s">
        <v>232</v>
      </c>
      <c r="D175" s="211"/>
      <c r="E175" s="211"/>
      <c r="F175" s="211"/>
      <c r="G175" s="211"/>
      <c r="H175" s="211"/>
      <c r="I175" s="211"/>
      <c r="J175" s="211"/>
      <c r="K175" s="211">
        <f>50+24+50</f>
        <v>124</v>
      </c>
      <c r="L175" s="211"/>
      <c r="M175" s="211"/>
      <c r="N175" s="211"/>
      <c r="O175" s="211"/>
      <c r="P175" s="211"/>
      <c r="Q175" s="211"/>
      <c r="R175" s="211"/>
      <c r="S175" s="211">
        <f>-124</f>
        <v>-124</v>
      </c>
      <c r="T175" s="225"/>
      <c r="U175" s="220">
        <f t="shared" si="11"/>
        <v>0</v>
      </c>
    </row>
    <row r="176" spans="1:21" ht="24" customHeight="1">
      <c r="A176" s="94">
        <v>69</v>
      </c>
      <c r="B176" s="37">
        <v>128</v>
      </c>
      <c r="C176" s="34" t="s">
        <v>264</v>
      </c>
      <c r="D176" s="211"/>
      <c r="E176" s="211"/>
      <c r="F176" s="211"/>
      <c r="G176" s="211">
        <f>200</f>
        <v>200</v>
      </c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>
        <f>-200</f>
        <v>-200</v>
      </c>
      <c r="T176" s="225"/>
      <c r="U176" s="220">
        <f t="shared" si="11"/>
        <v>0</v>
      </c>
    </row>
    <row r="177" spans="1:21" ht="24" customHeight="1">
      <c r="A177" s="94">
        <v>70</v>
      </c>
      <c r="B177" s="218" t="s">
        <v>268</v>
      </c>
      <c r="C177" s="34" t="s">
        <v>269</v>
      </c>
      <c r="D177" s="211"/>
      <c r="E177" s="211"/>
      <c r="F177" s="211">
        <f>-85+75+5-1000+1000</f>
        <v>-5</v>
      </c>
      <c r="G177" s="211">
        <f>5</f>
        <v>5</v>
      </c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25"/>
      <c r="U177" s="220">
        <f t="shared" si="11"/>
        <v>0</v>
      </c>
    </row>
    <row r="178" spans="1:21" ht="24" customHeight="1">
      <c r="A178" s="94">
        <v>71</v>
      </c>
      <c r="B178" s="38">
        <v>129</v>
      </c>
      <c r="C178" s="34" t="s">
        <v>265</v>
      </c>
      <c r="D178" s="211">
        <f>922+63+1230+84</f>
        <v>2299</v>
      </c>
      <c r="E178" s="211">
        <f>221+14+5+9+295+18+6+12</f>
        <v>580</v>
      </c>
      <c r="F178" s="211"/>
      <c r="G178" s="211">
        <f>12+16</f>
        <v>28</v>
      </c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>
        <f>-2907</f>
        <v>-2907</v>
      </c>
      <c r="T178" s="225"/>
      <c r="U178" s="220">
        <f t="shared" si="11"/>
        <v>0</v>
      </c>
    </row>
    <row r="179" spans="1:21" ht="24" customHeight="1">
      <c r="A179" s="94">
        <v>72</v>
      </c>
      <c r="B179" s="37">
        <v>130</v>
      </c>
      <c r="C179" s="34" t="s">
        <v>266</v>
      </c>
      <c r="D179" s="211"/>
      <c r="E179" s="211"/>
      <c r="F179" s="211">
        <f>499+125</f>
        <v>624</v>
      </c>
      <c r="G179" s="211"/>
      <c r="H179" s="211"/>
      <c r="I179" s="211"/>
      <c r="J179" s="211"/>
      <c r="K179" s="211"/>
      <c r="L179" s="211"/>
      <c r="M179" s="211"/>
      <c r="N179" s="211"/>
      <c r="O179" s="211">
        <f>-29518+650+28369-125</f>
        <v>-624</v>
      </c>
      <c r="P179" s="211"/>
      <c r="Q179" s="211"/>
      <c r="R179" s="211"/>
      <c r="S179" s="211"/>
      <c r="T179" s="225"/>
      <c r="U179" s="220">
        <f t="shared" si="11"/>
        <v>0</v>
      </c>
    </row>
    <row r="180" spans="1:21" ht="24" customHeight="1">
      <c r="A180" s="94">
        <v>73</v>
      </c>
      <c r="B180" s="38">
        <v>132</v>
      </c>
      <c r="C180" s="34" t="s">
        <v>267</v>
      </c>
      <c r="D180" s="211"/>
      <c r="E180" s="211"/>
      <c r="F180" s="211">
        <f>5000</f>
        <v>5000</v>
      </c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>
        <f>-5000</f>
        <v>-5000</v>
      </c>
      <c r="T180" s="225"/>
      <c r="U180" s="220">
        <f t="shared" si="11"/>
        <v>0</v>
      </c>
    </row>
    <row r="181" spans="1:21" ht="24" customHeight="1">
      <c r="A181" s="257">
        <v>74</v>
      </c>
      <c r="B181" s="168">
        <v>133</v>
      </c>
      <c r="C181" s="258" t="s">
        <v>271</v>
      </c>
      <c r="D181" s="211">
        <f>5829+22771</f>
        <v>28600</v>
      </c>
      <c r="E181" s="211">
        <f>1398.959+87.435+29.145+58.29+5465.07+341.567+113.855+227.712</f>
        <v>7722.032999999999</v>
      </c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25">
        <f>5068+1555+2549+1687+493+530</f>
        <v>11882</v>
      </c>
      <c r="U181" s="220">
        <f t="shared" si="11"/>
        <v>48204.032999999996</v>
      </c>
    </row>
    <row r="182" spans="1:21" ht="24" customHeight="1">
      <c r="A182" s="94">
        <v>75</v>
      </c>
      <c r="B182" s="38">
        <v>134</v>
      </c>
      <c r="C182" s="48" t="s">
        <v>272</v>
      </c>
      <c r="D182" s="211">
        <f>-3260</f>
        <v>-3260</v>
      </c>
      <c r="E182" s="211"/>
      <c r="F182" s="211">
        <f>60+100+2400+50+650</f>
        <v>3260</v>
      </c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25"/>
      <c r="U182" s="220">
        <f t="shared" si="11"/>
        <v>0</v>
      </c>
    </row>
    <row r="183" spans="1:21" ht="24" customHeight="1">
      <c r="A183" s="94">
        <v>76</v>
      </c>
      <c r="B183" s="38">
        <v>135</v>
      </c>
      <c r="C183" s="48" t="s">
        <v>276</v>
      </c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>
        <f>2478</f>
        <v>2478</v>
      </c>
      <c r="T183" s="225"/>
      <c r="U183" s="220">
        <f t="shared" si="11"/>
        <v>2478</v>
      </c>
    </row>
    <row r="184" spans="1:21" ht="24" customHeight="1">
      <c r="A184" s="94">
        <v>77</v>
      </c>
      <c r="B184" s="37">
        <v>136</v>
      </c>
      <c r="C184" s="48" t="s">
        <v>275</v>
      </c>
      <c r="D184" s="211"/>
      <c r="E184" s="211"/>
      <c r="F184" s="211">
        <f>2989+747</f>
        <v>3736</v>
      </c>
      <c r="G184" s="211"/>
      <c r="H184" s="211"/>
      <c r="I184" s="211"/>
      <c r="J184" s="211"/>
      <c r="K184" s="211"/>
      <c r="L184" s="211"/>
      <c r="M184" s="211"/>
      <c r="N184" s="211"/>
      <c r="O184" s="211">
        <f>-2989-747</f>
        <v>-3736</v>
      </c>
      <c r="P184" s="211"/>
      <c r="Q184" s="211"/>
      <c r="R184" s="211"/>
      <c r="S184" s="211"/>
      <c r="T184" s="225"/>
      <c r="U184" s="220">
        <f t="shared" si="11"/>
        <v>0</v>
      </c>
    </row>
    <row r="185" spans="1:21" ht="24" customHeight="1">
      <c r="A185" s="94">
        <v>78</v>
      </c>
      <c r="B185" s="37">
        <v>139</v>
      </c>
      <c r="C185" s="48" t="s">
        <v>278</v>
      </c>
      <c r="D185" s="211"/>
      <c r="E185" s="211"/>
      <c r="F185" s="211">
        <f>-30-7</f>
        <v>-37</v>
      </c>
      <c r="G185" s="211"/>
      <c r="H185" s="211"/>
      <c r="I185" s="211"/>
      <c r="J185" s="211"/>
      <c r="K185" s="211"/>
      <c r="L185" s="211">
        <f>37</f>
        <v>37</v>
      </c>
      <c r="M185" s="211"/>
      <c r="N185" s="211"/>
      <c r="O185" s="211"/>
      <c r="P185" s="211"/>
      <c r="Q185" s="211"/>
      <c r="R185" s="211"/>
      <c r="S185" s="211"/>
      <c r="T185" s="225"/>
      <c r="U185" s="220">
        <f t="shared" si="11"/>
        <v>0</v>
      </c>
    </row>
    <row r="186" spans="1:21" ht="24" customHeight="1">
      <c r="A186" s="94">
        <v>79</v>
      </c>
      <c r="B186" s="37">
        <v>140</v>
      </c>
      <c r="C186" s="48" t="s">
        <v>279</v>
      </c>
      <c r="D186" s="211"/>
      <c r="E186" s="211"/>
      <c r="F186" s="211">
        <f>421</f>
        <v>421</v>
      </c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>
        <f>140</f>
        <v>140</v>
      </c>
      <c r="T186" s="225"/>
      <c r="U186" s="220">
        <f t="shared" si="11"/>
        <v>561</v>
      </c>
    </row>
    <row r="187" spans="1:21" ht="24" customHeight="1">
      <c r="A187" s="94">
        <v>80</v>
      </c>
      <c r="B187" s="37">
        <v>141</v>
      </c>
      <c r="C187" s="48" t="s">
        <v>280</v>
      </c>
      <c r="D187" s="211">
        <f>160</f>
        <v>160</v>
      </c>
      <c r="E187" s="211">
        <f>19+1+1</f>
        <v>21</v>
      </c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25"/>
      <c r="U187" s="220">
        <f t="shared" si="11"/>
        <v>181</v>
      </c>
    </row>
    <row r="188" spans="1:21" ht="24" customHeight="1">
      <c r="A188" s="94">
        <v>81</v>
      </c>
      <c r="B188" s="37">
        <v>142</v>
      </c>
      <c r="C188" s="48" t="s">
        <v>281</v>
      </c>
      <c r="D188" s="211"/>
      <c r="E188" s="211"/>
      <c r="F188" s="211">
        <f>645+157</f>
        <v>802</v>
      </c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25"/>
      <c r="U188" s="220">
        <f t="shared" si="11"/>
        <v>802</v>
      </c>
    </row>
    <row r="189" spans="1:21" ht="24" customHeight="1" hidden="1">
      <c r="A189" s="94">
        <v>82</v>
      </c>
      <c r="B189" s="37">
        <v>145</v>
      </c>
      <c r="C189" s="48" t="s">
        <v>168</v>
      </c>
      <c r="D189" s="211"/>
      <c r="E189" s="211"/>
      <c r="F189" s="211">
        <f>4666+1166-5832</f>
        <v>0</v>
      </c>
      <c r="G189" s="211"/>
      <c r="H189" s="211"/>
      <c r="I189" s="211"/>
      <c r="J189" s="211"/>
      <c r="K189" s="211"/>
      <c r="L189" s="211"/>
      <c r="M189" s="211"/>
      <c r="N189" s="211"/>
      <c r="O189" s="211">
        <f>-6002-1500+571+143+765+191+5832</f>
        <v>0</v>
      </c>
      <c r="P189" s="211"/>
      <c r="Q189" s="211"/>
      <c r="R189" s="211"/>
      <c r="S189" s="211"/>
      <c r="T189" s="225"/>
      <c r="U189" s="220">
        <f t="shared" si="11"/>
        <v>0</v>
      </c>
    </row>
    <row r="190" spans="1:21" ht="24" customHeight="1">
      <c r="A190" s="94">
        <v>82</v>
      </c>
      <c r="B190" s="37"/>
      <c r="C190" s="48" t="s">
        <v>282</v>
      </c>
      <c r="D190" s="211">
        <f>2075+1261+1250+4627+1634+6299+245+(-826)</f>
        <v>16565</v>
      </c>
      <c r="E190" s="211">
        <f>306+392+25+8+16+1512+95+31+63+53+3+1+2+(743+79)</f>
        <v>3329</v>
      </c>
      <c r="F190" s="211">
        <f>2034+988+1020+674+310+2640</f>
        <v>7666</v>
      </c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25"/>
      <c r="U190" s="220">
        <f t="shared" si="11"/>
        <v>27560</v>
      </c>
    </row>
    <row r="191" spans="1:21" ht="24" customHeight="1">
      <c r="A191" s="94"/>
      <c r="B191" s="37"/>
      <c r="C191" s="48" t="s">
        <v>283</v>
      </c>
      <c r="D191" s="211">
        <v>-0.4</v>
      </c>
      <c r="E191" s="211">
        <v>-0.028</v>
      </c>
      <c r="F191" s="211">
        <v>1.366</v>
      </c>
      <c r="G191" s="211">
        <v>0.8</v>
      </c>
      <c r="H191" s="211"/>
      <c r="I191" s="211"/>
      <c r="J191" s="211"/>
      <c r="K191" s="211">
        <v>1.349</v>
      </c>
      <c r="L191" s="211"/>
      <c r="M191" s="211"/>
      <c r="N191" s="211"/>
      <c r="O191" s="211"/>
      <c r="P191" s="211"/>
      <c r="Q191" s="211"/>
      <c r="R191" s="211"/>
      <c r="S191" s="211">
        <v>0.34</v>
      </c>
      <c r="T191" s="211"/>
      <c r="U191" s="220">
        <f t="shared" si="11"/>
        <v>3.4269999999999996</v>
      </c>
    </row>
    <row r="192" spans="1:21" ht="16.5" hidden="1">
      <c r="A192" s="94"/>
      <c r="B192" s="37"/>
      <c r="C192" s="48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3"/>
      <c r="U192" s="95">
        <f t="shared" si="11"/>
        <v>0</v>
      </c>
    </row>
    <row r="193" spans="1:21" ht="16.5" hidden="1">
      <c r="A193" s="94"/>
      <c r="B193" s="37"/>
      <c r="C193" s="48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3"/>
      <c r="U193" s="95">
        <f t="shared" si="11"/>
        <v>0</v>
      </c>
    </row>
    <row r="194" spans="1:21" ht="16.5" hidden="1">
      <c r="A194" s="94"/>
      <c r="B194" s="37"/>
      <c r="C194" s="48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3"/>
      <c r="U194" s="95">
        <f t="shared" si="11"/>
        <v>0</v>
      </c>
    </row>
    <row r="195" spans="1:21" ht="16.5" hidden="1">
      <c r="A195" s="94"/>
      <c r="B195" s="37"/>
      <c r="C195" s="48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3"/>
      <c r="U195" s="95">
        <f t="shared" si="11"/>
        <v>0</v>
      </c>
    </row>
    <row r="196" spans="1:21" ht="16.5" hidden="1">
      <c r="A196" s="94"/>
      <c r="B196" s="37"/>
      <c r="C196" s="48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3"/>
      <c r="U196" s="95">
        <f t="shared" si="11"/>
        <v>0</v>
      </c>
    </row>
    <row r="197" spans="1:21" ht="16.5" hidden="1">
      <c r="A197" s="94"/>
      <c r="B197" s="37"/>
      <c r="C197" s="48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3"/>
      <c r="U197" s="95">
        <f t="shared" si="11"/>
        <v>0</v>
      </c>
    </row>
    <row r="198" spans="1:21" ht="16.5" hidden="1">
      <c r="A198" s="94"/>
      <c r="B198" s="37"/>
      <c r="C198" s="48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3"/>
      <c r="U198" s="95">
        <f t="shared" si="11"/>
        <v>0</v>
      </c>
    </row>
    <row r="199" spans="1:21" ht="16.5" hidden="1">
      <c r="A199" s="94"/>
      <c r="B199" s="37"/>
      <c r="C199" s="48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3"/>
      <c r="U199" s="95">
        <f t="shared" si="11"/>
        <v>0</v>
      </c>
    </row>
    <row r="200" spans="1:21" ht="16.5" hidden="1">
      <c r="A200" s="94"/>
      <c r="B200" s="37"/>
      <c r="C200" s="48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3"/>
      <c r="U200" s="95">
        <f t="shared" si="11"/>
        <v>0</v>
      </c>
    </row>
    <row r="201" spans="1:21" ht="16.5" hidden="1">
      <c r="A201" s="94"/>
      <c r="B201" s="37"/>
      <c r="C201" s="48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3"/>
      <c r="U201" s="95">
        <f t="shared" si="11"/>
        <v>0</v>
      </c>
    </row>
    <row r="202" spans="1:21" ht="16.5" hidden="1">
      <c r="A202" s="94"/>
      <c r="B202" s="37"/>
      <c r="C202" s="48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3"/>
      <c r="U202" s="95">
        <f t="shared" si="11"/>
        <v>0</v>
      </c>
    </row>
    <row r="203" spans="1:21" ht="16.5" hidden="1">
      <c r="A203" s="94"/>
      <c r="B203" s="37"/>
      <c r="C203" s="48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3"/>
      <c r="U203" s="95">
        <f t="shared" si="11"/>
        <v>0</v>
      </c>
    </row>
    <row r="204" spans="1:21" ht="16.5" hidden="1">
      <c r="A204" s="94"/>
      <c r="B204" s="37"/>
      <c r="C204" s="48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3"/>
      <c r="U204" s="95">
        <f t="shared" si="11"/>
        <v>0</v>
      </c>
    </row>
    <row r="205" spans="1:21" ht="16.5" hidden="1">
      <c r="A205" s="94"/>
      <c r="B205" s="37"/>
      <c r="C205" s="48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3"/>
      <c r="U205" s="95">
        <f t="shared" si="11"/>
        <v>0</v>
      </c>
    </row>
    <row r="206" spans="1:21" ht="16.5" hidden="1">
      <c r="A206" s="94"/>
      <c r="B206" s="37"/>
      <c r="C206" s="48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3"/>
      <c r="U206" s="95">
        <f t="shared" si="11"/>
        <v>0</v>
      </c>
    </row>
    <row r="207" spans="1:21" ht="16.5" hidden="1">
      <c r="A207" s="94"/>
      <c r="B207" s="37"/>
      <c r="C207" s="48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3"/>
      <c r="U207" s="95">
        <f t="shared" si="11"/>
        <v>0</v>
      </c>
    </row>
    <row r="208" spans="1:21" ht="16.5" hidden="1">
      <c r="A208" s="94"/>
      <c r="B208" s="37"/>
      <c r="C208" s="48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3"/>
      <c r="U208" s="95">
        <f t="shared" si="11"/>
        <v>0</v>
      </c>
    </row>
    <row r="209" spans="1:21" ht="16.5" hidden="1">
      <c r="A209" s="94"/>
      <c r="B209" s="37"/>
      <c r="C209" s="48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3"/>
      <c r="U209" s="95">
        <f t="shared" si="11"/>
        <v>0</v>
      </c>
    </row>
    <row r="210" spans="1:22" ht="16.5" hidden="1">
      <c r="A210" s="94"/>
      <c r="B210" s="37"/>
      <c r="C210" s="48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3"/>
      <c r="U210" s="95">
        <f t="shared" si="11"/>
        <v>0</v>
      </c>
      <c r="V210" s="97"/>
    </row>
    <row r="211" spans="1:21" ht="16.5" hidden="1">
      <c r="A211" s="94"/>
      <c r="B211" s="37"/>
      <c r="C211" s="48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3"/>
      <c r="U211" s="95">
        <f t="shared" si="11"/>
        <v>0</v>
      </c>
    </row>
    <row r="212" spans="1:21" ht="16.5" hidden="1">
      <c r="A212" s="94"/>
      <c r="B212" s="37"/>
      <c r="C212" s="48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3"/>
      <c r="U212" s="95">
        <f t="shared" si="11"/>
        <v>0</v>
      </c>
    </row>
    <row r="213" spans="1:21" ht="16.5" hidden="1">
      <c r="A213" s="94"/>
      <c r="B213" s="37"/>
      <c r="C213" s="48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3"/>
      <c r="U213" s="95">
        <f t="shared" si="11"/>
        <v>0</v>
      </c>
    </row>
    <row r="214" spans="1:21" ht="16.5" hidden="1">
      <c r="A214" s="94"/>
      <c r="B214" s="37"/>
      <c r="C214" s="48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3"/>
      <c r="U214" s="95">
        <f t="shared" si="11"/>
        <v>0</v>
      </c>
    </row>
    <row r="215" spans="1:21" ht="17.25" thickBot="1">
      <c r="A215" s="94"/>
      <c r="B215" s="121"/>
      <c r="C215" s="122"/>
      <c r="D215" s="123"/>
      <c r="E215" s="123"/>
      <c r="F215" s="82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4"/>
      <c r="U215" s="125">
        <f t="shared" si="11"/>
        <v>0</v>
      </c>
    </row>
    <row r="216" spans="1:21" ht="24" customHeight="1" thickBot="1" thickTop="1">
      <c r="A216" s="49"/>
      <c r="B216" s="127" t="s">
        <v>68</v>
      </c>
      <c r="C216" s="51" t="s">
        <v>65</v>
      </c>
      <c r="D216" s="226">
        <f aca="true" t="shared" si="12" ref="D216:K216">SUM(D108:D215)</f>
        <v>107408</v>
      </c>
      <c r="E216" s="226">
        <f t="shared" si="12"/>
        <v>28099</v>
      </c>
      <c r="F216" s="226">
        <f>SUM(F108:F215)</f>
        <v>86579.99999999999</v>
      </c>
      <c r="G216" s="226">
        <f>SUM(G108:G215)</f>
        <v>2787</v>
      </c>
      <c r="H216" s="226">
        <f>SUM(H108:H215)</f>
        <v>5950</v>
      </c>
      <c r="I216" s="226">
        <f>SUM(I108:I215)</f>
        <v>0</v>
      </c>
      <c r="J216" s="226">
        <f t="shared" si="12"/>
        <v>19359</v>
      </c>
      <c r="K216" s="226">
        <f t="shared" si="12"/>
        <v>-14633</v>
      </c>
      <c r="L216" s="226">
        <f aca="true" t="shared" si="13" ref="L216:T216">SUM(L108:L215)</f>
        <v>37</v>
      </c>
      <c r="M216" s="226">
        <f t="shared" si="13"/>
        <v>0</v>
      </c>
      <c r="N216" s="226">
        <f t="shared" si="13"/>
        <v>6271</v>
      </c>
      <c r="O216" s="226">
        <f t="shared" si="13"/>
        <v>82544</v>
      </c>
      <c r="P216" s="226">
        <f t="shared" si="13"/>
        <v>0</v>
      </c>
      <c r="Q216" s="226">
        <f t="shared" si="13"/>
        <v>0</v>
      </c>
      <c r="R216" s="226">
        <f t="shared" si="13"/>
        <v>0</v>
      </c>
      <c r="S216" s="226">
        <f t="shared" si="13"/>
        <v>-142534</v>
      </c>
      <c r="T216" s="226">
        <f t="shared" si="13"/>
        <v>48991</v>
      </c>
      <c r="U216" s="228">
        <f t="shared" si="11"/>
        <v>230859</v>
      </c>
    </row>
    <row r="217" spans="1:21" ht="16.5" customHeight="1" hidden="1" thickBot="1" thickTop="1">
      <c r="A217" s="94"/>
      <c r="B217" s="37"/>
      <c r="C217" s="48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25"/>
      <c r="U217" s="220">
        <f t="shared" si="11"/>
        <v>0</v>
      </c>
    </row>
    <row r="218" spans="1:21" ht="16.5" hidden="1">
      <c r="A218" s="94"/>
      <c r="B218" s="38"/>
      <c r="C218" s="48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25"/>
      <c r="U218" s="220">
        <f t="shared" si="11"/>
        <v>0</v>
      </c>
    </row>
    <row r="219" spans="1:21" ht="16.5" hidden="1">
      <c r="A219" s="94"/>
      <c r="B219" s="37"/>
      <c r="C219" s="48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25"/>
      <c r="U219" s="220">
        <f t="shared" si="11"/>
        <v>0</v>
      </c>
    </row>
    <row r="220" spans="1:21" ht="16.5" hidden="1">
      <c r="A220" s="94"/>
      <c r="B220" s="37"/>
      <c r="C220" s="48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25"/>
      <c r="U220" s="220">
        <f t="shared" si="11"/>
        <v>0</v>
      </c>
    </row>
    <row r="221" spans="1:21" ht="16.5" hidden="1">
      <c r="A221" s="94"/>
      <c r="B221" s="38"/>
      <c r="C221" s="48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25"/>
      <c r="U221" s="220">
        <f t="shared" si="11"/>
        <v>0</v>
      </c>
    </row>
    <row r="222" spans="1:21" ht="16.5" hidden="1">
      <c r="A222" s="94"/>
      <c r="B222" s="37"/>
      <c r="C222" s="48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25"/>
      <c r="U222" s="220"/>
    </row>
    <row r="223" spans="1:21" ht="16.5" hidden="1">
      <c r="A223" s="94"/>
      <c r="B223" s="37"/>
      <c r="C223" s="48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25"/>
      <c r="U223" s="220"/>
    </row>
    <row r="224" spans="1:21" ht="17.25" hidden="1" thickBot="1">
      <c r="A224" s="94"/>
      <c r="B224" s="37"/>
      <c r="C224" s="48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25"/>
      <c r="U224" s="220"/>
    </row>
    <row r="225" spans="1:21" ht="18.75" hidden="1" thickBot="1" thickTop="1">
      <c r="A225" s="126"/>
      <c r="B225" s="128" t="s">
        <v>146</v>
      </c>
      <c r="C225" s="51"/>
      <c r="D225" s="226">
        <f aca="true" t="shared" si="14" ref="D225:I225">SUM(D217:D221)</f>
        <v>0</v>
      </c>
      <c r="E225" s="226">
        <f t="shared" si="14"/>
        <v>0</v>
      </c>
      <c r="F225" s="226">
        <f t="shared" si="14"/>
        <v>0</v>
      </c>
      <c r="G225" s="226">
        <f t="shared" si="14"/>
        <v>0</v>
      </c>
      <c r="H225" s="226">
        <f t="shared" si="14"/>
        <v>0</v>
      </c>
      <c r="I225" s="226">
        <f t="shared" si="14"/>
        <v>0</v>
      </c>
      <c r="J225" s="226">
        <f aca="true" t="shared" si="15" ref="J225:O225">SUM(J217:J221)</f>
        <v>0</v>
      </c>
      <c r="K225" s="226">
        <f t="shared" si="15"/>
        <v>0</v>
      </c>
      <c r="L225" s="226">
        <f t="shared" si="15"/>
        <v>0</v>
      </c>
      <c r="M225" s="226">
        <f t="shared" si="15"/>
        <v>0</v>
      </c>
      <c r="N225" s="226">
        <f t="shared" si="15"/>
        <v>0</v>
      </c>
      <c r="O225" s="226">
        <f t="shared" si="15"/>
        <v>0</v>
      </c>
      <c r="P225" s="226">
        <f aca="true" t="shared" si="16" ref="P225:U225">SUM(P217:P221)</f>
        <v>0</v>
      </c>
      <c r="Q225" s="226">
        <f t="shared" si="16"/>
        <v>0</v>
      </c>
      <c r="R225" s="226">
        <f t="shared" si="16"/>
        <v>0</v>
      </c>
      <c r="S225" s="226">
        <f t="shared" si="16"/>
        <v>0</v>
      </c>
      <c r="T225" s="226">
        <f t="shared" si="16"/>
        <v>0</v>
      </c>
      <c r="U225" s="228">
        <f t="shared" si="16"/>
        <v>0</v>
      </c>
    </row>
    <row r="226" spans="1:21" ht="24" customHeight="1" thickBot="1" thickTop="1">
      <c r="A226" s="49"/>
      <c r="B226" s="127" t="s">
        <v>67</v>
      </c>
      <c r="C226" s="51" t="s">
        <v>66</v>
      </c>
      <c r="D226" s="245">
        <f aca="true" t="shared" si="17" ref="D226:U226">D107+D216+D225</f>
        <v>5199556</v>
      </c>
      <c r="E226" s="245">
        <f t="shared" si="17"/>
        <v>1343808</v>
      </c>
      <c r="F226" s="245">
        <f t="shared" si="17"/>
        <v>4682997</v>
      </c>
      <c r="G226" s="245">
        <f t="shared" si="17"/>
        <v>259628</v>
      </c>
      <c r="H226" s="245">
        <f t="shared" si="17"/>
        <v>411555</v>
      </c>
      <c r="I226" s="245">
        <f t="shared" si="17"/>
        <v>38811</v>
      </c>
      <c r="J226" s="245">
        <f t="shared" si="17"/>
        <v>36491</v>
      </c>
      <c r="K226" s="245">
        <f t="shared" si="17"/>
        <v>128538</v>
      </c>
      <c r="L226" s="245">
        <f t="shared" si="17"/>
        <v>2190489</v>
      </c>
      <c r="M226" s="245">
        <f t="shared" si="17"/>
        <v>322409</v>
      </c>
      <c r="N226" s="245">
        <f t="shared" si="17"/>
        <v>64959</v>
      </c>
      <c r="O226" s="245">
        <f t="shared" si="17"/>
        <v>1420123</v>
      </c>
      <c r="P226" s="245">
        <f t="shared" si="17"/>
        <v>25200</v>
      </c>
      <c r="Q226" s="245">
        <f t="shared" si="17"/>
        <v>10000</v>
      </c>
      <c r="R226" s="245">
        <f t="shared" si="17"/>
        <v>144828</v>
      </c>
      <c r="S226" s="245">
        <f t="shared" si="17"/>
        <v>1743554.9999999998</v>
      </c>
      <c r="T226" s="245">
        <f t="shared" si="17"/>
        <v>1547750</v>
      </c>
      <c r="U226" s="262">
        <f t="shared" si="17"/>
        <v>19570697</v>
      </c>
    </row>
    <row r="227" spans="1:21" ht="18" hidden="1" thickTop="1">
      <c r="A227" s="259"/>
      <c r="B227" s="260"/>
      <c r="C227" s="174" t="s">
        <v>64</v>
      </c>
      <c r="D227" s="261">
        <f aca="true" t="shared" si="18" ref="D227:T227">D226</f>
        <v>5199556</v>
      </c>
      <c r="E227" s="261">
        <f t="shared" si="18"/>
        <v>1343808</v>
      </c>
      <c r="F227" s="261">
        <f t="shared" si="18"/>
        <v>4682997</v>
      </c>
      <c r="G227" s="261">
        <f t="shared" si="18"/>
        <v>259628</v>
      </c>
      <c r="H227" s="261">
        <f t="shared" si="18"/>
        <v>411555</v>
      </c>
      <c r="I227" s="261">
        <f t="shared" si="18"/>
        <v>38811</v>
      </c>
      <c r="J227" s="261">
        <f t="shared" si="18"/>
        <v>36491</v>
      </c>
      <c r="K227" s="261">
        <f t="shared" si="18"/>
        <v>128538</v>
      </c>
      <c r="L227" s="261">
        <f t="shared" si="18"/>
        <v>2190489</v>
      </c>
      <c r="M227" s="261">
        <f t="shared" si="18"/>
        <v>322409</v>
      </c>
      <c r="N227" s="261">
        <f t="shared" si="18"/>
        <v>64959</v>
      </c>
      <c r="O227" s="261">
        <f t="shared" si="18"/>
        <v>1420123</v>
      </c>
      <c r="P227" s="261">
        <f t="shared" si="18"/>
        <v>25200</v>
      </c>
      <c r="Q227" s="261">
        <f t="shared" si="18"/>
        <v>10000</v>
      </c>
      <c r="R227" s="261">
        <f t="shared" si="18"/>
        <v>144828</v>
      </c>
      <c r="S227" s="261">
        <f t="shared" si="18"/>
        <v>1743554.9999999998</v>
      </c>
      <c r="T227" s="261">
        <f t="shared" si="18"/>
        <v>1547750</v>
      </c>
      <c r="U227" s="229">
        <f>SUM(D227:T227)</f>
        <v>19570697</v>
      </c>
    </row>
    <row r="228" spans="1:21" ht="16.5" hidden="1">
      <c r="A228" s="94">
        <v>1</v>
      </c>
      <c r="B228" s="141"/>
      <c r="C228" s="34"/>
      <c r="D228" s="221"/>
      <c r="E228" s="221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3"/>
      <c r="U228" s="219">
        <f aca="true" t="shared" si="19" ref="U228:U294">SUM(D228:T228)</f>
        <v>0</v>
      </c>
    </row>
    <row r="229" spans="1:21" ht="16.5" hidden="1">
      <c r="A229" s="94">
        <v>2</v>
      </c>
      <c r="B229" s="33"/>
      <c r="C229" s="34"/>
      <c r="D229" s="224"/>
      <c r="E229" s="224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25"/>
      <c r="U229" s="220">
        <f t="shared" si="19"/>
        <v>0</v>
      </c>
    </row>
    <row r="230" spans="1:21" ht="16.5" hidden="1">
      <c r="A230" s="94">
        <v>3</v>
      </c>
      <c r="B230" s="36"/>
      <c r="C230" s="34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25"/>
      <c r="U230" s="220">
        <f t="shared" si="19"/>
        <v>0</v>
      </c>
    </row>
    <row r="231" spans="1:21" ht="16.5" customHeight="1" hidden="1">
      <c r="A231" s="94">
        <v>4</v>
      </c>
      <c r="B231" s="36"/>
      <c r="C231" s="100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25"/>
      <c r="U231" s="220">
        <f t="shared" si="19"/>
        <v>0</v>
      </c>
    </row>
    <row r="232" spans="1:21" ht="16.5" customHeight="1" hidden="1">
      <c r="A232" s="94">
        <v>5</v>
      </c>
      <c r="B232" s="36"/>
      <c r="C232" s="34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25"/>
      <c r="U232" s="220">
        <f t="shared" si="19"/>
        <v>0</v>
      </c>
    </row>
    <row r="233" spans="1:21" ht="16.5" hidden="1">
      <c r="A233" s="94">
        <v>6</v>
      </c>
      <c r="B233" s="36"/>
      <c r="C233" s="34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25"/>
      <c r="U233" s="220">
        <f t="shared" si="19"/>
        <v>0</v>
      </c>
    </row>
    <row r="234" spans="1:21" ht="16.5" hidden="1">
      <c r="A234" s="94">
        <v>7</v>
      </c>
      <c r="B234" s="52"/>
      <c r="C234" s="39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25"/>
      <c r="U234" s="220">
        <f t="shared" si="19"/>
        <v>0</v>
      </c>
    </row>
    <row r="235" spans="1:21" ht="16.5" hidden="1">
      <c r="A235" s="94">
        <v>8</v>
      </c>
      <c r="B235" s="36"/>
      <c r="C235" s="34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25"/>
      <c r="U235" s="220">
        <f t="shared" si="19"/>
        <v>0</v>
      </c>
    </row>
    <row r="236" spans="1:21" ht="16.5" hidden="1">
      <c r="A236" s="94">
        <v>9</v>
      </c>
      <c r="B236" s="52"/>
      <c r="C236" s="39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25"/>
      <c r="U236" s="220">
        <f t="shared" si="19"/>
        <v>0</v>
      </c>
    </row>
    <row r="237" spans="1:21" ht="16.5" hidden="1">
      <c r="A237" s="94">
        <v>10</v>
      </c>
      <c r="B237" s="52"/>
      <c r="C237" s="34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25"/>
      <c r="U237" s="220">
        <f t="shared" si="19"/>
        <v>0</v>
      </c>
    </row>
    <row r="238" spans="1:21" ht="16.5" hidden="1">
      <c r="A238" s="94">
        <v>11</v>
      </c>
      <c r="B238" s="36"/>
      <c r="C238" s="34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25"/>
      <c r="U238" s="220">
        <f t="shared" si="19"/>
        <v>0</v>
      </c>
    </row>
    <row r="239" spans="1:21" ht="16.5" hidden="1">
      <c r="A239" s="94">
        <v>12</v>
      </c>
      <c r="B239" s="36"/>
      <c r="C239" s="34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25"/>
      <c r="U239" s="220">
        <f t="shared" si="19"/>
        <v>0</v>
      </c>
    </row>
    <row r="240" spans="1:21" ht="16.5" hidden="1">
      <c r="A240" s="94">
        <v>13</v>
      </c>
      <c r="B240" s="36"/>
      <c r="C240" s="34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25"/>
      <c r="U240" s="220">
        <f t="shared" si="19"/>
        <v>0</v>
      </c>
    </row>
    <row r="241" spans="1:21" ht="16.5" hidden="1">
      <c r="A241" s="94">
        <v>14</v>
      </c>
      <c r="B241" s="36"/>
      <c r="C241" s="34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25"/>
      <c r="U241" s="220">
        <f t="shared" si="19"/>
        <v>0</v>
      </c>
    </row>
    <row r="242" spans="1:21" ht="16.5" hidden="1">
      <c r="A242" s="94">
        <v>15</v>
      </c>
      <c r="B242" s="36"/>
      <c r="C242" s="34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25"/>
      <c r="U242" s="220">
        <f t="shared" si="19"/>
        <v>0</v>
      </c>
    </row>
    <row r="243" spans="1:21" ht="16.5" hidden="1">
      <c r="A243" s="94">
        <v>16</v>
      </c>
      <c r="B243" s="36"/>
      <c r="C243" s="34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25"/>
      <c r="U243" s="220">
        <f t="shared" si="19"/>
        <v>0</v>
      </c>
    </row>
    <row r="244" spans="1:21" ht="16.5" hidden="1">
      <c r="A244" s="94">
        <v>17</v>
      </c>
      <c r="B244" s="36"/>
      <c r="C244" s="34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25"/>
      <c r="U244" s="220">
        <f t="shared" si="19"/>
        <v>0</v>
      </c>
    </row>
    <row r="245" spans="1:21" ht="16.5" hidden="1">
      <c r="A245" s="94">
        <v>18</v>
      </c>
      <c r="B245" s="36"/>
      <c r="C245" s="34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25"/>
      <c r="U245" s="220">
        <f t="shared" si="19"/>
        <v>0</v>
      </c>
    </row>
    <row r="246" spans="1:21" ht="16.5" hidden="1">
      <c r="A246" s="94">
        <v>19</v>
      </c>
      <c r="B246" s="36"/>
      <c r="C246" s="34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25"/>
      <c r="U246" s="220">
        <f t="shared" si="19"/>
        <v>0</v>
      </c>
    </row>
    <row r="247" spans="1:21" ht="16.5" hidden="1">
      <c r="A247" s="94">
        <v>20</v>
      </c>
      <c r="B247" s="52"/>
      <c r="C247" s="39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25"/>
      <c r="U247" s="220">
        <f t="shared" si="19"/>
        <v>0</v>
      </c>
    </row>
    <row r="248" spans="1:21" ht="16.5" hidden="1">
      <c r="A248" s="94">
        <v>21</v>
      </c>
      <c r="B248" s="36"/>
      <c r="C248" s="34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25"/>
      <c r="U248" s="220">
        <f t="shared" si="19"/>
        <v>0</v>
      </c>
    </row>
    <row r="249" spans="1:21" ht="16.5" hidden="1">
      <c r="A249" s="94">
        <v>22</v>
      </c>
      <c r="B249" s="36"/>
      <c r="C249" s="34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25"/>
      <c r="U249" s="220">
        <f t="shared" si="19"/>
        <v>0</v>
      </c>
    </row>
    <row r="250" spans="1:21" ht="16.5" hidden="1">
      <c r="A250" s="94">
        <v>23</v>
      </c>
      <c r="B250" s="52"/>
      <c r="C250" s="39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25"/>
      <c r="U250" s="220">
        <f t="shared" si="19"/>
        <v>0</v>
      </c>
    </row>
    <row r="251" spans="1:21" ht="16.5" hidden="1">
      <c r="A251" s="94">
        <v>24</v>
      </c>
      <c r="B251" s="52"/>
      <c r="C251" s="34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25"/>
      <c r="U251" s="220">
        <f t="shared" si="19"/>
        <v>0</v>
      </c>
    </row>
    <row r="252" spans="1:21" ht="16.5" hidden="1">
      <c r="A252" s="94">
        <v>25</v>
      </c>
      <c r="B252" s="38"/>
      <c r="C252" s="40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25"/>
      <c r="U252" s="220">
        <f t="shared" si="19"/>
        <v>0</v>
      </c>
    </row>
    <row r="253" spans="1:21" ht="16.5" hidden="1">
      <c r="A253" s="94">
        <v>26</v>
      </c>
      <c r="B253" s="38"/>
      <c r="C253" s="40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25"/>
      <c r="U253" s="220">
        <f t="shared" si="19"/>
        <v>0</v>
      </c>
    </row>
    <row r="254" spans="1:21" ht="16.5" hidden="1">
      <c r="A254" s="94">
        <v>27</v>
      </c>
      <c r="B254" s="38"/>
      <c r="C254" s="40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25"/>
      <c r="U254" s="220">
        <f t="shared" si="19"/>
        <v>0</v>
      </c>
    </row>
    <row r="255" spans="1:21" ht="16.5" hidden="1">
      <c r="A255" s="94">
        <v>28</v>
      </c>
      <c r="B255" s="38"/>
      <c r="C255" s="40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25"/>
      <c r="U255" s="220">
        <f t="shared" si="19"/>
        <v>0</v>
      </c>
    </row>
    <row r="256" spans="1:21" ht="16.5" hidden="1">
      <c r="A256" s="94">
        <v>29</v>
      </c>
      <c r="B256" s="37"/>
      <c r="C256" s="34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25"/>
      <c r="U256" s="220">
        <f t="shared" si="19"/>
        <v>0</v>
      </c>
    </row>
    <row r="257" spans="1:21" ht="16.5" hidden="1">
      <c r="A257" s="94">
        <v>30</v>
      </c>
      <c r="B257" s="37"/>
      <c r="C257" s="34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25"/>
      <c r="U257" s="220">
        <f t="shared" si="19"/>
        <v>0</v>
      </c>
    </row>
    <row r="258" spans="1:21" ht="16.5" hidden="1">
      <c r="A258" s="94">
        <v>31</v>
      </c>
      <c r="B258" s="37"/>
      <c r="C258" s="48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25"/>
      <c r="U258" s="220">
        <f t="shared" si="19"/>
        <v>0</v>
      </c>
    </row>
    <row r="259" spans="1:21" ht="16.5" hidden="1">
      <c r="A259" s="94">
        <v>32</v>
      </c>
      <c r="B259" s="37"/>
      <c r="C259" s="48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25"/>
      <c r="U259" s="220">
        <f t="shared" si="19"/>
        <v>0</v>
      </c>
    </row>
    <row r="260" spans="1:21" ht="16.5" hidden="1">
      <c r="A260" s="94">
        <v>33</v>
      </c>
      <c r="B260" s="37"/>
      <c r="C260" s="48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25"/>
      <c r="U260" s="220">
        <f t="shared" si="19"/>
        <v>0</v>
      </c>
    </row>
    <row r="261" spans="1:21" ht="16.5" hidden="1">
      <c r="A261" s="94">
        <v>34</v>
      </c>
      <c r="B261" s="37"/>
      <c r="C261" s="48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25"/>
      <c r="U261" s="220">
        <f t="shared" si="19"/>
        <v>0</v>
      </c>
    </row>
    <row r="262" spans="1:21" ht="16.5" hidden="1">
      <c r="A262" s="94">
        <v>35</v>
      </c>
      <c r="B262" s="38"/>
      <c r="C262" s="40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25"/>
      <c r="U262" s="220">
        <f t="shared" si="19"/>
        <v>0</v>
      </c>
    </row>
    <row r="263" spans="1:21" ht="16.5" hidden="1">
      <c r="A263" s="94">
        <v>36</v>
      </c>
      <c r="B263" s="96"/>
      <c r="C263" s="48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25"/>
      <c r="U263" s="220">
        <f t="shared" si="19"/>
        <v>0</v>
      </c>
    </row>
    <row r="264" spans="1:21" ht="16.5" hidden="1">
      <c r="A264" s="94">
        <v>37</v>
      </c>
      <c r="B264" s="37"/>
      <c r="C264" s="48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25"/>
      <c r="U264" s="220">
        <f t="shared" si="19"/>
        <v>0</v>
      </c>
    </row>
    <row r="265" spans="1:21" ht="16.5" hidden="1">
      <c r="A265" s="94">
        <v>38</v>
      </c>
      <c r="B265" s="38"/>
      <c r="C265" s="48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25"/>
      <c r="U265" s="220">
        <f t="shared" si="19"/>
        <v>0</v>
      </c>
    </row>
    <row r="266" spans="1:21" ht="16.5" hidden="1">
      <c r="A266" s="94">
        <v>39</v>
      </c>
      <c r="B266" s="38"/>
      <c r="C266" s="48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25"/>
      <c r="U266" s="220">
        <f t="shared" si="19"/>
        <v>0</v>
      </c>
    </row>
    <row r="267" spans="1:21" ht="16.5" hidden="1">
      <c r="A267" s="94">
        <v>40</v>
      </c>
      <c r="B267" s="96"/>
      <c r="C267" s="48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25"/>
      <c r="U267" s="220">
        <f t="shared" si="19"/>
        <v>0</v>
      </c>
    </row>
    <row r="268" spans="1:21" ht="16.5" hidden="1">
      <c r="A268" s="94">
        <v>41</v>
      </c>
      <c r="B268" s="96"/>
      <c r="C268" s="48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25"/>
      <c r="U268" s="220">
        <f t="shared" si="19"/>
        <v>0</v>
      </c>
    </row>
    <row r="269" spans="1:21" ht="16.5" hidden="1">
      <c r="A269" s="94">
        <v>42</v>
      </c>
      <c r="B269" s="37"/>
      <c r="C269" s="48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25"/>
      <c r="U269" s="220">
        <f t="shared" si="19"/>
        <v>0</v>
      </c>
    </row>
    <row r="270" spans="1:21" ht="16.5" hidden="1">
      <c r="A270" s="94">
        <v>43</v>
      </c>
      <c r="B270" s="37"/>
      <c r="C270" s="48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25"/>
      <c r="U270" s="220">
        <f t="shared" si="19"/>
        <v>0</v>
      </c>
    </row>
    <row r="271" spans="1:21" ht="16.5" hidden="1">
      <c r="A271" s="94">
        <v>44</v>
      </c>
      <c r="B271" s="151"/>
      <c r="C271" s="48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25"/>
      <c r="U271" s="220">
        <f t="shared" si="19"/>
        <v>0</v>
      </c>
    </row>
    <row r="272" spans="1:21" ht="16.5" hidden="1">
      <c r="A272" s="94">
        <v>45</v>
      </c>
      <c r="B272" s="151"/>
      <c r="C272" s="48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25"/>
      <c r="U272" s="220">
        <f t="shared" si="19"/>
        <v>0</v>
      </c>
    </row>
    <row r="273" spans="1:21" ht="16.5" hidden="1">
      <c r="A273" s="94">
        <v>46</v>
      </c>
      <c r="B273" s="151"/>
      <c r="C273" s="48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25"/>
      <c r="U273" s="220">
        <f t="shared" si="19"/>
        <v>0</v>
      </c>
    </row>
    <row r="274" spans="1:21" ht="16.5" hidden="1">
      <c r="A274" s="94">
        <v>47</v>
      </c>
      <c r="B274" s="151"/>
      <c r="C274" s="48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25"/>
      <c r="U274" s="220">
        <f t="shared" si="19"/>
        <v>0</v>
      </c>
    </row>
    <row r="275" spans="1:21" ht="16.5" hidden="1">
      <c r="A275" s="94">
        <v>48</v>
      </c>
      <c r="B275" s="151"/>
      <c r="C275" s="152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25"/>
      <c r="U275" s="220">
        <f t="shared" si="19"/>
        <v>0</v>
      </c>
    </row>
    <row r="276" spans="1:21" ht="16.5" hidden="1">
      <c r="A276" s="94">
        <v>49</v>
      </c>
      <c r="B276" s="151"/>
      <c r="C276" s="48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25"/>
      <c r="U276" s="220">
        <f t="shared" si="19"/>
        <v>0</v>
      </c>
    </row>
    <row r="277" spans="1:21" ht="16.5" hidden="1">
      <c r="A277" s="94">
        <v>50</v>
      </c>
      <c r="B277" s="151"/>
      <c r="C277" s="48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25"/>
      <c r="U277" s="220">
        <f t="shared" si="19"/>
        <v>0</v>
      </c>
    </row>
    <row r="278" spans="1:21" ht="16.5" hidden="1">
      <c r="A278" s="94">
        <v>51</v>
      </c>
      <c r="B278" s="151"/>
      <c r="C278" s="48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25"/>
      <c r="U278" s="220">
        <f t="shared" si="19"/>
        <v>0</v>
      </c>
    </row>
    <row r="279" spans="1:21" ht="16.5" hidden="1">
      <c r="A279" s="94">
        <v>52</v>
      </c>
      <c r="B279" s="151"/>
      <c r="C279" s="48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25"/>
      <c r="U279" s="220">
        <f t="shared" si="19"/>
        <v>0</v>
      </c>
    </row>
    <row r="280" spans="1:21" ht="16.5" hidden="1">
      <c r="A280" s="94">
        <v>53</v>
      </c>
      <c r="B280" s="151"/>
      <c r="C280" s="48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25"/>
      <c r="U280" s="220">
        <f t="shared" si="19"/>
        <v>0</v>
      </c>
    </row>
    <row r="281" spans="1:21" ht="16.5" hidden="1">
      <c r="A281" s="94">
        <v>54</v>
      </c>
      <c r="B281" s="151"/>
      <c r="C281" s="48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25"/>
      <c r="U281" s="220">
        <f t="shared" si="19"/>
        <v>0</v>
      </c>
    </row>
    <row r="282" spans="1:21" ht="16.5" hidden="1">
      <c r="A282" s="94">
        <v>55</v>
      </c>
      <c r="B282" s="151"/>
      <c r="C282" s="152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25"/>
      <c r="U282" s="220">
        <f t="shared" si="19"/>
        <v>0</v>
      </c>
    </row>
    <row r="283" spans="1:21" ht="16.5" hidden="1">
      <c r="A283" s="94">
        <v>56</v>
      </c>
      <c r="B283" s="151"/>
      <c r="C283" s="48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25"/>
      <c r="U283" s="220">
        <f t="shared" si="19"/>
        <v>0</v>
      </c>
    </row>
    <row r="284" spans="1:21" ht="16.5" hidden="1">
      <c r="A284" s="157">
        <v>57</v>
      </c>
      <c r="B284" s="121"/>
      <c r="C284" s="158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1"/>
      <c r="U284" s="232">
        <f t="shared" si="19"/>
        <v>0</v>
      </c>
    </row>
    <row r="285" spans="1:21" ht="16.5" hidden="1">
      <c r="A285" s="94">
        <v>58</v>
      </c>
      <c r="B285" s="156"/>
      <c r="C285" s="152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25"/>
      <c r="U285" s="220">
        <f t="shared" si="19"/>
        <v>0</v>
      </c>
    </row>
    <row r="286" spans="1:21" ht="16.5" hidden="1">
      <c r="A286" s="94">
        <v>59</v>
      </c>
      <c r="B286" s="151"/>
      <c r="C286" s="152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25"/>
      <c r="U286" s="220">
        <f t="shared" si="19"/>
        <v>0</v>
      </c>
    </row>
    <row r="287" spans="1:21" ht="16.5" hidden="1">
      <c r="A287" s="94">
        <v>60</v>
      </c>
      <c r="B287" s="151"/>
      <c r="C287" s="152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25"/>
      <c r="U287" s="220">
        <f t="shared" si="19"/>
        <v>0</v>
      </c>
    </row>
    <row r="288" spans="1:21" ht="16.5" hidden="1">
      <c r="A288" s="94">
        <v>61</v>
      </c>
      <c r="B288" s="151"/>
      <c r="C288" s="48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25"/>
      <c r="U288" s="220">
        <f t="shared" si="19"/>
        <v>0</v>
      </c>
    </row>
    <row r="289" spans="1:21" ht="16.5" hidden="1">
      <c r="A289" s="94">
        <v>62</v>
      </c>
      <c r="B289" s="151"/>
      <c r="C289" s="48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25"/>
      <c r="U289" s="220">
        <f t="shared" si="19"/>
        <v>0</v>
      </c>
    </row>
    <row r="290" spans="1:21" ht="16.5" hidden="1">
      <c r="A290" s="94">
        <v>63</v>
      </c>
      <c r="B290" s="151"/>
      <c r="C290" s="48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25"/>
      <c r="U290" s="220">
        <f t="shared" si="19"/>
        <v>0</v>
      </c>
    </row>
    <row r="291" spans="1:21" ht="16.5" hidden="1">
      <c r="A291" s="94">
        <v>64</v>
      </c>
      <c r="B291" s="151"/>
      <c r="C291" s="48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25"/>
      <c r="U291" s="220">
        <f t="shared" si="19"/>
        <v>0</v>
      </c>
    </row>
    <row r="292" spans="1:21" ht="16.5" hidden="1">
      <c r="A292" s="94">
        <v>65</v>
      </c>
      <c r="B292" s="151"/>
      <c r="C292" s="48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25"/>
      <c r="U292" s="220">
        <f t="shared" si="19"/>
        <v>0</v>
      </c>
    </row>
    <row r="293" spans="1:21" ht="16.5" hidden="1">
      <c r="A293" s="94">
        <v>66</v>
      </c>
      <c r="B293" s="151"/>
      <c r="C293" s="48"/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25"/>
      <c r="U293" s="220">
        <f t="shared" si="19"/>
        <v>0</v>
      </c>
    </row>
    <row r="294" spans="1:21" ht="16.5" hidden="1">
      <c r="A294" s="94">
        <v>67</v>
      </c>
      <c r="B294" s="151"/>
      <c r="C294" s="48"/>
      <c r="D294" s="211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25"/>
      <c r="U294" s="220">
        <f t="shared" si="19"/>
        <v>0</v>
      </c>
    </row>
    <row r="295" spans="1:21" ht="16.5" hidden="1">
      <c r="A295" s="94">
        <v>68</v>
      </c>
      <c r="B295" s="151"/>
      <c r="C295" s="48"/>
      <c r="D295" s="211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25"/>
      <c r="U295" s="220">
        <f aca="true" t="shared" si="20" ref="U295:U324">SUM(D295:T295)</f>
        <v>0</v>
      </c>
    </row>
    <row r="296" spans="1:21" ht="16.5" hidden="1">
      <c r="A296" s="94">
        <v>69</v>
      </c>
      <c r="B296" s="151"/>
      <c r="C296" s="48"/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25"/>
      <c r="U296" s="220">
        <f t="shared" si="20"/>
        <v>0</v>
      </c>
    </row>
    <row r="297" spans="1:21" ht="16.5" hidden="1">
      <c r="A297" s="94">
        <v>70</v>
      </c>
      <c r="B297" s="151"/>
      <c r="C297" s="48"/>
      <c r="D297" s="211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25"/>
      <c r="U297" s="220">
        <f t="shared" si="20"/>
        <v>0</v>
      </c>
    </row>
    <row r="298" spans="1:21" ht="16.5" hidden="1">
      <c r="A298" s="94">
        <v>71</v>
      </c>
      <c r="B298" s="151"/>
      <c r="C298" s="48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25"/>
      <c r="U298" s="220">
        <f t="shared" si="20"/>
        <v>0</v>
      </c>
    </row>
    <row r="299" spans="1:21" ht="16.5" hidden="1">
      <c r="A299" s="94">
        <v>72</v>
      </c>
      <c r="B299" s="151"/>
      <c r="C299" s="48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25"/>
      <c r="U299" s="220">
        <f t="shared" si="20"/>
        <v>0</v>
      </c>
    </row>
    <row r="300" spans="1:21" ht="16.5" hidden="1">
      <c r="A300" s="94">
        <v>73</v>
      </c>
      <c r="B300" s="151"/>
      <c r="C300" s="48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25"/>
      <c r="U300" s="220">
        <f t="shared" si="20"/>
        <v>0</v>
      </c>
    </row>
    <row r="301" spans="1:21" ht="16.5" hidden="1">
      <c r="A301" s="94">
        <v>74</v>
      </c>
      <c r="B301" s="151"/>
      <c r="C301" s="48"/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25"/>
      <c r="U301" s="220">
        <f t="shared" si="20"/>
        <v>0</v>
      </c>
    </row>
    <row r="302" spans="1:21" ht="16.5" hidden="1">
      <c r="A302" s="94">
        <v>75</v>
      </c>
      <c r="B302" s="151"/>
      <c r="C302" s="48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25"/>
      <c r="U302" s="220">
        <f t="shared" si="20"/>
        <v>0</v>
      </c>
    </row>
    <row r="303" spans="1:21" ht="16.5" hidden="1">
      <c r="A303" s="94">
        <v>76</v>
      </c>
      <c r="B303" s="151"/>
      <c r="C303" s="48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25"/>
      <c r="U303" s="220">
        <f t="shared" si="20"/>
        <v>0</v>
      </c>
    </row>
    <row r="304" spans="1:21" ht="16.5" hidden="1">
      <c r="A304" s="94">
        <v>77</v>
      </c>
      <c r="B304" s="151"/>
      <c r="C304" s="48"/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25"/>
      <c r="U304" s="220">
        <f t="shared" si="20"/>
        <v>0</v>
      </c>
    </row>
    <row r="305" spans="1:21" ht="16.5" hidden="1">
      <c r="A305" s="94">
        <v>78</v>
      </c>
      <c r="B305" s="151"/>
      <c r="C305" s="48"/>
      <c r="D305" s="211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25"/>
      <c r="U305" s="220">
        <f t="shared" si="20"/>
        <v>0</v>
      </c>
    </row>
    <row r="306" spans="1:21" ht="16.5" hidden="1">
      <c r="A306" s="94">
        <v>79</v>
      </c>
      <c r="B306" s="151"/>
      <c r="C306" s="48"/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25"/>
      <c r="U306" s="220">
        <f t="shared" si="20"/>
        <v>0</v>
      </c>
    </row>
    <row r="307" spans="1:21" ht="16.5" hidden="1">
      <c r="A307" s="94">
        <v>80</v>
      </c>
      <c r="B307" s="151"/>
      <c r="C307" s="48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25"/>
      <c r="U307" s="220">
        <f t="shared" si="20"/>
        <v>0</v>
      </c>
    </row>
    <row r="308" spans="1:21" ht="16.5" hidden="1">
      <c r="A308" s="94">
        <v>81</v>
      </c>
      <c r="B308" s="151"/>
      <c r="C308" s="48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25"/>
      <c r="U308" s="220">
        <f t="shared" si="20"/>
        <v>0</v>
      </c>
    </row>
    <row r="309" spans="1:21" ht="16.5" hidden="1">
      <c r="A309" s="94">
        <v>82</v>
      </c>
      <c r="B309" s="151"/>
      <c r="C309" s="48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25"/>
      <c r="U309" s="220">
        <f t="shared" si="20"/>
        <v>0</v>
      </c>
    </row>
    <row r="310" spans="1:21" ht="16.5" hidden="1">
      <c r="A310" s="94">
        <v>83</v>
      </c>
      <c r="B310" s="151"/>
      <c r="C310" s="48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25"/>
      <c r="U310" s="220">
        <f t="shared" si="20"/>
        <v>0</v>
      </c>
    </row>
    <row r="311" spans="1:21" ht="16.5" hidden="1">
      <c r="A311" s="94">
        <v>84</v>
      </c>
      <c r="B311" s="151"/>
      <c r="C311" s="48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25"/>
      <c r="U311" s="220">
        <f t="shared" si="20"/>
        <v>0</v>
      </c>
    </row>
    <row r="312" spans="1:21" ht="16.5" hidden="1">
      <c r="A312" s="94">
        <v>85</v>
      </c>
      <c r="B312" s="151"/>
      <c r="C312" s="48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25"/>
      <c r="U312" s="220">
        <f t="shared" si="20"/>
        <v>0</v>
      </c>
    </row>
    <row r="313" spans="1:21" ht="16.5" hidden="1">
      <c r="A313" s="94">
        <v>86</v>
      </c>
      <c r="B313" s="151"/>
      <c r="C313" s="48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25"/>
      <c r="U313" s="220">
        <f t="shared" si="20"/>
        <v>0</v>
      </c>
    </row>
    <row r="314" spans="1:21" ht="16.5" hidden="1">
      <c r="A314" s="94">
        <v>87</v>
      </c>
      <c r="B314" s="151"/>
      <c r="C314" s="48"/>
      <c r="D314" s="211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25"/>
      <c r="U314" s="220">
        <f t="shared" si="20"/>
        <v>0</v>
      </c>
    </row>
    <row r="315" spans="1:21" ht="16.5" hidden="1">
      <c r="A315" s="94">
        <v>88</v>
      </c>
      <c r="B315" s="151"/>
      <c r="C315" s="48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25"/>
      <c r="U315" s="220">
        <f t="shared" si="20"/>
        <v>0</v>
      </c>
    </row>
    <row r="316" spans="1:21" ht="16.5" hidden="1">
      <c r="A316" s="94">
        <v>89</v>
      </c>
      <c r="B316" s="151"/>
      <c r="C316" s="48"/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25"/>
      <c r="U316" s="220">
        <f t="shared" si="20"/>
        <v>0</v>
      </c>
    </row>
    <row r="317" spans="1:21" ht="16.5" hidden="1">
      <c r="A317" s="94">
        <v>90</v>
      </c>
      <c r="B317" s="151"/>
      <c r="C317" s="48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25"/>
      <c r="U317" s="220">
        <f t="shared" si="20"/>
        <v>0</v>
      </c>
    </row>
    <row r="318" spans="1:21" ht="16.5" hidden="1">
      <c r="A318" s="94">
        <v>91</v>
      </c>
      <c r="B318" s="151"/>
      <c r="C318" s="48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25"/>
      <c r="U318" s="220">
        <f t="shared" si="20"/>
        <v>0</v>
      </c>
    </row>
    <row r="319" spans="1:21" ht="16.5" hidden="1">
      <c r="A319" s="94">
        <v>92</v>
      </c>
      <c r="B319" s="151"/>
      <c r="C319" s="48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25"/>
      <c r="U319" s="220">
        <f t="shared" si="20"/>
        <v>0</v>
      </c>
    </row>
    <row r="320" spans="1:21" ht="16.5" hidden="1">
      <c r="A320" s="94">
        <v>93</v>
      </c>
      <c r="B320" s="151"/>
      <c r="C320" s="48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25"/>
      <c r="U320" s="220">
        <f t="shared" si="20"/>
        <v>0</v>
      </c>
    </row>
    <row r="321" spans="1:21" ht="16.5" hidden="1">
      <c r="A321" s="94">
        <v>94</v>
      </c>
      <c r="B321" s="151"/>
      <c r="C321" s="48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25"/>
      <c r="U321" s="220">
        <f t="shared" si="20"/>
        <v>0</v>
      </c>
    </row>
    <row r="322" spans="1:21" ht="16.5" hidden="1">
      <c r="A322" s="94">
        <v>95</v>
      </c>
      <c r="B322" s="151"/>
      <c r="C322" s="48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25"/>
      <c r="U322" s="220">
        <f t="shared" si="20"/>
        <v>0</v>
      </c>
    </row>
    <row r="323" spans="1:21" ht="16.5" hidden="1">
      <c r="A323" s="94">
        <v>96</v>
      </c>
      <c r="B323" s="151"/>
      <c r="C323" s="48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25"/>
      <c r="U323" s="220">
        <f t="shared" si="20"/>
        <v>0</v>
      </c>
    </row>
    <row r="324" spans="1:21" ht="16.5" hidden="1">
      <c r="A324" s="94">
        <v>97</v>
      </c>
      <c r="B324" s="151"/>
      <c r="C324" s="48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25"/>
      <c r="U324" s="220">
        <f t="shared" si="20"/>
        <v>0</v>
      </c>
    </row>
    <row r="325" spans="1:21" ht="17.25" hidden="1" thickBot="1">
      <c r="A325" s="94"/>
      <c r="B325" s="101"/>
      <c r="C325" s="48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25"/>
      <c r="U325" s="220"/>
    </row>
    <row r="326" spans="1:21" ht="18.75" hidden="1" thickBot="1" thickTop="1">
      <c r="A326" s="49"/>
      <c r="B326" s="49" t="s">
        <v>68</v>
      </c>
      <c r="C326" s="51" t="s">
        <v>65</v>
      </c>
      <c r="D326" s="226">
        <f aca="true" t="shared" si="21" ref="D326:U326">SUM(D228:D325)</f>
        <v>0</v>
      </c>
      <c r="E326" s="226">
        <f t="shared" si="21"/>
        <v>0</v>
      </c>
      <c r="F326" s="226">
        <f t="shared" si="21"/>
        <v>0</v>
      </c>
      <c r="G326" s="226">
        <f t="shared" si="21"/>
        <v>0</v>
      </c>
      <c r="H326" s="226">
        <f t="shared" si="21"/>
        <v>0</v>
      </c>
      <c r="I326" s="226">
        <f t="shared" si="21"/>
        <v>0</v>
      </c>
      <c r="J326" s="226">
        <f t="shared" si="21"/>
        <v>0</v>
      </c>
      <c r="K326" s="226">
        <f t="shared" si="21"/>
        <v>0</v>
      </c>
      <c r="L326" s="226">
        <f t="shared" si="21"/>
        <v>0</v>
      </c>
      <c r="M326" s="226">
        <f t="shared" si="21"/>
        <v>0</v>
      </c>
      <c r="N326" s="226">
        <f t="shared" si="21"/>
        <v>0</v>
      </c>
      <c r="O326" s="226">
        <f t="shared" si="21"/>
        <v>0</v>
      </c>
      <c r="P326" s="226">
        <f t="shared" si="21"/>
        <v>0</v>
      </c>
      <c r="Q326" s="226">
        <f t="shared" si="21"/>
        <v>0</v>
      </c>
      <c r="R326" s="226">
        <f t="shared" si="21"/>
        <v>0</v>
      </c>
      <c r="S326" s="226">
        <f t="shared" si="21"/>
        <v>0</v>
      </c>
      <c r="T326" s="233">
        <f t="shared" si="21"/>
        <v>0</v>
      </c>
      <c r="U326" s="228">
        <f t="shared" si="21"/>
        <v>0</v>
      </c>
    </row>
    <row r="327" spans="1:21" ht="18.75" hidden="1" thickBot="1" thickTop="1">
      <c r="A327" s="49"/>
      <c r="B327" s="102"/>
      <c r="C327" s="51" t="s">
        <v>66</v>
      </c>
      <c r="D327" s="226">
        <f>D226+D326</f>
        <v>5199556</v>
      </c>
      <c r="E327" s="226">
        <f aca="true" t="shared" si="22" ref="E327:J327">E226+E326</f>
        <v>1343808</v>
      </c>
      <c r="F327" s="226">
        <f t="shared" si="22"/>
        <v>4682997</v>
      </c>
      <c r="G327" s="226">
        <f t="shared" si="22"/>
        <v>259628</v>
      </c>
      <c r="H327" s="226">
        <f t="shared" si="22"/>
        <v>411555</v>
      </c>
      <c r="I327" s="226">
        <f t="shared" si="22"/>
        <v>38811</v>
      </c>
      <c r="J327" s="226">
        <f t="shared" si="22"/>
        <v>36491</v>
      </c>
      <c r="K327" s="226">
        <f aca="true" t="shared" si="23" ref="K327:T327">K226+K326</f>
        <v>128538</v>
      </c>
      <c r="L327" s="226">
        <f t="shared" si="23"/>
        <v>2190489</v>
      </c>
      <c r="M327" s="226">
        <f t="shared" si="23"/>
        <v>322409</v>
      </c>
      <c r="N327" s="226">
        <f t="shared" si="23"/>
        <v>64959</v>
      </c>
      <c r="O327" s="226">
        <f t="shared" si="23"/>
        <v>1420123</v>
      </c>
      <c r="P327" s="226">
        <f t="shared" si="23"/>
        <v>25200</v>
      </c>
      <c r="Q327" s="226">
        <f t="shared" si="23"/>
        <v>10000</v>
      </c>
      <c r="R327" s="226">
        <f t="shared" si="23"/>
        <v>144828</v>
      </c>
      <c r="S327" s="226">
        <f t="shared" si="23"/>
        <v>1743554.9999999998</v>
      </c>
      <c r="T327" s="226">
        <f t="shared" si="23"/>
        <v>1547750</v>
      </c>
      <c r="U327" s="226">
        <f>U227+U326</f>
        <v>19570697</v>
      </c>
    </row>
    <row r="328" spans="1:21" ht="17.25" hidden="1" thickTop="1">
      <c r="A328" s="32"/>
      <c r="B328" s="84" t="s">
        <v>69</v>
      </c>
      <c r="C328" s="46" t="s">
        <v>70</v>
      </c>
      <c r="D328" s="234"/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235"/>
      <c r="U328" s="220">
        <f aca="true" t="shared" si="24" ref="U328:U334">SUM(D328:T328)</f>
        <v>0</v>
      </c>
    </row>
    <row r="329" spans="1:21" ht="16.5" hidden="1">
      <c r="A329" s="32"/>
      <c r="B329" s="103" t="s">
        <v>71</v>
      </c>
      <c r="C329" s="46" t="s">
        <v>70</v>
      </c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235"/>
      <c r="U329" s="220">
        <f t="shared" si="24"/>
        <v>0</v>
      </c>
    </row>
    <row r="330" spans="1:21" ht="16.5" hidden="1">
      <c r="A330" s="32"/>
      <c r="B330" s="103" t="s">
        <v>129</v>
      </c>
      <c r="C330" s="46" t="s">
        <v>70</v>
      </c>
      <c r="D330" s="234"/>
      <c r="E330" s="234"/>
      <c r="F330" s="234"/>
      <c r="G330" s="234"/>
      <c r="H330" s="234"/>
      <c r="I330" s="234"/>
      <c r="J330" s="234"/>
      <c r="K330" s="234"/>
      <c r="L330" s="234"/>
      <c r="M330" s="234"/>
      <c r="N330" s="234"/>
      <c r="O330" s="234"/>
      <c r="P330" s="234"/>
      <c r="Q330" s="234"/>
      <c r="R330" s="234"/>
      <c r="S330" s="234"/>
      <c r="T330" s="235"/>
      <c r="U330" s="220">
        <f t="shared" si="24"/>
        <v>0</v>
      </c>
    </row>
    <row r="331" spans="1:21" ht="16.5" hidden="1">
      <c r="A331" s="32"/>
      <c r="B331" s="84" t="s">
        <v>75</v>
      </c>
      <c r="C331" s="46" t="s">
        <v>70</v>
      </c>
      <c r="D331" s="234"/>
      <c r="E331" s="234"/>
      <c r="F331" s="234"/>
      <c r="G331" s="234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235"/>
      <c r="U331" s="220">
        <f t="shared" si="24"/>
        <v>0</v>
      </c>
    </row>
    <row r="332" spans="1:21" ht="16.5" hidden="1">
      <c r="A332" s="32"/>
      <c r="B332" s="84" t="s">
        <v>77</v>
      </c>
      <c r="C332" s="46" t="s">
        <v>70</v>
      </c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5"/>
      <c r="U332" s="220">
        <f t="shared" si="24"/>
        <v>0</v>
      </c>
    </row>
    <row r="333" spans="1:21" ht="16.5" hidden="1">
      <c r="A333" s="32"/>
      <c r="B333" s="84" t="s">
        <v>79</v>
      </c>
      <c r="C333" s="39" t="s">
        <v>70</v>
      </c>
      <c r="D333" s="234"/>
      <c r="E333" s="234"/>
      <c r="F333" s="234"/>
      <c r="G333" s="234"/>
      <c r="H333" s="234"/>
      <c r="I333" s="234"/>
      <c r="J333" s="234"/>
      <c r="K333" s="234"/>
      <c r="L333" s="234"/>
      <c r="M333" s="234"/>
      <c r="N333" s="234"/>
      <c r="O333" s="234"/>
      <c r="P333" s="234"/>
      <c r="Q333" s="234"/>
      <c r="R333" s="234"/>
      <c r="S333" s="234"/>
      <c r="T333" s="235"/>
      <c r="U333" s="220">
        <f t="shared" si="24"/>
        <v>0</v>
      </c>
    </row>
    <row r="334" spans="1:21" ht="17.25" hidden="1" thickBot="1">
      <c r="A334" s="94"/>
      <c r="B334" s="96"/>
      <c r="C334" s="48"/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25"/>
      <c r="U334" s="220">
        <f t="shared" si="24"/>
        <v>0</v>
      </c>
    </row>
    <row r="335" spans="1:22" ht="18.75" hidden="1" thickBot="1" thickTop="1">
      <c r="A335" s="54"/>
      <c r="B335" s="102"/>
      <c r="C335" s="51" t="s">
        <v>80</v>
      </c>
      <c r="D335" s="226">
        <f aca="true" t="shared" si="25" ref="D335:U335">SUM(D328:D334)</f>
        <v>0</v>
      </c>
      <c r="E335" s="226">
        <f t="shared" si="25"/>
        <v>0</v>
      </c>
      <c r="F335" s="226">
        <f t="shared" si="25"/>
        <v>0</v>
      </c>
      <c r="G335" s="226">
        <f t="shared" si="25"/>
        <v>0</v>
      </c>
      <c r="H335" s="226">
        <f t="shared" si="25"/>
        <v>0</v>
      </c>
      <c r="I335" s="226">
        <f t="shared" si="25"/>
        <v>0</v>
      </c>
      <c r="J335" s="226">
        <f t="shared" si="25"/>
        <v>0</v>
      </c>
      <c r="K335" s="226">
        <f t="shared" si="25"/>
        <v>0</v>
      </c>
      <c r="L335" s="226">
        <f t="shared" si="25"/>
        <v>0</v>
      </c>
      <c r="M335" s="226">
        <f t="shared" si="25"/>
        <v>0</v>
      </c>
      <c r="N335" s="226">
        <f t="shared" si="25"/>
        <v>0</v>
      </c>
      <c r="O335" s="226">
        <f t="shared" si="25"/>
        <v>0</v>
      </c>
      <c r="P335" s="226">
        <f t="shared" si="25"/>
        <v>0</v>
      </c>
      <c r="Q335" s="226">
        <f t="shared" si="25"/>
        <v>0</v>
      </c>
      <c r="R335" s="226">
        <f t="shared" si="25"/>
        <v>0</v>
      </c>
      <c r="S335" s="226">
        <f t="shared" si="25"/>
        <v>0</v>
      </c>
      <c r="T335" s="226">
        <f t="shared" si="25"/>
        <v>0</v>
      </c>
      <c r="U335" s="226">
        <f t="shared" si="25"/>
        <v>0</v>
      </c>
      <c r="V335" s="97">
        <f>SUM(D335:T335)-U335</f>
        <v>0</v>
      </c>
    </row>
    <row r="336" spans="1:22" ht="24.75" customHeight="1" hidden="1" thickBot="1" thickTop="1">
      <c r="A336" s="104" t="s">
        <v>149</v>
      </c>
      <c r="B336" s="50"/>
      <c r="C336" s="51" t="s">
        <v>66</v>
      </c>
      <c r="D336" s="236">
        <f aca="true" t="shared" si="26" ref="D336:U336">D327+D335</f>
        <v>5199556</v>
      </c>
      <c r="E336" s="236">
        <f t="shared" si="26"/>
        <v>1343808</v>
      </c>
      <c r="F336" s="236">
        <f t="shared" si="26"/>
        <v>4682997</v>
      </c>
      <c r="G336" s="236">
        <f t="shared" si="26"/>
        <v>259628</v>
      </c>
      <c r="H336" s="236">
        <f t="shared" si="26"/>
        <v>411555</v>
      </c>
      <c r="I336" s="236">
        <f t="shared" si="26"/>
        <v>38811</v>
      </c>
      <c r="J336" s="236">
        <f t="shared" si="26"/>
        <v>36491</v>
      </c>
      <c r="K336" s="236">
        <f t="shared" si="26"/>
        <v>128538</v>
      </c>
      <c r="L336" s="236">
        <f t="shared" si="26"/>
        <v>2190489</v>
      </c>
      <c r="M336" s="236">
        <f t="shared" si="26"/>
        <v>322409</v>
      </c>
      <c r="N336" s="236">
        <f t="shared" si="26"/>
        <v>64959</v>
      </c>
      <c r="O336" s="226">
        <f t="shared" si="26"/>
        <v>1420123</v>
      </c>
      <c r="P336" s="236">
        <f t="shared" si="26"/>
        <v>25200</v>
      </c>
      <c r="Q336" s="236">
        <f t="shared" si="26"/>
        <v>10000</v>
      </c>
      <c r="R336" s="236">
        <f t="shared" si="26"/>
        <v>144828</v>
      </c>
      <c r="S336" s="236">
        <f t="shared" si="26"/>
        <v>1743554.9999999998</v>
      </c>
      <c r="T336" s="236">
        <f t="shared" si="26"/>
        <v>1547750</v>
      </c>
      <c r="U336" s="236">
        <f t="shared" si="26"/>
        <v>19570697</v>
      </c>
      <c r="V336" s="153">
        <f>SajátHK_bevételek!W136-U336</f>
        <v>0</v>
      </c>
    </row>
    <row r="337" spans="1:21" ht="18" customHeight="1" hidden="1" thickTop="1">
      <c r="A337" s="32"/>
      <c r="B337" s="84"/>
      <c r="C337" s="46"/>
      <c r="D337" s="234"/>
      <c r="E337" s="234"/>
      <c r="F337" s="234"/>
      <c r="G337" s="234"/>
      <c r="H337" s="234"/>
      <c r="I337" s="234"/>
      <c r="J337" s="234"/>
      <c r="K337" s="234"/>
      <c r="L337" s="234"/>
      <c r="M337" s="234"/>
      <c r="N337" s="234"/>
      <c r="O337" s="234"/>
      <c r="P337" s="234"/>
      <c r="Q337" s="234"/>
      <c r="R337" s="234"/>
      <c r="S337" s="234"/>
      <c r="T337" s="235"/>
      <c r="U337" s="220">
        <f aca="true" t="shared" si="27" ref="U337:U355">SUM(D337:T337)</f>
        <v>0</v>
      </c>
    </row>
    <row r="338" spans="1:21" ht="16.5" customHeight="1" hidden="1">
      <c r="A338" s="32"/>
      <c r="B338" s="103"/>
      <c r="C338" s="46"/>
      <c r="D338" s="234"/>
      <c r="E338" s="234"/>
      <c r="F338" s="234"/>
      <c r="G338" s="234"/>
      <c r="H338" s="234"/>
      <c r="I338" s="234"/>
      <c r="J338" s="234"/>
      <c r="K338" s="234"/>
      <c r="L338" s="234"/>
      <c r="M338" s="234"/>
      <c r="N338" s="234"/>
      <c r="O338" s="234"/>
      <c r="P338" s="234"/>
      <c r="Q338" s="234"/>
      <c r="R338" s="234"/>
      <c r="S338" s="234"/>
      <c r="T338" s="235"/>
      <c r="U338" s="220">
        <f t="shared" si="27"/>
        <v>0</v>
      </c>
    </row>
    <row r="339" spans="1:21" ht="16.5" customHeight="1" hidden="1">
      <c r="A339" s="32"/>
      <c r="B339" s="84"/>
      <c r="C339" s="46"/>
      <c r="D339" s="234"/>
      <c r="E339" s="234"/>
      <c r="F339" s="234"/>
      <c r="G339" s="234"/>
      <c r="H339" s="234"/>
      <c r="I339" s="234"/>
      <c r="J339" s="234"/>
      <c r="K339" s="234"/>
      <c r="L339" s="234"/>
      <c r="M339" s="234"/>
      <c r="N339" s="234"/>
      <c r="O339" s="234"/>
      <c r="P339" s="234"/>
      <c r="Q339" s="234"/>
      <c r="R339" s="234"/>
      <c r="S339" s="234"/>
      <c r="T339" s="235"/>
      <c r="U339" s="220">
        <f t="shared" si="27"/>
        <v>0</v>
      </c>
    </row>
    <row r="340" spans="1:21" ht="16.5" hidden="1">
      <c r="A340" s="32"/>
      <c r="B340" s="103"/>
      <c r="C340" s="46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  <c r="N340" s="234"/>
      <c r="O340" s="234"/>
      <c r="P340" s="234"/>
      <c r="Q340" s="234"/>
      <c r="R340" s="234"/>
      <c r="S340" s="234"/>
      <c r="T340" s="235"/>
      <c r="U340" s="220">
        <f t="shared" si="27"/>
        <v>0</v>
      </c>
    </row>
    <row r="341" spans="1:21" ht="16.5" hidden="1">
      <c r="A341" s="32"/>
      <c r="B341" s="103"/>
      <c r="C341" s="46"/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  <c r="N341" s="234"/>
      <c r="O341" s="234"/>
      <c r="P341" s="234"/>
      <c r="Q341" s="234"/>
      <c r="R341" s="234"/>
      <c r="S341" s="234"/>
      <c r="T341" s="235"/>
      <c r="U341" s="220">
        <f t="shared" si="27"/>
        <v>0</v>
      </c>
    </row>
    <row r="342" spans="1:21" ht="16.5" hidden="1">
      <c r="A342" s="32"/>
      <c r="B342" s="84"/>
      <c r="C342" s="46"/>
      <c r="D342" s="234"/>
      <c r="E342" s="234"/>
      <c r="F342" s="234"/>
      <c r="G342" s="234"/>
      <c r="H342" s="234"/>
      <c r="I342" s="234"/>
      <c r="J342" s="234"/>
      <c r="K342" s="234"/>
      <c r="L342" s="234"/>
      <c r="M342" s="234"/>
      <c r="N342" s="234"/>
      <c r="O342" s="234"/>
      <c r="P342" s="234"/>
      <c r="Q342" s="234"/>
      <c r="R342" s="234"/>
      <c r="S342" s="234"/>
      <c r="T342" s="235"/>
      <c r="U342" s="220">
        <f t="shared" si="27"/>
        <v>0</v>
      </c>
    </row>
    <row r="343" spans="1:21" ht="16.5" customHeight="1" hidden="1">
      <c r="A343" s="32"/>
      <c r="B343" s="84"/>
      <c r="C343" s="39"/>
      <c r="D343" s="234"/>
      <c r="E343" s="234"/>
      <c r="F343" s="234"/>
      <c r="G343" s="234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  <c r="S343" s="234"/>
      <c r="T343" s="235"/>
      <c r="U343" s="220">
        <f t="shared" si="27"/>
        <v>0</v>
      </c>
    </row>
    <row r="344" spans="1:21" ht="16.5" hidden="1">
      <c r="A344" s="32"/>
      <c r="B344" s="84"/>
      <c r="C344" s="46"/>
      <c r="D344" s="234"/>
      <c r="E344" s="234"/>
      <c r="F344" s="234"/>
      <c r="G344" s="234"/>
      <c r="H344" s="234"/>
      <c r="I344" s="234"/>
      <c r="J344" s="234"/>
      <c r="K344" s="234"/>
      <c r="L344" s="234"/>
      <c r="M344" s="234"/>
      <c r="N344" s="234"/>
      <c r="O344" s="234"/>
      <c r="P344" s="234"/>
      <c r="Q344" s="234"/>
      <c r="R344" s="234"/>
      <c r="S344" s="234"/>
      <c r="T344" s="235"/>
      <c r="U344" s="220">
        <f t="shared" si="27"/>
        <v>0</v>
      </c>
    </row>
    <row r="345" spans="1:21" ht="16.5" customHeight="1" hidden="1">
      <c r="A345" s="32"/>
      <c r="B345" s="84"/>
      <c r="C345" s="46"/>
      <c r="D345" s="234"/>
      <c r="E345" s="234"/>
      <c r="F345" s="234"/>
      <c r="G345" s="234"/>
      <c r="H345" s="234"/>
      <c r="I345" s="234"/>
      <c r="J345" s="234"/>
      <c r="K345" s="234"/>
      <c r="L345" s="234"/>
      <c r="M345" s="234"/>
      <c r="N345" s="234"/>
      <c r="O345" s="234"/>
      <c r="P345" s="234"/>
      <c r="Q345" s="234"/>
      <c r="R345" s="234"/>
      <c r="S345" s="234"/>
      <c r="T345" s="235"/>
      <c r="U345" s="220">
        <f t="shared" si="27"/>
        <v>0</v>
      </c>
    </row>
    <row r="346" spans="1:21" ht="16.5" customHeight="1" hidden="1">
      <c r="A346" s="32"/>
      <c r="B346" s="84"/>
      <c r="C346" s="46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5"/>
      <c r="U346" s="220">
        <f t="shared" si="27"/>
        <v>0</v>
      </c>
    </row>
    <row r="347" spans="1:21" ht="16.5" customHeight="1" hidden="1">
      <c r="A347" s="32"/>
      <c r="B347" s="84"/>
      <c r="C347" s="46"/>
      <c r="D347" s="234"/>
      <c r="E347" s="234"/>
      <c r="F347" s="234"/>
      <c r="G347" s="234"/>
      <c r="H347" s="234"/>
      <c r="I347" s="234"/>
      <c r="J347" s="234"/>
      <c r="K347" s="234"/>
      <c r="L347" s="234"/>
      <c r="M347" s="234"/>
      <c r="N347" s="234"/>
      <c r="O347" s="234"/>
      <c r="P347" s="234"/>
      <c r="Q347" s="234"/>
      <c r="R347" s="234"/>
      <c r="S347" s="234"/>
      <c r="T347" s="235"/>
      <c r="U347" s="220">
        <f t="shared" si="27"/>
        <v>0</v>
      </c>
    </row>
    <row r="348" spans="1:21" ht="16.5" customHeight="1" hidden="1">
      <c r="A348" s="32"/>
      <c r="B348" s="84"/>
      <c r="C348" s="46"/>
      <c r="D348" s="234"/>
      <c r="E348" s="234"/>
      <c r="F348" s="234"/>
      <c r="G348" s="234"/>
      <c r="H348" s="234"/>
      <c r="I348" s="234"/>
      <c r="J348" s="234"/>
      <c r="K348" s="234"/>
      <c r="L348" s="234"/>
      <c r="M348" s="234"/>
      <c r="N348" s="234"/>
      <c r="O348" s="234"/>
      <c r="P348" s="234"/>
      <c r="Q348" s="234"/>
      <c r="R348" s="234"/>
      <c r="S348" s="234"/>
      <c r="T348" s="235"/>
      <c r="U348" s="220">
        <f t="shared" si="27"/>
        <v>0</v>
      </c>
    </row>
    <row r="349" spans="1:21" ht="16.5" customHeight="1" hidden="1">
      <c r="A349" s="32"/>
      <c r="B349" s="84"/>
      <c r="C349" s="46"/>
      <c r="D349" s="234"/>
      <c r="E349" s="234"/>
      <c r="F349" s="234"/>
      <c r="G349" s="234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  <c r="T349" s="235"/>
      <c r="U349" s="220">
        <f t="shared" si="27"/>
        <v>0</v>
      </c>
    </row>
    <row r="350" spans="1:21" ht="16.5" customHeight="1" hidden="1">
      <c r="A350" s="32"/>
      <c r="B350" s="84"/>
      <c r="C350" s="46"/>
      <c r="D350" s="234"/>
      <c r="E350" s="234"/>
      <c r="F350" s="234"/>
      <c r="G350" s="234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  <c r="T350" s="235"/>
      <c r="U350" s="220">
        <f t="shared" si="27"/>
        <v>0</v>
      </c>
    </row>
    <row r="351" spans="1:21" ht="16.5" customHeight="1" hidden="1">
      <c r="A351" s="32"/>
      <c r="B351" s="84"/>
      <c r="C351" s="46"/>
      <c r="D351" s="234"/>
      <c r="E351" s="234"/>
      <c r="F351" s="234"/>
      <c r="G351" s="234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  <c r="T351" s="235"/>
      <c r="U351" s="220">
        <f t="shared" si="27"/>
        <v>0</v>
      </c>
    </row>
    <row r="352" spans="1:21" ht="16.5" customHeight="1" hidden="1">
      <c r="A352" s="32"/>
      <c r="B352" s="84"/>
      <c r="C352" s="46"/>
      <c r="D352" s="234"/>
      <c r="E352" s="234"/>
      <c r="F352" s="234"/>
      <c r="G352" s="234"/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  <c r="R352" s="234"/>
      <c r="S352" s="234"/>
      <c r="T352" s="235"/>
      <c r="U352" s="220">
        <f t="shared" si="27"/>
        <v>0</v>
      </c>
    </row>
    <row r="353" spans="1:21" ht="16.5" customHeight="1" hidden="1">
      <c r="A353" s="32"/>
      <c r="B353" s="84"/>
      <c r="C353" s="46"/>
      <c r="D353" s="234"/>
      <c r="E353" s="234"/>
      <c r="F353" s="234"/>
      <c r="G353" s="234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  <c r="T353" s="235"/>
      <c r="U353" s="220">
        <f t="shared" si="27"/>
        <v>0</v>
      </c>
    </row>
    <row r="354" spans="1:21" ht="16.5" customHeight="1" hidden="1">
      <c r="A354" s="32"/>
      <c r="B354" s="84"/>
      <c r="C354" s="46"/>
      <c r="D354" s="234"/>
      <c r="E354" s="234"/>
      <c r="F354" s="234"/>
      <c r="G354" s="234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  <c r="T354" s="235"/>
      <c r="U354" s="220">
        <f t="shared" si="27"/>
        <v>0</v>
      </c>
    </row>
    <row r="355" spans="1:21" ht="16.5" customHeight="1" hidden="1">
      <c r="A355" s="32"/>
      <c r="B355" s="84"/>
      <c r="C355" s="46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  <c r="T355" s="235"/>
      <c r="U355" s="220">
        <f t="shared" si="27"/>
        <v>0</v>
      </c>
    </row>
    <row r="356" spans="4:21" ht="16.5" hidden="1">
      <c r="D356" s="237"/>
      <c r="E356" s="237"/>
      <c r="F356" s="237"/>
      <c r="G356" s="237"/>
      <c r="H356" s="237"/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</row>
    <row r="357" spans="4:21" ht="17.25" thickTop="1"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166"/>
    </row>
  </sheetData>
  <mergeCells count="7">
    <mergeCell ref="AF11:AG11"/>
    <mergeCell ref="D5:K5"/>
    <mergeCell ref="L5:R5"/>
    <mergeCell ref="A1:U1"/>
    <mergeCell ref="A2:U2"/>
    <mergeCell ref="D4:U4"/>
    <mergeCell ref="AF6:AG6"/>
  </mergeCells>
  <printOptions horizontalCentered="1" verticalCentered="1"/>
  <pageMargins left="0" right="0" top="0.7086614173228347" bottom="0.48" header="0.4330708661417323" footer="0.1968503937007874"/>
  <pageSetup horizontalDpi="300" verticalDpi="300" orientation="landscape" paperSize="9" scale="41" r:id="rId1"/>
  <headerFooter alignWithMargins="0">
    <oddHeader>&amp;R&amp;"Times New Roman CE,Normál"&amp;12 2. sz. melléklet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Kerületi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</dc:creator>
  <cp:keywords/>
  <dc:description/>
  <cp:lastModifiedBy>Szigetiné Bangó Ildikó</cp:lastModifiedBy>
  <cp:lastPrinted>2011-09-16T07:46:25Z</cp:lastPrinted>
  <dcterms:created xsi:type="dcterms:W3CDTF">2009-03-23T07:49:10Z</dcterms:created>
  <dcterms:modified xsi:type="dcterms:W3CDTF">2011-09-16T07:46:54Z</dcterms:modified>
  <cp:category/>
  <cp:version/>
  <cp:contentType/>
  <cp:contentStatus/>
</cp:coreProperties>
</file>