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1"/>
  </bookViews>
  <sheets>
    <sheet name="SajátHK_bevételek" sheetId="1" r:id="rId1"/>
    <sheet name="SajátHK_kiadások" sheetId="2" r:id="rId2"/>
  </sheets>
  <definedNames>
    <definedName name="Excel_BuiltIn__FilterDatabase_2">'SajátHK_kiadások'!$A$12:$AL$100</definedName>
    <definedName name="Excel_BuiltIn__FilterDatabase_3">#REF!</definedName>
    <definedName name="Excel_BuiltIn__FilterDatabase_3_3">'SajátHK_bevételek'!$C$6:$W$17</definedName>
    <definedName name="_xlnm.Print_Titles" localSheetId="0">'SajátHK_bevételek'!$6:$13</definedName>
    <definedName name="_xlnm.Print_Titles" localSheetId="1">'SajátHK_kiadások'!$4:$11</definedName>
    <definedName name="_xlnm.Print_Area" localSheetId="0">'SajátHK_bevételek'!$A$1:$W$121</definedName>
    <definedName name="_xlnm.Print_Area" localSheetId="1">'SajátHK_kiadások'!$A$1:$U$336</definedName>
  </definedNames>
  <calcPr fullCalcOnLoad="1"/>
</workbook>
</file>

<file path=xl/sharedStrings.xml><?xml version="1.0" encoding="utf-8"?>
<sst xmlns="http://schemas.openxmlformats.org/spreadsheetml/2006/main" count="365" uniqueCount="211">
  <si>
    <t>K I M U T A T Á S</t>
  </si>
  <si>
    <t>ezer Ft-ban</t>
  </si>
  <si>
    <t>B E V É T E L E K</t>
  </si>
  <si>
    <t>Intézményi működési bevételek</t>
  </si>
  <si>
    <t>Önkormányzatok sajátos működési bevételei</t>
  </si>
  <si>
    <t xml:space="preserve"> </t>
  </si>
  <si>
    <t>Szöveges indoklás a</t>
  </si>
  <si>
    <t>Hatósági</t>
  </si>
  <si>
    <t>Egyéb</t>
  </si>
  <si>
    <t xml:space="preserve">ÁFA </t>
  </si>
  <si>
    <t>Kamat-</t>
  </si>
  <si>
    <t xml:space="preserve">Helyi </t>
  </si>
  <si>
    <t>Átengedett</t>
  </si>
  <si>
    <t>Különféle</t>
  </si>
  <si>
    <t>Önkorm.</t>
  </si>
  <si>
    <t xml:space="preserve">Cél - és </t>
  </si>
  <si>
    <t>Felhalm.</t>
  </si>
  <si>
    <t>Pénzügyi</t>
  </si>
  <si>
    <t>Támogatás-</t>
  </si>
  <si>
    <t>Működési</t>
  </si>
  <si>
    <t>Felhalmozási</t>
  </si>
  <si>
    <t>Kölcsönök</t>
  </si>
  <si>
    <t>Pénzforg.</t>
  </si>
  <si>
    <t>Bevételek</t>
  </si>
  <si>
    <t>Ssz.</t>
  </si>
  <si>
    <t>forrás származására és a kiadás</t>
  </si>
  <si>
    <t>jogkörhöz</t>
  </si>
  <si>
    <t>saját</t>
  </si>
  <si>
    <t>bevételek,</t>
  </si>
  <si>
    <t>bevételek</t>
  </si>
  <si>
    <t>adók</t>
  </si>
  <si>
    <t>központi</t>
  </si>
  <si>
    <t>sajátos</t>
  </si>
  <si>
    <t>bírságok</t>
  </si>
  <si>
    <t>költségvetési</t>
  </si>
  <si>
    <t>címzett</t>
  </si>
  <si>
    <t xml:space="preserve">és </t>
  </si>
  <si>
    <t>befekt.</t>
  </si>
  <si>
    <t>értékű</t>
  </si>
  <si>
    <t>célú</t>
  </si>
  <si>
    <t>visszaté-</t>
  </si>
  <si>
    <t>Hitelek</t>
  </si>
  <si>
    <t>nélküli</t>
  </si>
  <si>
    <t>összesen</t>
  </si>
  <si>
    <t>felhasználási  jogcimére</t>
  </si>
  <si>
    <t xml:space="preserve">köthető </t>
  </si>
  <si>
    <t>bevétel</t>
  </si>
  <si>
    <t>visszatérül.</t>
  </si>
  <si>
    <t>adók,</t>
  </si>
  <si>
    <t>működési</t>
  </si>
  <si>
    <t>tám.</t>
  </si>
  <si>
    <t>tőkejell.</t>
  </si>
  <si>
    <t>bevételei</t>
  </si>
  <si>
    <t>pénzeszköz</t>
  </si>
  <si>
    <t>felhalmozási</t>
  </si>
  <si>
    <t>rülése</t>
  </si>
  <si>
    <t>(3+…+21)</t>
  </si>
  <si>
    <t>műk.bev.</t>
  </si>
  <si>
    <t>gj.adó</t>
  </si>
  <si>
    <t>átvétel</t>
  </si>
  <si>
    <t>912-914</t>
  </si>
  <si>
    <t>942-947</t>
  </si>
  <si>
    <t>933 + 29</t>
  </si>
  <si>
    <t>43, 45</t>
  </si>
  <si>
    <t>Érvényes előirányzatok:</t>
  </si>
  <si>
    <t>Módosítás</t>
  </si>
  <si>
    <t>Módosított előirányzat</t>
  </si>
  <si>
    <t>Első m.</t>
  </si>
  <si>
    <t>Második</t>
  </si>
  <si>
    <t>Féléves</t>
  </si>
  <si>
    <t>Harmadik</t>
  </si>
  <si>
    <t>000</t>
  </si>
  <si>
    <t>Felülvizsgálat</t>
  </si>
  <si>
    <t>010</t>
  </si>
  <si>
    <t>030</t>
  </si>
  <si>
    <t>040</t>
  </si>
  <si>
    <t>070</t>
  </si>
  <si>
    <t>080</t>
  </si>
  <si>
    <t>090</t>
  </si>
  <si>
    <t>120</t>
  </si>
  <si>
    <t>121</t>
  </si>
  <si>
    <t>180</t>
  </si>
  <si>
    <t>Felülvizsgálati módosítások összesen:</t>
  </si>
  <si>
    <t>Módosítások összesen:</t>
  </si>
  <si>
    <t>Módosított előirányzat:</t>
  </si>
  <si>
    <t>K I A D Á S O K</t>
  </si>
  <si>
    <t>Működési kiadások</t>
  </si>
  <si>
    <t>Felhalmozási kiadások</t>
  </si>
  <si>
    <t>Sor-</t>
  </si>
  <si>
    <t>Társ-,szoc.</t>
  </si>
  <si>
    <t>Ellátottak</t>
  </si>
  <si>
    <t>Felújítási</t>
  </si>
  <si>
    <t>Beruházási</t>
  </si>
  <si>
    <t>Támogatási</t>
  </si>
  <si>
    <t>Intézmény-</t>
  </si>
  <si>
    <t>Kiadások</t>
  </si>
  <si>
    <t>szám</t>
  </si>
  <si>
    <t>Személyi</t>
  </si>
  <si>
    <t>Munkaadót</t>
  </si>
  <si>
    <t xml:space="preserve">Dologi </t>
  </si>
  <si>
    <t>Folyó</t>
  </si>
  <si>
    <t xml:space="preserve">pol- és </t>
  </si>
  <si>
    <t>pénzbeli</t>
  </si>
  <si>
    <t>kiadások</t>
  </si>
  <si>
    <t>kölcsönök</t>
  </si>
  <si>
    <t>befektet.</t>
  </si>
  <si>
    <t>Tartalékok</t>
  </si>
  <si>
    <t>finan-</t>
  </si>
  <si>
    <t>juttatás</t>
  </si>
  <si>
    <t xml:space="preserve"> terhelő </t>
  </si>
  <si>
    <t>egyéb jutt.</t>
  </si>
  <si>
    <t>juttatásai</t>
  </si>
  <si>
    <t>ÁFA-val</t>
  </si>
  <si>
    <t>nyújtása</t>
  </si>
  <si>
    <t>kiadásai</t>
  </si>
  <si>
    <t>visszafiz.</t>
  </si>
  <si>
    <t>szírozás</t>
  </si>
  <si>
    <t>járulékok</t>
  </si>
  <si>
    <t>támogatás</t>
  </si>
  <si>
    <t>kiadás</t>
  </si>
  <si>
    <t>átadás</t>
  </si>
  <si>
    <t>51 + 52</t>
  </si>
  <si>
    <t>54+55+56</t>
  </si>
  <si>
    <t>583+584</t>
  </si>
  <si>
    <t>1_6</t>
  </si>
  <si>
    <t>1_5</t>
  </si>
  <si>
    <t>17, 29</t>
  </si>
  <si>
    <t>4312+4512</t>
  </si>
  <si>
    <t>pénzmaradvány</t>
  </si>
  <si>
    <t>020</t>
  </si>
  <si>
    <t>021</t>
  </si>
  <si>
    <t>025</t>
  </si>
  <si>
    <t>026</t>
  </si>
  <si>
    <t>028</t>
  </si>
  <si>
    <t>032</t>
  </si>
  <si>
    <t>033</t>
  </si>
  <si>
    <t>034</t>
  </si>
  <si>
    <t>051</t>
  </si>
  <si>
    <t>052</t>
  </si>
  <si>
    <t>060</t>
  </si>
  <si>
    <t>101</t>
  </si>
  <si>
    <t>Pénzmaradvánnyal módosított előirányzat</t>
  </si>
  <si>
    <t>050</t>
  </si>
  <si>
    <t xml:space="preserve">Pénzmaradvány </t>
  </si>
  <si>
    <t>Pénzmaradvány</t>
  </si>
  <si>
    <t>(3+…+19)</t>
  </si>
  <si>
    <t>Vonal alattiak</t>
  </si>
  <si>
    <t>PH</t>
  </si>
  <si>
    <t>Int.saját bev.</t>
  </si>
  <si>
    <t>10.31.rend.</t>
  </si>
  <si>
    <t>10.31</t>
  </si>
  <si>
    <t>019</t>
  </si>
  <si>
    <t>924-926,92218</t>
  </si>
  <si>
    <t>083</t>
  </si>
  <si>
    <t>1</t>
  </si>
  <si>
    <t>Parkoltatási közszolgáltatás</t>
  </si>
  <si>
    <t>2</t>
  </si>
  <si>
    <t>Átmeneti tartalékból kártalanításra</t>
  </si>
  <si>
    <t>4</t>
  </si>
  <si>
    <t>LMP Frakciókeret</t>
  </si>
  <si>
    <t>MSZP Frakciókeret</t>
  </si>
  <si>
    <t>5</t>
  </si>
  <si>
    <t>6</t>
  </si>
  <si>
    <t>FIDESZ-KDNP Frakciókeret</t>
  </si>
  <si>
    <t>8</t>
  </si>
  <si>
    <t>Bútorbeszerzés</t>
  </si>
  <si>
    <t>9</t>
  </si>
  <si>
    <t>Polgármesteri Keret felhasználása</t>
  </si>
  <si>
    <t>Alpolgármesteri Keret felhasználása</t>
  </si>
  <si>
    <t>Bérlakásban villamos fűtés kialakítása</t>
  </si>
  <si>
    <t>Komposztáló Kerület Program kommunikációs feladatai</t>
  </si>
  <si>
    <t>Jegyző számlás megb-ról közterületi lépcsők-re</t>
  </si>
  <si>
    <t>Fejlesztések - tart-ból:Nagyrét u. 4. Sportpálya</t>
  </si>
  <si>
    <t>Budai Díj - Lovas szobrok</t>
  </si>
  <si>
    <t>Norm.hozzájárulás feladatmutatóhoz kötött</t>
  </si>
  <si>
    <t>Bolyai Óvoda kastélyépület átalakítása</t>
  </si>
  <si>
    <t>ÉNO új helyen történő elhelyezése</t>
  </si>
  <si>
    <t>Int. fin. - II.Rákóczi F. Gimn. tornaterem,veszély elhárítás</t>
  </si>
  <si>
    <t>Int. fin. - Eü. Szolg. eszközbeszerzés</t>
  </si>
  <si>
    <t>Török Sándor Waldorf Óvoda beruh-hoz</t>
  </si>
  <si>
    <t>19</t>
  </si>
  <si>
    <t>Pm. tám. - Minden Gyermek Lakjon Jól Alapítvány</t>
  </si>
  <si>
    <t>Adyliget Barátai Al. társasházi költség hozzájár.</t>
  </si>
  <si>
    <t>24</t>
  </si>
  <si>
    <t>Horvát Kisebbségi Önkormányzat</t>
  </si>
  <si>
    <t>25</t>
  </si>
  <si>
    <t>Német Kisebbségi Önkormányzat</t>
  </si>
  <si>
    <t>26</t>
  </si>
  <si>
    <t>Örmény Kisebbségi Önkormányzat</t>
  </si>
  <si>
    <t>27</t>
  </si>
  <si>
    <t>Román Kisebbségi Önkormányzat</t>
  </si>
  <si>
    <t>28</t>
  </si>
  <si>
    <t>Szerb Kisebbségi Önkormányzat</t>
  </si>
  <si>
    <t>29</t>
  </si>
  <si>
    <t>Lengyel Kisebbségi Önkormányzat</t>
  </si>
  <si>
    <t>30</t>
  </si>
  <si>
    <t>Ukrán Kisebbségi Önkormányzat</t>
  </si>
  <si>
    <t>31</t>
  </si>
  <si>
    <t>Bolgár Kisebbségi Önkormányzat</t>
  </si>
  <si>
    <t>32</t>
  </si>
  <si>
    <t>Ruszin Kisebbségi Önkormányzat</t>
  </si>
  <si>
    <t>33</t>
  </si>
  <si>
    <t>001</t>
  </si>
  <si>
    <t>022</t>
  </si>
  <si>
    <t>081</t>
  </si>
  <si>
    <t>Hivatalhoz rendelt intézmények pénzmaradványa</t>
  </si>
  <si>
    <t>Eredeti előirányzatok:</t>
  </si>
  <si>
    <t>Kisebbségi önkorm-ok többlettámogatás beemelése</t>
  </si>
  <si>
    <t>8. sz. melléklet</t>
  </si>
  <si>
    <t>a Polgármesteri Hivatal saját hatáskörben végrehajtott bevételi előirányzatainak változásáról, kiemelt előirányzatonként  2011. április 30-ig</t>
  </si>
  <si>
    <t>a Polgármesteri Hivatal saját hatáskörben végrehajtott kiadási előirányzatainak változásáról, kiemelt előirányzatonként  2011. április 30-ig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</si>
</sst>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&quot;. &quot;m&quot;. &quot;d/"/>
    <numFmt numFmtId="165" formatCode="#,##0_ ;[Red]\-#,##0\ "/>
    <numFmt numFmtId="166" formatCode="#,##0\ _F_t"/>
    <numFmt numFmtId="167" formatCode="yyyy\-mm\-dd"/>
    <numFmt numFmtId="168" formatCode="mmm\ d/"/>
    <numFmt numFmtId="169" formatCode="mmm/yyyy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00"/>
  </numFmts>
  <fonts count="13">
    <font>
      <sz val="10"/>
      <name val="Arial"/>
      <family val="0"/>
    </font>
    <font>
      <sz val="10"/>
      <name val="MS Sans Serif"/>
      <family val="0"/>
    </font>
    <font>
      <sz val="8"/>
      <name val="Arial"/>
      <family val="0"/>
    </font>
    <font>
      <sz val="13"/>
      <name val="Times New Roman CE"/>
      <family val="1"/>
    </font>
    <font>
      <sz val="10"/>
      <name val="Times New Roman CE"/>
      <family val="1"/>
    </font>
    <font>
      <b/>
      <sz val="13"/>
      <name val="Times New Roman CE"/>
      <family val="1"/>
    </font>
    <font>
      <sz val="9"/>
      <name val="Times New Roman CE"/>
      <family val="1"/>
    </font>
    <font>
      <i/>
      <sz val="13"/>
      <name val="Times New Roman CE"/>
      <family val="1"/>
    </font>
    <font>
      <b/>
      <i/>
      <sz val="13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0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17" applyFont="1">
      <alignment/>
      <protection/>
    </xf>
    <xf numFmtId="0" fontId="4" fillId="0" borderId="0" xfId="17" applyFont="1">
      <alignment/>
      <protection/>
    </xf>
    <xf numFmtId="0" fontId="3" fillId="0" borderId="0" xfId="17" applyFont="1" applyAlignment="1">
      <alignment horizont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>
      <alignment/>
      <protection/>
    </xf>
    <xf numFmtId="0" fontId="3" fillId="0" borderId="1" xfId="17" applyFont="1" applyBorder="1" applyAlignment="1">
      <alignment horizontal="right" vertical="top"/>
      <protection/>
    </xf>
    <xf numFmtId="0" fontId="3" fillId="0" borderId="2" xfId="17" applyFont="1" applyBorder="1">
      <alignment/>
      <protection/>
    </xf>
    <xf numFmtId="0" fontId="3" fillId="0" borderId="3" xfId="17" applyFont="1" applyBorder="1">
      <alignment/>
      <protection/>
    </xf>
    <xf numFmtId="0" fontId="3" fillId="0" borderId="3" xfId="17" applyFont="1" applyBorder="1" applyAlignment="1">
      <alignment horizontal="center"/>
      <protection/>
    </xf>
    <xf numFmtId="0" fontId="5" fillId="0" borderId="4" xfId="17" applyFont="1" applyBorder="1" applyAlignment="1">
      <alignment horizontal="center"/>
      <protection/>
    </xf>
    <xf numFmtId="0" fontId="3" fillId="0" borderId="5" xfId="17" applyFont="1" applyBorder="1">
      <alignment/>
      <protection/>
    </xf>
    <xf numFmtId="0" fontId="3" fillId="0" borderId="6" xfId="17" applyFont="1" applyBorder="1">
      <alignment/>
      <protection/>
    </xf>
    <xf numFmtId="0" fontId="3" fillId="0" borderId="6" xfId="17" applyFont="1" applyBorder="1" applyAlignment="1">
      <alignment horizontal="center"/>
      <protection/>
    </xf>
    <xf numFmtId="0" fontId="6" fillId="2" borderId="7" xfId="0" applyFont="1" applyFill="1" applyBorder="1" applyAlignment="1" applyProtection="1">
      <alignment horizontal="center"/>
      <protection hidden="1"/>
    </xf>
    <xf numFmtId="0" fontId="3" fillId="0" borderId="7" xfId="17" applyFont="1" applyBorder="1" applyAlignment="1">
      <alignment horizontal="center"/>
      <protection/>
    </xf>
    <xf numFmtId="0" fontId="3" fillId="0" borderId="7" xfId="17" applyFont="1" applyBorder="1" applyAlignment="1">
      <alignment/>
      <protection/>
    </xf>
    <xf numFmtId="0" fontId="3" fillId="0" borderId="8" xfId="17" applyFont="1" applyBorder="1" applyAlignment="1">
      <alignment horizontal="center"/>
      <protection/>
    </xf>
    <xf numFmtId="0" fontId="5" fillId="0" borderId="9" xfId="17" applyFont="1" applyBorder="1" applyAlignment="1">
      <alignment horizontal="center"/>
      <protection/>
    </xf>
    <xf numFmtId="0" fontId="3" fillId="0" borderId="10" xfId="17" applyFont="1" applyBorder="1" applyAlignment="1">
      <alignment horizontal="center"/>
      <protection/>
    </xf>
    <xf numFmtId="0" fontId="3" fillId="0" borderId="11" xfId="17" applyFont="1" applyBorder="1" applyAlignment="1">
      <alignment horizontal="center"/>
      <protection/>
    </xf>
    <xf numFmtId="0" fontId="3" fillId="0" borderId="11" xfId="17" applyFont="1" applyBorder="1" applyAlignment="1">
      <alignment/>
      <protection/>
    </xf>
    <xf numFmtId="0" fontId="3" fillId="0" borderId="12" xfId="17" applyFont="1" applyBorder="1" applyAlignment="1">
      <alignment horizontal="center"/>
      <protection/>
    </xf>
    <xf numFmtId="0" fontId="3" fillId="0" borderId="5" xfId="17" applyFont="1" applyBorder="1" applyAlignment="1">
      <alignment horizontal="center"/>
      <protection/>
    </xf>
    <xf numFmtId="0" fontId="3" fillId="0" borderId="9" xfId="17" applyFont="1" applyBorder="1" applyAlignment="1">
      <alignment horizontal="center"/>
      <protection/>
    </xf>
    <xf numFmtId="0" fontId="3" fillId="0" borderId="13" xfId="17" applyFont="1" applyBorder="1" applyAlignment="1">
      <alignment horizontal="center"/>
      <protection/>
    </xf>
    <xf numFmtId="0" fontId="3" fillId="0" borderId="14" xfId="17" applyFont="1" applyBorder="1" applyAlignment="1">
      <alignment horizontal="center"/>
      <protection/>
    </xf>
    <xf numFmtId="0" fontId="3" fillId="0" borderId="15" xfId="17" applyFont="1" applyBorder="1" applyAlignment="1">
      <alignment horizontal="right"/>
      <protection/>
    </xf>
    <xf numFmtId="0" fontId="3" fillId="0" borderId="16" xfId="17" applyFont="1" applyBorder="1" applyAlignment="1">
      <alignment horizontal="right"/>
      <protection/>
    </xf>
    <xf numFmtId="0" fontId="7" fillId="0" borderId="17" xfId="17" applyFont="1" applyBorder="1" applyAlignment="1">
      <alignment horizontal="right" vertical="center"/>
      <protection/>
    </xf>
    <xf numFmtId="3" fontId="7" fillId="0" borderId="17" xfId="17" applyNumberFormat="1" applyFont="1" applyBorder="1" applyAlignment="1">
      <alignment horizontal="right" vertical="center" wrapText="1"/>
      <protection/>
    </xf>
    <xf numFmtId="3" fontId="7" fillId="0" borderId="18" xfId="17" applyNumberFormat="1" applyFont="1" applyBorder="1" applyAlignment="1">
      <alignment horizontal="right" vertical="center" wrapText="1"/>
      <protection/>
    </xf>
    <xf numFmtId="0" fontId="3" fillId="0" borderId="5" xfId="17" applyFont="1" applyBorder="1" applyAlignment="1">
      <alignment horizontal="center" vertical="top"/>
      <protection/>
    </xf>
    <xf numFmtId="49" fontId="3" fillId="0" borderId="17" xfId="17" applyNumberFormat="1" applyFont="1" applyBorder="1" applyAlignment="1">
      <alignment horizontal="center" vertical="center" wrapText="1"/>
      <protection/>
    </xf>
    <xf numFmtId="0" fontId="3" fillId="0" borderId="11" xfId="17" applyFont="1" applyBorder="1" applyAlignment="1">
      <alignment vertical="center" wrapText="1"/>
      <protection/>
    </xf>
    <xf numFmtId="3" fontId="3" fillId="0" borderId="11" xfId="17" applyNumberFormat="1" applyFont="1" applyBorder="1" applyAlignment="1">
      <alignment vertical="center" wrapText="1"/>
      <protection/>
    </xf>
    <xf numFmtId="3" fontId="3" fillId="0" borderId="19" xfId="17" applyNumberFormat="1" applyFont="1" applyBorder="1" applyAlignment="1">
      <alignment vertical="center" wrapText="1"/>
      <protection/>
    </xf>
    <xf numFmtId="3" fontId="5" fillId="0" borderId="9" xfId="17" applyNumberFormat="1" applyFont="1" applyBorder="1" applyAlignment="1">
      <alignment vertical="center" wrapText="1"/>
      <protection/>
    </xf>
    <xf numFmtId="3" fontId="4" fillId="0" borderId="0" xfId="17" applyNumberFormat="1" applyFont="1">
      <alignment/>
      <protection/>
    </xf>
    <xf numFmtId="1" fontId="3" fillId="0" borderId="17" xfId="17" applyNumberFormat="1" applyFont="1" applyBorder="1" applyAlignment="1">
      <alignment horizontal="center" vertical="center" wrapText="1"/>
      <protection/>
    </xf>
    <xf numFmtId="0" fontId="3" fillId="0" borderId="17" xfId="17" applyFont="1" applyBorder="1" applyAlignment="1">
      <alignment horizontal="center" vertical="center" wrapText="1"/>
      <protection/>
    </xf>
    <xf numFmtId="0" fontId="3" fillId="0" borderId="17" xfId="17" applyFont="1" applyBorder="1" applyAlignment="1">
      <alignment horizontal="center" vertical="center" wrapText="1"/>
      <protection/>
    </xf>
    <xf numFmtId="0" fontId="3" fillId="0" borderId="11" xfId="17" applyFont="1" applyBorder="1" applyAlignment="1">
      <alignment vertical="center" wrapText="1"/>
      <protection/>
    </xf>
    <xf numFmtId="0" fontId="3" fillId="0" borderId="0" xfId="17" applyFont="1" applyBorder="1" applyAlignment="1">
      <alignment vertical="center" wrapText="1"/>
      <protection/>
    </xf>
    <xf numFmtId="0" fontId="3" fillId="0" borderId="20" xfId="17" applyFont="1" applyBorder="1" applyAlignment="1">
      <alignment horizontal="center"/>
      <protection/>
    </xf>
    <xf numFmtId="0" fontId="3" fillId="0" borderId="21" xfId="17" applyFont="1" applyBorder="1" applyAlignment="1">
      <alignment horizontal="center"/>
      <protection/>
    </xf>
    <xf numFmtId="0" fontId="8" fillId="0" borderId="21" xfId="17" applyFont="1" applyBorder="1">
      <alignment/>
      <protection/>
    </xf>
    <xf numFmtId="166" fontId="8" fillId="0" borderId="21" xfId="17" applyNumberFormat="1" applyFont="1" applyBorder="1" applyAlignment="1">
      <alignment vertical="center" wrapText="1"/>
      <protection/>
    </xf>
    <xf numFmtId="166" fontId="8" fillId="0" borderId="22" xfId="17" applyNumberFormat="1" applyFont="1" applyBorder="1" applyAlignment="1">
      <alignment vertical="center" wrapText="1"/>
      <protection/>
    </xf>
    <xf numFmtId="0" fontId="9" fillId="0" borderId="11" xfId="17" applyFont="1" applyBorder="1" applyAlignment="1">
      <alignment vertical="center" wrapText="1"/>
      <protection/>
    </xf>
    <xf numFmtId="3" fontId="8" fillId="0" borderId="23" xfId="17" applyNumberFormat="1" applyFont="1" applyBorder="1" applyAlignment="1">
      <alignment horizontal="right" vertical="center" wrapText="1"/>
      <protection/>
    </xf>
    <xf numFmtId="0" fontId="3" fillId="0" borderId="5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 wrapText="1"/>
      <protection/>
    </xf>
    <xf numFmtId="0" fontId="4" fillId="0" borderId="20" xfId="17" applyFont="1" applyBorder="1" applyAlignment="1">
      <alignment horizontal="center" vertical="center"/>
      <protection/>
    </xf>
    <xf numFmtId="0" fontId="3" fillId="0" borderId="21" xfId="17" applyFont="1" applyBorder="1" applyAlignment="1">
      <alignment horizontal="center" vertical="center"/>
      <protection/>
    </xf>
    <xf numFmtId="0" fontId="8" fillId="0" borderId="21" xfId="17" applyFont="1" applyBorder="1" applyAlignment="1">
      <alignment vertical="center"/>
      <protection/>
    </xf>
    <xf numFmtId="1" fontId="3" fillId="0" borderId="17" xfId="17" applyNumberFormat="1" applyFont="1" applyBorder="1" applyAlignment="1">
      <alignment horizontal="center" vertical="center" wrapText="1"/>
      <protection/>
    </xf>
    <xf numFmtId="16" fontId="4" fillId="0" borderId="20" xfId="17" applyNumberFormat="1" applyFont="1" applyBorder="1" applyAlignment="1" quotePrefix="1">
      <alignment horizontal="center" vertical="center"/>
      <protection/>
    </xf>
    <xf numFmtId="0" fontId="3" fillId="0" borderId="20" xfId="17" applyFont="1" applyBorder="1" applyAlignment="1">
      <alignment horizontal="center" vertical="center"/>
      <protection/>
    </xf>
    <xf numFmtId="49" fontId="3" fillId="0" borderId="11" xfId="17" applyNumberFormat="1" applyFont="1" applyBorder="1" applyAlignment="1">
      <alignment horizontal="center" vertical="center"/>
      <protection/>
    </xf>
    <xf numFmtId="166" fontId="3" fillId="0" borderId="11" xfId="17" applyNumberFormat="1" applyFont="1" applyBorder="1" applyAlignment="1">
      <alignment vertical="center" wrapText="1"/>
      <protection/>
    </xf>
    <xf numFmtId="166" fontId="3" fillId="0" borderId="19" xfId="17" applyNumberFormat="1" applyFont="1" applyBorder="1" applyAlignment="1">
      <alignment vertical="center" wrapText="1"/>
      <protection/>
    </xf>
    <xf numFmtId="3" fontId="3" fillId="0" borderId="21" xfId="17" applyNumberFormat="1" applyFont="1" applyBorder="1" applyAlignment="1">
      <alignment vertical="center" wrapText="1"/>
      <protection/>
    </xf>
    <xf numFmtId="0" fontId="9" fillId="0" borderId="11" xfId="17" applyFont="1" applyBorder="1" applyAlignment="1">
      <alignment horizontal="center" vertical="center" wrapText="1"/>
      <protection/>
    </xf>
    <xf numFmtId="3" fontId="3" fillId="0" borderId="5" xfId="17" applyNumberFormat="1" applyFont="1" applyBorder="1" applyAlignment="1">
      <alignment vertical="center" wrapText="1"/>
      <protection/>
    </xf>
    <xf numFmtId="3" fontId="3" fillId="0" borderId="6" xfId="17" applyNumberFormat="1" applyFont="1" applyBorder="1" applyAlignment="1">
      <alignment vertical="center" wrapText="1"/>
      <protection/>
    </xf>
    <xf numFmtId="166" fontId="8" fillId="0" borderId="20" xfId="17" applyNumberFormat="1" applyFont="1" applyBorder="1" applyAlignment="1">
      <alignment vertical="center" wrapText="1"/>
      <protection/>
    </xf>
    <xf numFmtId="166" fontId="8" fillId="0" borderId="21" xfId="17" applyNumberFormat="1" applyFont="1" applyBorder="1" applyAlignment="1">
      <alignment vertical="center" wrapText="1"/>
      <protection/>
    </xf>
    <xf numFmtId="166" fontId="8" fillId="0" borderId="24" xfId="17" applyNumberFormat="1" applyFont="1" applyBorder="1" applyAlignment="1">
      <alignment vertical="center" wrapText="1"/>
      <protection/>
    </xf>
    <xf numFmtId="166" fontId="8" fillId="0" borderId="22" xfId="17" applyNumberFormat="1" applyFont="1" applyBorder="1" applyAlignment="1">
      <alignment vertical="center" wrapText="1"/>
      <protection/>
    </xf>
    <xf numFmtId="166" fontId="8" fillId="0" borderId="25" xfId="17" applyNumberFormat="1" applyFont="1" applyBorder="1" applyAlignment="1">
      <alignment vertical="center" wrapText="1"/>
      <protection/>
    </xf>
    <xf numFmtId="0" fontId="3" fillId="0" borderId="11" xfId="17" applyFont="1" applyBorder="1" applyAlignment="1">
      <alignment vertical="center"/>
      <protection/>
    </xf>
    <xf numFmtId="3" fontId="9" fillId="0" borderId="11" xfId="17" applyNumberFormat="1" applyFont="1" applyBorder="1" applyAlignment="1">
      <alignment vertical="center" wrapText="1"/>
      <protection/>
    </xf>
    <xf numFmtId="3" fontId="9" fillId="0" borderId="19" xfId="17" applyNumberFormat="1" applyFont="1" applyBorder="1" applyAlignment="1">
      <alignment vertical="center" wrapText="1"/>
      <protection/>
    </xf>
    <xf numFmtId="0" fontId="4" fillId="0" borderId="0" xfId="17" applyFont="1" applyBorder="1">
      <alignment/>
      <protection/>
    </xf>
    <xf numFmtId="0" fontId="3" fillId="0" borderId="1" xfId="17" applyFont="1" applyBorder="1" applyAlignment="1">
      <alignment vertical="top"/>
      <protection/>
    </xf>
    <xf numFmtId="0" fontId="3" fillId="0" borderId="2" xfId="17" applyFont="1" applyBorder="1" applyAlignment="1">
      <alignment vertical="top"/>
      <protection/>
    </xf>
    <xf numFmtId="0" fontId="5" fillId="0" borderId="0" xfId="17" applyFont="1" applyBorder="1" applyAlignment="1">
      <alignment horizontal="center"/>
      <protection/>
    </xf>
    <xf numFmtId="0" fontId="3" fillId="0" borderId="5" xfId="17" applyFont="1" applyBorder="1" applyAlignment="1">
      <alignment vertical="top"/>
      <protection/>
    </xf>
    <xf numFmtId="0" fontId="3" fillId="0" borderId="26" xfId="17" applyFont="1" applyBorder="1" applyAlignment="1">
      <alignment horizontal="center"/>
      <protection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1" xfId="0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3" fontId="3" fillId="0" borderId="0" xfId="17" applyNumberFormat="1" applyFont="1" applyBorder="1" applyAlignment="1">
      <alignment horizontal="center"/>
      <protection/>
    </xf>
    <xf numFmtId="0" fontId="7" fillId="0" borderId="15" xfId="17" applyFont="1" applyBorder="1" applyAlignment="1">
      <alignment vertical="top"/>
      <protection/>
    </xf>
    <xf numFmtId="0" fontId="7" fillId="0" borderId="17" xfId="17" applyFont="1" applyBorder="1" applyAlignment="1">
      <alignment horizontal="right" vertical="center"/>
      <protection/>
    </xf>
    <xf numFmtId="3" fontId="7" fillId="0" borderId="0" xfId="17" applyNumberFormat="1" applyFont="1" applyBorder="1">
      <alignment/>
      <protection/>
    </xf>
    <xf numFmtId="3" fontId="8" fillId="0" borderId="0" xfId="17" applyNumberFormat="1" applyFont="1" applyBorder="1">
      <alignment/>
      <protection/>
    </xf>
    <xf numFmtId="0" fontId="11" fillId="0" borderId="0" xfId="17" applyFont="1">
      <alignment/>
      <protection/>
    </xf>
    <xf numFmtId="0" fontId="3" fillId="0" borderId="5" xfId="17" applyFont="1" applyBorder="1" applyAlignment="1">
      <alignment horizontal="center" vertical="top"/>
      <protection/>
    </xf>
    <xf numFmtId="3" fontId="3" fillId="0" borderId="10" xfId="17" applyNumberFormat="1" applyFont="1" applyFill="1" applyBorder="1" applyAlignment="1">
      <alignment vertical="center" wrapText="1"/>
      <protection/>
    </xf>
    <xf numFmtId="3" fontId="3" fillId="0" borderId="10" xfId="17" applyNumberFormat="1" applyFont="1" applyBorder="1" applyAlignment="1">
      <alignment vertical="center" wrapText="1"/>
      <protection/>
    </xf>
    <xf numFmtId="3" fontId="3" fillId="0" borderId="26" xfId="17" applyNumberFormat="1" applyFont="1" applyBorder="1" applyAlignment="1">
      <alignment vertical="center" wrapText="1"/>
      <protection/>
    </xf>
    <xf numFmtId="3" fontId="7" fillId="0" borderId="0" xfId="17" applyNumberFormat="1" applyFont="1" applyBorder="1">
      <alignment/>
      <protection/>
    </xf>
    <xf numFmtId="3" fontId="3" fillId="0" borderId="0" xfId="17" applyNumberFormat="1" applyFont="1" applyBorder="1">
      <alignment/>
      <protection/>
    </xf>
    <xf numFmtId="3" fontId="5" fillId="0" borderId="0" xfId="17" applyNumberFormat="1" applyFont="1" applyBorder="1">
      <alignment/>
      <protection/>
    </xf>
    <xf numFmtId="3" fontId="3" fillId="0" borderId="11" xfId="17" applyNumberFormat="1" applyFont="1" applyFill="1" applyBorder="1" applyAlignment="1">
      <alignment vertical="center" wrapText="1"/>
      <protection/>
    </xf>
    <xf numFmtId="3" fontId="3" fillId="0" borderId="11" xfId="17" applyNumberFormat="1" applyFont="1" applyBorder="1" applyAlignment="1">
      <alignment vertical="center" wrapText="1"/>
      <protection/>
    </xf>
    <xf numFmtId="3" fontId="3" fillId="0" borderId="19" xfId="17" applyNumberFormat="1" applyFont="1" applyBorder="1" applyAlignment="1">
      <alignment vertical="center" wrapText="1"/>
      <protection/>
    </xf>
    <xf numFmtId="49" fontId="9" fillId="0" borderId="17" xfId="17" applyNumberFormat="1" applyFont="1" applyBorder="1" applyAlignment="1">
      <alignment horizontal="center" vertical="center" wrapText="1"/>
      <protection/>
    </xf>
    <xf numFmtId="49" fontId="3" fillId="0" borderId="17" xfId="17" applyNumberFormat="1" applyFont="1" applyBorder="1" applyAlignment="1">
      <alignment horizontal="center" vertical="center" wrapText="1"/>
      <protection/>
    </xf>
    <xf numFmtId="0" fontId="7" fillId="0" borderId="27" xfId="17" applyFont="1" applyBorder="1" applyAlignment="1">
      <alignment vertical="center" wrapText="1"/>
      <protection/>
    </xf>
    <xf numFmtId="3" fontId="9" fillId="0" borderId="27" xfId="17" applyNumberFormat="1" applyFont="1" applyBorder="1" applyAlignment="1">
      <alignment vertical="center" wrapText="1"/>
      <protection/>
    </xf>
    <xf numFmtId="3" fontId="3" fillId="0" borderId="27" xfId="17" applyNumberFormat="1" applyFont="1" applyBorder="1" applyAlignment="1">
      <alignment vertical="center" wrapText="1"/>
      <protection/>
    </xf>
    <xf numFmtId="3" fontId="3" fillId="0" borderId="27" xfId="17" applyNumberFormat="1" applyFont="1" applyFill="1" applyBorder="1" applyAlignment="1">
      <alignment vertical="center" wrapText="1"/>
      <protection/>
    </xf>
    <xf numFmtId="3" fontId="3" fillId="0" borderId="28" xfId="17" applyNumberFormat="1" applyFont="1" applyBorder="1" applyAlignment="1">
      <alignment vertical="center" wrapText="1"/>
      <protection/>
    </xf>
    <xf numFmtId="3" fontId="8" fillId="0" borderId="25" xfId="17" applyNumberFormat="1" applyFont="1" applyBorder="1" applyAlignment="1">
      <alignment vertical="center"/>
      <protection/>
    </xf>
    <xf numFmtId="3" fontId="9" fillId="0" borderId="0" xfId="17" applyNumberFormat="1" applyFont="1" applyBorder="1">
      <alignment/>
      <protection/>
    </xf>
    <xf numFmtId="0" fontId="4" fillId="0" borderId="21" xfId="17" applyFont="1" applyBorder="1">
      <alignment/>
      <protection/>
    </xf>
    <xf numFmtId="0" fontId="3" fillId="0" borderId="5" xfId="17" applyFont="1" applyBorder="1" applyAlignment="1">
      <alignment horizontal="center" vertical="center"/>
      <protection/>
    </xf>
    <xf numFmtId="3" fontId="5" fillId="0" borderId="29" xfId="17" applyNumberFormat="1" applyFont="1" applyBorder="1" applyAlignment="1">
      <alignment vertical="center" wrapText="1"/>
      <protection/>
    </xf>
    <xf numFmtId="3" fontId="5" fillId="0" borderId="12" xfId="17" applyNumberFormat="1" applyFont="1" applyBorder="1" applyAlignment="1">
      <alignment vertical="center" wrapText="1"/>
      <protection/>
    </xf>
    <xf numFmtId="0" fontId="3" fillId="0" borderId="13" xfId="17" applyFont="1" applyBorder="1" applyAlignment="1">
      <alignment horizontal="center" vertical="center" wrapText="1"/>
      <protection/>
    </xf>
    <xf numFmtId="3" fontId="4" fillId="0" borderId="0" xfId="17" applyNumberFormat="1" applyFont="1" applyBorder="1">
      <alignment/>
      <protection/>
    </xf>
    <xf numFmtId="3" fontId="8" fillId="0" borderId="21" xfId="17" applyNumberFormat="1" applyFont="1" applyBorder="1" applyAlignment="1">
      <alignment vertical="center"/>
      <protection/>
    </xf>
    <xf numFmtId="3" fontId="8" fillId="0" borderId="30" xfId="17" applyNumberFormat="1" applyFont="1" applyBorder="1" applyAlignment="1">
      <alignment vertical="center"/>
      <protection/>
    </xf>
    <xf numFmtId="49" fontId="3" fillId="0" borderId="11" xfId="17" applyNumberFormat="1" applyFont="1" applyBorder="1" applyAlignment="1">
      <alignment vertical="center" wrapText="1"/>
      <protection/>
    </xf>
    <xf numFmtId="0" fontId="3" fillId="0" borderId="31" xfId="17" applyFont="1" applyBorder="1" applyAlignment="1">
      <alignment horizontal="center" vertical="center" wrapText="1"/>
      <protection/>
    </xf>
    <xf numFmtId="0" fontId="9" fillId="0" borderId="21" xfId="17" applyFont="1" applyBorder="1" applyAlignment="1">
      <alignment horizontal="center" vertical="center" wrapText="1"/>
      <protection/>
    </xf>
    <xf numFmtId="49" fontId="3" fillId="0" borderId="6" xfId="17" applyNumberFormat="1" applyFont="1" applyBorder="1" applyAlignment="1">
      <alignment horizontal="center"/>
      <protection/>
    </xf>
    <xf numFmtId="16" fontId="3" fillId="0" borderId="20" xfId="17" applyNumberFormat="1" applyFont="1" applyBorder="1" applyAlignment="1">
      <alignment vertical="center"/>
      <protection/>
    </xf>
    <xf numFmtId="0" fontId="3" fillId="0" borderId="0" xfId="17" applyFont="1" applyAlignment="1">
      <alignment vertical="top"/>
      <protection/>
    </xf>
    <xf numFmtId="0" fontId="7" fillId="0" borderId="32" xfId="17" applyFont="1" applyBorder="1" applyAlignment="1">
      <alignment vertical="center"/>
      <protection/>
    </xf>
    <xf numFmtId="3" fontId="3" fillId="0" borderId="32" xfId="17" applyNumberFormat="1" applyFont="1" applyBorder="1" applyAlignment="1">
      <alignment vertical="center"/>
      <protection/>
    </xf>
    <xf numFmtId="0" fontId="7" fillId="0" borderId="27" xfId="17" applyFont="1" applyBorder="1" applyAlignment="1">
      <alignment vertical="center"/>
      <protection/>
    </xf>
    <xf numFmtId="3" fontId="3" fillId="0" borderId="27" xfId="17" applyNumberFormat="1" applyFont="1" applyBorder="1" applyAlignment="1">
      <alignment vertical="center"/>
      <protection/>
    </xf>
    <xf numFmtId="0" fontId="7" fillId="0" borderId="27" xfId="17" applyFont="1" applyBorder="1" applyAlignment="1">
      <alignment vertical="center"/>
      <protection/>
    </xf>
    <xf numFmtId="3" fontId="3" fillId="0" borderId="33" xfId="17" applyNumberFormat="1" applyFont="1" applyBorder="1" applyAlignment="1">
      <alignment vertical="center"/>
      <protection/>
    </xf>
    <xf numFmtId="3" fontId="3" fillId="0" borderId="34" xfId="17" applyNumberFormat="1" applyFont="1" applyBorder="1" applyAlignment="1">
      <alignment vertical="center"/>
      <protection/>
    </xf>
    <xf numFmtId="3" fontId="3" fillId="0" borderId="34" xfId="17" applyNumberFormat="1" applyFont="1" applyBorder="1" applyAlignment="1">
      <alignment vertical="center" wrapText="1"/>
      <protection/>
    </xf>
    <xf numFmtId="3" fontId="3" fillId="0" borderId="35" xfId="17" applyNumberFormat="1" applyFont="1" applyBorder="1" applyAlignment="1">
      <alignment vertical="center" wrapText="1"/>
      <protection/>
    </xf>
    <xf numFmtId="0" fontId="5" fillId="0" borderId="8" xfId="17" applyFont="1" applyBorder="1" applyAlignment="1">
      <alignment horizontal="center"/>
      <protection/>
    </xf>
    <xf numFmtId="0" fontId="5" fillId="0" borderId="12" xfId="17" applyFont="1" applyBorder="1" applyAlignment="1">
      <alignment horizontal="center"/>
      <protection/>
    </xf>
    <xf numFmtId="0" fontId="3" fillId="0" borderId="12" xfId="17" applyFont="1" applyBorder="1" applyAlignment="1">
      <alignment horizontal="center"/>
      <protection/>
    </xf>
    <xf numFmtId="3" fontId="12" fillId="0" borderId="36" xfId="17" applyNumberFormat="1" applyFont="1" applyBorder="1" applyAlignment="1">
      <alignment vertical="center" wrapText="1"/>
      <protection/>
    </xf>
    <xf numFmtId="3" fontId="12" fillId="0" borderId="37" xfId="17" applyNumberFormat="1" applyFont="1" applyBorder="1" applyAlignment="1">
      <alignment vertical="center" wrapText="1"/>
      <protection/>
    </xf>
    <xf numFmtId="3" fontId="12" fillId="0" borderId="37" xfId="17" applyNumberFormat="1" applyFont="1" applyBorder="1" applyAlignment="1">
      <alignment vertical="center" wrapText="1"/>
      <protection/>
    </xf>
    <xf numFmtId="3" fontId="5" fillId="0" borderId="14" xfId="17" applyNumberFormat="1" applyFont="1" applyBorder="1" applyAlignment="1">
      <alignment vertical="center" wrapText="1"/>
      <protection/>
    </xf>
    <xf numFmtId="0" fontId="3" fillId="0" borderId="38" xfId="17" applyFont="1" applyBorder="1" applyAlignment="1">
      <alignment horizontal="center" vertical="center" wrapText="1"/>
      <protection/>
    </xf>
    <xf numFmtId="0" fontId="3" fillId="0" borderId="39" xfId="17" applyFont="1" applyBorder="1" applyAlignment="1">
      <alignment vertical="center" wrapText="1"/>
      <protection/>
    </xf>
    <xf numFmtId="3" fontId="3" fillId="0" borderId="40" xfId="17" applyNumberFormat="1" applyFont="1" applyBorder="1" applyAlignment="1">
      <alignment vertical="center" wrapText="1"/>
      <protection/>
    </xf>
    <xf numFmtId="3" fontId="3" fillId="0" borderId="41" xfId="17" applyNumberFormat="1" applyFont="1" applyBorder="1" applyAlignment="1">
      <alignment vertical="center" wrapText="1"/>
      <protection/>
    </xf>
    <xf numFmtId="3" fontId="5" fillId="0" borderId="42" xfId="17" applyNumberFormat="1" applyFont="1" applyBorder="1" applyAlignment="1">
      <alignment vertical="center" wrapText="1"/>
      <protection/>
    </xf>
    <xf numFmtId="3" fontId="3" fillId="0" borderId="40" xfId="17" applyNumberFormat="1" applyFont="1" applyBorder="1" applyAlignment="1">
      <alignment vertical="center" wrapText="1"/>
      <protection/>
    </xf>
    <xf numFmtId="3" fontId="3" fillId="0" borderId="41" xfId="17" applyNumberFormat="1" applyFont="1" applyBorder="1" applyAlignment="1">
      <alignment vertical="center" wrapText="1"/>
      <protection/>
    </xf>
    <xf numFmtId="3" fontId="5" fillId="0" borderId="43" xfId="17" applyNumberFormat="1" applyFont="1" applyBorder="1" applyAlignment="1">
      <alignment vertical="center" wrapText="1"/>
      <protection/>
    </xf>
    <xf numFmtId="0" fontId="4" fillId="0" borderId="20" xfId="17" applyFont="1" applyBorder="1" applyAlignment="1">
      <alignment vertical="center"/>
      <protection/>
    </xf>
    <xf numFmtId="0" fontId="4" fillId="0" borderId="21" xfId="17" applyFont="1" applyBorder="1" applyAlignment="1">
      <alignment horizontal="center" vertical="center"/>
      <protection/>
    </xf>
    <xf numFmtId="0" fontId="4" fillId="0" borderId="21" xfId="17" applyFont="1" applyBorder="1" applyAlignment="1">
      <alignment vertical="center"/>
      <protection/>
    </xf>
    <xf numFmtId="166" fontId="8" fillId="0" borderId="30" xfId="17" applyNumberFormat="1" applyFont="1" applyBorder="1" applyAlignment="1">
      <alignment vertical="center" wrapText="1"/>
      <protection/>
    </xf>
    <xf numFmtId="0" fontId="3" fillId="0" borderId="44" xfId="17" applyFont="1" applyBorder="1" applyAlignment="1">
      <alignment horizontal="center" vertical="center"/>
      <protection/>
    </xf>
    <xf numFmtId="0" fontId="3" fillId="0" borderId="45" xfId="17" applyFont="1" applyBorder="1" applyAlignment="1">
      <alignment vertical="center" wrapText="1"/>
      <protection/>
    </xf>
    <xf numFmtId="3" fontId="3" fillId="0" borderId="13" xfId="17" applyNumberFormat="1" applyFont="1" applyBorder="1" applyAlignment="1">
      <alignment vertical="center" wrapText="1"/>
      <protection/>
    </xf>
    <xf numFmtId="3" fontId="3" fillId="0" borderId="46" xfId="17" applyNumberFormat="1" applyFont="1" applyBorder="1" applyAlignment="1">
      <alignment vertical="center" wrapText="1"/>
      <protection/>
    </xf>
    <xf numFmtId="0" fontId="3" fillId="0" borderId="47" xfId="17" applyFont="1" applyBorder="1">
      <alignment/>
      <protection/>
    </xf>
    <xf numFmtId="0" fontId="3" fillId="0" borderId="48" xfId="17" applyFont="1" applyBorder="1">
      <alignment/>
      <protection/>
    </xf>
    <xf numFmtId="0" fontId="3" fillId="0" borderId="48" xfId="17" applyFont="1" applyBorder="1" applyAlignment="1">
      <alignment horizontal="center"/>
      <protection/>
    </xf>
    <xf numFmtId="0" fontId="3" fillId="0" borderId="49" xfId="17" applyFont="1" applyBorder="1" applyAlignment="1">
      <alignment horizontal="center"/>
      <protection/>
    </xf>
    <xf numFmtId="0" fontId="3" fillId="0" borderId="10" xfId="17" applyFont="1" applyBorder="1" applyAlignment="1">
      <alignment horizontal="center"/>
      <protection/>
    </xf>
    <xf numFmtId="0" fontId="3" fillId="0" borderId="48" xfId="17" applyFont="1" applyBorder="1" applyAlignment="1">
      <alignment horizontal="center"/>
      <protection/>
    </xf>
    <xf numFmtId="0" fontId="3" fillId="0" borderId="29" xfId="17" applyFont="1" applyBorder="1" applyAlignment="1">
      <alignment horizontal="center"/>
      <protection/>
    </xf>
    <xf numFmtId="0" fontId="5" fillId="0" borderId="50" xfId="17" applyFont="1" applyBorder="1" applyAlignment="1">
      <alignment horizontal="center"/>
      <protection/>
    </xf>
    <xf numFmtId="0" fontId="3" fillId="0" borderId="15" xfId="17" applyFont="1" applyBorder="1" applyAlignment="1">
      <alignment horizontal="center"/>
      <protection/>
    </xf>
    <xf numFmtId="0" fontId="3" fillId="0" borderId="17" xfId="17" applyFont="1" applyBorder="1" applyAlignment="1">
      <alignment horizontal="center"/>
      <protection/>
    </xf>
    <xf numFmtId="0" fontId="3" fillId="0" borderId="51" xfId="17" applyFont="1" applyBorder="1" applyAlignment="1">
      <alignment horizontal="center"/>
      <protection/>
    </xf>
    <xf numFmtId="166" fontId="8" fillId="0" borderId="7" xfId="17" applyNumberFormat="1" applyFont="1" applyBorder="1" applyAlignment="1">
      <alignment vertical="center" wrapText="1"/>
      <protection/>
    </xf>
    <xf numFmtId="166" fontId="8" fillId="0" borderId="52" xfId="17" applyNumberFormat="1" applyFont="1" applyBorder="1" applyAlignment="1">
      <alignment vertical="center" wrapText="1"/>
      <protection/>
    </xf>
    <xf numFmtId="166" fontId="8" fillId="0" borderId="17" xfId="17" applyNumberFormat="1" applyFont="1" applyBorder="1" applyAlignment="1">
      <alignment vertical="center" wrapText="1"/>
      <protection/>
    </xf>
    <xf numFmtId="166" fontId="8" fillId="0" borderId="51" xfId="17" applyNumberFormat="1" applyFont="1" applyBorder="1" applyAlignment="1">
      <alignment vertical="center" wrapText="1"/>
      <protection/>
    </xf>
    <xf numFmtId="0" fontId="4" fillId="0" borderId="53" xfId="17" applyFont="1" applyBorder="1" applyAlignment="1">
      <alignment horizontal="center" vertical="center"/>
      <protection/>
    </xf>
    <xf numFmtId="0" fontId="4" fillId="0" borderId="7" xfId="17" applyFont="1" applyBorder="1" applyAlignment="1">
      <alignment horizontal="center" vertical="center"/>
      <protection/>
    </xf>
    <xf numFmtId="0" fontId="8" fillId="0" borderId="7" xfId="17" applyFont="1" applyBorder="1" applyAlignment="1">
      <alignment vertical="center"/>
      <protection/>
    </xf>
    <xf numFmtId="49" fontId="3" fillId="0" borderId="13" xfId="17" applyNumberFormat="1" applyFont="1" applyBorder="1" applyAlignment="1">
      <alignment horizontal="center" vertical="center" wrapText="1"/>
      <protection/>
    </xf>
    <xf numFmtId="0" fontId="4" fillId="0" borderId="15" xfId="17" applyFont="1" applyBorder="1" applyAlignment="1">
      <alignment horizontal="center" vertical="center"/>
      <protection/>
    </xf>
    <xf numFmtId="0" fontId="4" fillId="0" borderId="17" xfId="17" applyFont="1" applyBorder="1" applyAlignment="1">
      <alignment horizontal="center" vertical="center"/>
      <protection/>
    </xf>
    <xf numFmtId="166" fontId="8" fillId="0" borderId="54" xfId="17" applyNumberFormat="1" applyFont="1" applyBorder="1" applyAlignment="1">
      <alignment vertical="center" wrapText="1"/>
      <protection/>
    </xf>
    <xf numFmtId="166" fontId="8" fillId="0" borderId="23" xfId="17" applyNumberFormat="1" applyFont="1" applyBorder="1" applyAlignment="1">
      <alignment vertical="center" wrapText="1"/>
      <protection/>
    </xf>
    <xf numFmtId="3" fontId="8" fillId="0" borderId="12" xfId="17" applyNumberFormat="1" applyFont="1" applyBorder="1" applyAlignment="1">
      <alignment vertical="center"/>
      <protection/>
    </xf>
    <xf numFmtId="0" fontId="3" fillId="0" borderId="47" xfId="17" applyFont="1" applyBorder="1" applyAlignment="1">
      <alignment vertical="top"/>
      <protection/>
    </xf>
    <xf numFmtId="0" fontId="3" fillId="0" borderId="10" xfId="17" applyFont="1" applyFill="1" applyBorder="1" applyAlignment="1">
      <alignment horizontal="center"/>
      <protection/>
    </xf>
    <xf numFmtId="49" fontId="3" fillId="0" borderId="26" xfId="17" applyNumberFormat="1" applyFont="1" applyBorder="1" applyAlignment="1">
      <alignment horizontal="center"/>
      <protection/>
    </xf>
    <xf numFmtId="49" fontId="3" fillId="0" borderId="48" xfId="17" applyNumberFormat="1" applyFont="1" applyBorder="1" applyAlignment="1">
      <alignment horizontal="center"/>
      <protection/>
    </xf>
    <xf numFmtId="0" fontId="10" fillId="0" borderId="48" xfId="17" applyFont="1" applyBorder="1" applyAlignment="1">
      <alignment horizontal="center"/>
      <protection/>
    </xf>
    <xf numFmtId="0" fontId="5" fillId="0" borderId="29" xfId="17" applyFont="1" applyBorder="1" applyAlignment="1">
      <alignment horizontal="center"/>
      <protection/>
    </xf>
    <xf numFmtId="0" fontId="3" fillId="0" borderId="15" xfId="17" applyFont="1" applyBorder="1" applyAlignment="1">
      <alignment horizontal="center" vertical="top"/>
      <protection/>
    </xf>
    <xf numFmtId="0" fontId="3" fillId="0" borderId="16" xfId="17" applyFont="1" applyBorder="1" applyAlignment="1">
      <alignment horizontal="center"/>
      <protection/>
    </xf>
    <xf numFmtId="0" fontId="3" fillId="0" borderId="18" xfId="17" applyFont="1" applyBorder="1" applyAlignment="1">
      <alignment horizontal="center"/>
      <protection/>
    </xf>
    <xf numFmtId="3" fontId="8" fillId="0" borderId="7" xfId="17" applyNumberFormat="1" applyFont="1" applyBorder="1" applyAlignment="1">
      <alignment vertical="center"/>
      <protection/>
    </xf>
    <xf numFmtId="3" fontId="7" fillId="0" borderId="17" xfId="17" applyNumberFormat="1" applyFont="1" applyBorder="1" applyAlignment="1">
      <alignment vertical="center"/>
      <protection/>
    </xf>
    <xf numFmtId="0" fontId="3" fillId="0" borderId="10" xfId="17" applyFont="1" applyBorder="1" applyAlignment="1">
      <alignment horizontal="center" vertical="center" wrapText="1"/>
      <protection/>
    </xf>
    <xf numFmtId="0" fontId="3" fillId="0" borderId="0" xfId="17" applyFont="1" applyFill="1" applyBorder="1" applyAlignment="1">
      <alignment vertical="center" wrapText="1"/>
      <protection/>
    </xf>
    <xf numFmtId="3" fontId="5" fillId="0" borderId="22" xfId="17" applyNumberFormat="1" applyFont="1" applyBorder="1" applyAlignment="1">
      <alignment vertical="center" wrapText="1"/>
      <protection/>
    </xf>
    <xf numFmtId="166" fontId="4" fillId="0" borderId="0" xfId="17" applyNumberFormat="1" applyFont="1" applyBorder="1">
      <alignment/>
      <protection/>
    </xf>
    <xf numFmtId="0" fontId="3" fillId="0" borderId="21" xfId="17" applyFont="1" applyBorder="1" applyAlignment="1" quotePrefix="1">
      <alignment horizontal="center" vertical="center"/>
      <protection/>
    </xf>
    <xf numFmtId="166" fontId="8" fillId="0" borderId="0" xfId="17" applyNumberFormat="1" applyFont="1" applyBorder="1" applyAlignment="1">
      <alignment vertical="center" wrapText="1"/>
      <protection/>
    </xf>
    <xf numFmtId="0" fontId="3" fillId="0" borderId="11" xfId="17" applyFont="1" applyBorder="1" applyAlignment="1">
      <alignment horizontal="center" vertical="center" wrapText="1"/>
      <protection/>
    </xf>
    <xf numFmtId="0" fontId="3" fillId="0" borderId="55" xfId="17" applyFont="1" applyBorder="1" applyAlignment="1">
      <alignment horizontal="center" vertical="center"/>
      <protection/>
    </xf>
    <xf numFmtId="0" fontId="3" fillId="0" borderId="39" xfId="17" applyFont="1" applyFill="1" applyBorder="1" applyAlignment="1">
      <alignment vertical="center" wrapText="1"/>
      <protection/>
    </xf>
    <xf numFmtId="3" fontId="3" fillId="0" borderId="39" xfId="17" applyNumberFormat="1" applyFont="1" applyBorder="1" applyAlignment="1">
      <alignment horizontal="center"/>
      <protection/>
    </xf>
    <xf numFmtId="3" fontId="5" fillId="0" borderId="0" xfId="17" applyNumberFormat="1" applyFont="1" applyBorder="1" applyAlignment="1">
      <alignment horizontal="center"/>
      <protection/>
    </xf>
    <xf numFmtId="3" fontId="8" fillId="0" borderId="21" xfId="17" applyNumberFormat="1" applyFont="1" applyFill="1" applyBorder="1" applyAlignment="1">
      <alignment vertical="center"/>
      <protection/>
    </xf>
    <xf numFmtId="0" fontId="3" fillId="2" borderId="40" xfId="0" applyFont="1" applyFill="1" applyBorder="1" applyAlignment="1">
      <alignment horizontal="center"/>
    </xf>
    <xf numFmtId="3" fontId="3" fillId="0" borderId="56" xfId="17" applyNumberFormat="1" applyFont="1" applyBorder="1" applyAlignment="1">
      <alignment vertical="center"/>
      <protection/>
    </xf>
    <xf numFmtId="3" fontId="3" fillId="0" borderId="57" xfId="17" applyNumberFormat="1" applyFont="1" applyBorder="1" applyAlignment="1">
      <alignment vertical="center"/>
      <protection/>
    </xf>
    <xf numFmtId="173" fontId="12" fillId="0" borderId="37" xfId="17" applyNumberFormat="1" applyFont="1" applyBorder="1" applyAlignment="1">
      <alignment vertical="center" wrapText="1"/>
      <protection/>
    </xf>
    <xf numFmtId="173" fontId="4" fillId="0" borderId="0" xfId="17" applyNumberFormat="1" applyFont="1" applyBorder="1">
      <alignment/>
      <protection/>
    </xf>
    <xf numFmtId="173" fontId="12" fillId="0" borderId="0" xfId="17" applyNumberFormat="1" applyFont="1" applyBorder="1">
      <alignment/>
      <protection/>
    </xf>
    <xf numFmtId="0" fontId="3" fillId="0" borderId="17" xfId="17" applyFont="1" applyFill="1" applyBorder="1" applyAlignment="1">
      <alignment horizontal="center" vertical="center" wrapText="1"/>
      <protection/>
    </xf>
    <xf numFmtId="3" fontId="9" fillId="0" borderId="27" xfId="17" applyNumberFormat="1" applyFont="1" applyFill="1" applyBorder="1" applyAlignment="1">
      <alignment vertical="center" wrapText="1"/>
      <protection/>
    </xf>
    <xf numFmtId="3" fontId="9" fillId="0" borderId="28" xfId="17" applyNumberFormat="1" applyFont="1" applyFill="1" applyBorder="1" applyAlignment="1">
      <alignment vertical="center" wrapText="1"/>
      <protection/>
    </xf>
    <xf numFmtId="3" fontId="3" fillId="0" borderId="28" xfId="17" applyNumberFormat="1" applyFont="1" applyFill="1" applyBorder="1" applyAlignment="1">
      <alignment vertical="center" wrapText="1"/>
      <protection/>
    </xf>
    <xf numFmtId="0" fontId="3" fillId="0" borderId="44" xfId="17" applyFont="1" applyBorder="1" applyAlignment="1">
      <alignment horizontal="center"/>
      <protection/>
    </xf>
    <xf numFmtId="0" fontId="3" fillId="0" borderId="58" xfId="17" applyFont="1" applyBorder="1" applyAlignment="1">
      <alignment horizontal="center"/>
      <protection/>
    </xf>
    <xf numFmtId="0" fontId="7" fillId="0" borderId="13" xfId="17" applyFont="1" applyBorder="1" applyAlignment="1">
      <alignment horizontal="right" vertical="center"/>
      <protection/>
    </xf>
    <xf numFmtId="3" fontId="7" fillId="0" borderId="13" xfId="17" applyNumberFormat="1" applyFont="1" applyBorder="1" applyAlignment="1">
      <alignment vertical="center" wrapText="1"/>
      <protection/>
    </xf>
    <xf numFmtId="3" fontId="7" fillId="0" borderId="46" xfId="17" applyNumberFormat="1" applyFont="1" applyBorder="1" applyAlignment="1">
      <alignment vertical="center" wrapText="1"/>
      <protection/>
    </xf>
    <xf numFmtId="3" fontId="8" fillId="0" borderId="14" xfId="17" applyNumberFormat="1" applyFont="1" applyBorder="1" applyAlignment="1">
      <alignment horizontal="right" vertical="center" wrapText="1"/>
      <protection/>
    </xf>
    <xf numFmtId="0" fontId="8" fillId="0" borderId="20" xfId="17" applyFont="1" applyBorder="1" applyAlignment="1">
      <alignment horizontal="center"/>
      <protection/>
    </xf>
    <xf numFmtId="0" fontId="3" fillId="0" borderId="20" xfId="17" applyFont="1" applyBorder="1" applyAlignment="1">
      <alignment horizontal="center" vertical="top"/>
      <protection/>
    </xf>
    <xf numFmtId="49" fontId="9" fillId="0" borderId="13" xfId="17" applyNumberFormat="1" applyFont="1" applyBorder="1" applyAlignment="1">
      <alignment horizontal="center" vertical="center" wrapText="1"/>
      <protection/>
    </xf>
    <xf numFmtId="49" fontId="3" fillId="0" borderId="11" xfId="17" applyNumberFormat="1" applyFont="1" applyBorder="1" applyAlignment="1">
      <alignment horizontal="center" vertical="center" wrapText="1"/>
      <protection/>
    </xf>
    <xf numFmtId="1" fontId="3" fillId="0" borderId="11" xfId="17" applyNumberFormat="1" applyFont="1" applyBorder="1" applyAlignment="1">
      <alignment horizontal="center" vertical="center" wrapText="1"/>
      <protection/>
    </xf>
    <xf numFmtId="1" fontId="3" fillId="0" borderId="11" xfId="17" applyNumberFormat="1" applyFont="1" applyBorder="1" applyAlignment="1">
      <alignment horizontal="center" vertical="center" wrapText="1"/>
      <protection/>
    </xf>
    <xf numFmtId="3" fontId="5" fillId="0" borderId="11" xfId="17" applyNumberFormat="1" applyFont="1" applyBorder="1" applyAlignment="1">
      <alignment vertical="center" wrapText="1"/>
      <protection/>
    </xf>
    <xf numFmtId="3" fontId="5" fillId="0" borderId="59" xfId="17" applyNumberFormat="1" applyFont="1" applyBorder="1" applyAlignment="1">
      <alignment vertical="center" wrapText="1"/>
      <protection/>
    </xf>
    <xf numFmtId="0" fontId="3" fillId="0" borderId="60" xfId="17" applyFont="1" applyBorder="1" applyAlignment="1">
      <alignment horizontal="center"/>
      <protection/>
    </xf>
    <xf numFmtId="3" fontId="5" fillId="0" borderId="60" xfId="17" applyNumberFormat="1" applyFont="1" applyBorder="1" applyAlignment="1">
      <alignment horizontal="right" vertical="center" wrapText="1"/>
      <protection/>
    </xf>
    <xf numFmtId="3" fontId="7" fillId="0" borderId="51" xfId="17" applyNumberFormat="1" applyFont="1" applyBorder="1" applyAlignment="1">
      <alignment horizontal="right" vertical="center" wrapText="1"/>
      <protection/>
    </xf>
    <xf numFmtId="3" fontId="7" fillId="0" borderId="12" xfId="17" applyNumberFormat="1" applyFont="1" applyBorder="1">
      <alignment/>
      <protection/>
    </xf>
    <xf numFmtId="3" fontId="7" fillId="0" borderId="61" xfId="17" applyNumberFormat="1" applyFont="1" applyBorder="1">
      <alignment/>
      <protection/>
    </xf>
    <xf numFmtId="3" fontId="5" fillId="0" borderId="50" xfId="17" applyNumberFormat="1" applyFont="1" applyBorder="1">
      <alignment/>
      <protection/>
    </xf>
    <xf numFmtId="3" fontId="5" fillId="0" borderId="62" xfId="17" applyNumberFormat="1" applyFont="1" applyBorder="1">
      <alignment/>
      <protection/>
    </xf>
    <xf numFmtId="0" fontId="3" fillId="0" borderId="13" xfId="17" applyFont="1" applyBorder="1" applyAlignment="1">
      <alignment horizontal="center" vertical="center" wrapText="1"/>
      <protection/>
    </xf>
    <xf numFmtId="3" fontId="8" fillId="0" borderId="61" xfId="17" applyNumberFormat="1" applyFont="1" applyBorder="1" applyAlignment="1">
      <alignment vertical="center"/>
      <protection/>
    </xf>
    <xf numFmtId="0" fontId="7" fillId="0" borderId="63" xfId="17" applyFont="1" applyBorder="1" applyAlignment="1">
      <alignment vertical="center" wrapText="1"/>
      <protection/>
    </xf>
    <xf numFmtId="3" fontId="9" fillId="0" borderId="63" xfId="17" applyNumberFormat="1" applyFont="1" applyFill="1" applyBorder="1" applyAlignment="1">
      <alignment vertical="center" wrapText="1"/>
      <protection/>
    </xf>
    <xf numFmtId="3" fontId="3" fillId="0" borderId="63" xfId="17" applyNumberFormat="1" applyFont="1" applyFill="1" applyBorder="1" applyAlignment="1">
      <alignment vertical="center" wrapText="1"/>
      <protection/>
    </xf>
    <xf numFmtId="3" fontId="3" fillId="0" borderId="63" xfId="17" applyNumberFormat="1" applyFont="1" applyBorder="1" applyAlignment="1">
      <alignment vertical="center" wrapText="1"/>
      <protection/>
    </xf>
    <xf numFmtId="3" fontId="3" fillId="0" borderId="64" xfId="17" applyNumberFormat="1" applyFont="1" applyBorder="1" applyAlignment="1">
      <alignment vertical="center" wrapText="1"/>
      <protection/>
    </xf>
    <xf numFmtId="173" fontId="12" fillId="0" borderId="65" xfId="17" applyNumberFormat="1" applyFont="1" applyBorder="1" applyAlignment="1">
      <alignment vertical="center" wrapText="1"/>
      <protection/>
    </xf>
    <xf numFmtId="0" fontId="3" fillId="0" borderId="66" xfId="17" applyFont="1" applyBorder="1" applyAlignment="1">
      <alignment horizontal="center" vertical="top"/>
      <protection/>
    </xf>
    <xf numFmtId="0" fontId="3" fillId="0" borderId="67" xfId="17" applyFont="1" applyFill="1" applyBorder="1" applyAlignment="1">
      <alignment horizontal="center" vertical="center" wrapText="1"/>
      <protection/>
    </xf>
    <xf numFmtId="0" fontId="3" fillId="0" borderId="68" xfId="17" applyFont="1" applyBorder="1" applyAlignment="1">
      <alignment horizontal="center" vertical="top"/>
      <protection/>
    </xf>
    <xf numFmtId="0" fontId="3" fillId="0" borderId="69" xfId="17" applyFont="1" applyBorder="1" applyAlignment="1">
      <alignment horizontal="center" vertical="top"/>
      <protection/>
    </xf>
    <xf numFmtId="0" fontId="3" fillId="0" borderId="63" xfId="17" applyFont="1" applyFill="1" applyBorder="1" applyAlignment="1">
      <alignment horizontal="center" vertical="center" wrapText="1"/>
      <protection/>
    </xf>
    <xf numFmtId="0" fontId="7" fillId="0" borderId="16" xfId="17" applyFont="1" applyBorder="1">
      <alignment/>
      <protection/>
    </xf>
    <xf numFmtId="3" fontId="7" fillId="0" borderId="17" xfId="17" applyNumberFormat="1" applyFont="1" applyBorder="1" applyAlignment="1">
      <alignment vertical="center" wrapText="1"/>
      <protection/>
    </xf>
    <xf numFmtId="3" fontId="7" fillId="0" borderId="18" xfId="17" applyNumberFormat="1" applyFont="1" applyBorder="1" applyAlignment="1">
      <alignment vertical="center" wrapText="1"/>
      <protection/>
    </xf>
    <xf numFmtId="3" fontId="8" fillId="0" borderId="51" xfId="17" applyNumberFormat="1" applyFont="1" applyBorder="1" applyAlignment="1">
      <alignment horizontal="right" vertical="center" wrapText="1"/>
      <protection/>
    </xf>
    <xf numFmtId="0" fontId="3" fillId="0" borderId="70" xfId="17" applyFont="1" applyBorder="1" applyAlignment="1">
      <alignment horizontal="center" vertical="top"/>
      <protection/>
    </xf>
    <xf numFmtId="0" fontId="3" fillId="0" borderId="27" xfId="17" applyFont="1" applyFill="1" applyBorder="1" applyAlignment="1">
      <alignment horizontal="center" vertical="center" wrapText="1"/>
      <protection/>
    </xf>
    <xf numFmtId="3" fontId="7" fillId="0" borderId="17" xfId="17" applyNumberFormat="1" applyFont="1" applyFill="1" applyBorder="1" applyAlignment="1">
      <alignment horizontal="right" vertical="center" wrapText="1"/>
      <protection/>
    </xf>
    <xf numFmtId="3" fontId="5" fillId="0" borderId="23" xfId="17" applyNumberFormat="1" applyFont="1" applyBorder="1">
      <alignment/>
      <protection/>
    </xf>
    <xf numFmtId="173" fontId="3" fillId="0" borderId="11" xfId="17" applyNumberFormat="1" applyFont="1" applyBorder="1" applyAlignment="1">
      <alignment vertical="center" wrapText="1"/>
      <protection/>
    </xf>
    <xf numFmtId="0" fontId="3" fillId="0" borderId="15" xfId="17" applyFont="1" applyBorder="1" applyAlignment="1">
      <alignment horizontal="center" vertical="top"/>
      <protection/>
    </xf>
    <xf numFmtId="3" fontId="8" fillId="0" borderId="25" xfId="17" applyNumberFormat="1" applyFont="1" applyFill="1" applyBorder="1" applyAlignment="1">
      <alignment vertical="center"/>
      <protection/>
    </xf>
    <xf numFmtId="3" fontId="7" fillId="0" borderId="12" xfId="17" applyNumberFormat="1" applyFont="1" applyBorder="1" applyAlignment="1">
      <alignment vertical="center"/>
      <protection/>
    </xf>
    <xf numFmtId="3" fontId="5" fillId="0" borderId="9" xfId="17" applyNumberFormat="1" applyFont="1" applyBorder="1" applyAlignment="1">
      <alignment vertical="center"/>
      <protection/>
    </xf>
    <xf numFmtId="0" fontId="4" fillId="0" borderId="0" xfId="17" applyFont="1" applyAlignment="1">
      <alignment vertical="center"/>
      <protection/>
    </xf>
    <xf numFmtId="0" fontId="3" fillId="2" borderId="0" xfId="0" applyFont="1" applyFill="1" applyBorder="1" applyAlignment="1">
      <alignment horizontal="left" vertical="center"/>
    </xf>
    <xf numFmtId="0" fontId="3" fillId="0" borderId="0" xfId="17" applyFont="1" applyBorder="1" applyAlignment="1">
      <alignment horizontal="center"/>
      <protection/>
    </xf>
    <xf numFmtId="0" fontId="5" fillId="0" borderId="71" xfId="17" applyFont="1" applyBorder="1" applyAlignment="1">
      <alignment horizontal="center"/>
      <protection/>
    </xf>
    <xf numFmtId="0" fontId="3" fillId="2" borderId="72" xfId="0" applyFont="1" applyFill="1" applyBorder="1" applyAlignment="1" applyProtection="1">
      <alignment horizontal="center"/>
      <protection hidden="1"/>
    </xf>
    <xf numFmtId="0" fontId="3" fillId="0" borderId="73" xfId="17" applyFont="1" applyBorder="1" applyAlignment="1">
      <alignment horizontal="center"/>
      <protection/>
    </xf>
    <xf numFmtId="0" fontId="3" fillId="0" borderId="74" xfId="17" applyFont="1" applyBorder="1" applyAlignment="1">
      <alignment horizontal="center"/>
      <protection/>
    </xf>
    <xf numFmtId="0" fontId="3" fillId="0" borderId="75" xfId="17" applyFont="1" applyBorder="1" applyAlignment="1">
      <alignment horizontal="center"/>
      <protection/>
    </xf>
    <xf numFmtId="0" fontId="3" fillId="0" borderId="30" xfId="17" applyFont="1" applyBorder="1" applyAlignment="1">
      <alignment horizontal="center"/>
      <protection/>
    </xf>
    <xf numFmtId="0" fontId="3" fillId="0" borderId="76" xfId="17" applyFont="1" applyBorder="1" applyAlignment="1">
      <alignment horizontal="center"/>
      <protection/>
    </xf>
    <xf numFmtId="0" fontId="3" fillId="0" borderId="24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top"/>
      <protection/>
    </xf>
    <xf numFmtId="0" fontId="5" fillId="0" borderId="77" xfId="17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ál_SajatHK2005_5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0"/>
  <sheetViews>
    <sheetView zoomScale="75" zoomScaleNormal="75" workbookViewId="0" topLeftCell="A1">
      <selection activeCell="H5" sqref="H5"/>
    </sheetView>
  </sheetViews>
  <sheetFormatPr defaultColWidth="9.140625" defaultRowHeight="12.75"/>
  <cols>
    <col min="1" max="1" width="7.421875" style="1" customWidth="1"/>
    <col min="2" max="2" width="8.140625" style="1" hidden="1" customWidth="1"/>
    <col min="3" max="3" width="57.7109375" style="2" customWidth="1"/>
    <col min="4" max="22" width="13.421875" style="2" customWidth="1"/>
    <col min="23" max="23" width="19.421875" style="2" customWidth="1"/>
    <col min="24" max="24" width="13.421875" style="2" customWidth="1"/>
    <col min="25" max="25" width="11.00390625" style="2" customWidth="1"/>
    <col min="26" max="26" width="10.7109375" style="2" customWidth="1"/>
    <col min="27" max="32" width="9.140625" style="2" customWidth="1"/>
    <col min="33" max="34" width="10.7109375" style="2" customWidth="1"/>
    <col min="35" max="35" width="10.28125" style="2" customWidth="1"/>
    <col min="36" max="36" width="10.00390625" style="2" customWidth="1"/>
    <col min="37" max="37" width="10.28125" style="2" customWidth="1"/>
    <col min="38" max="38" width="10.7109375" style="2" customWidth="1"/>
    <col min="39" max="39" width="10.57421875" style="2" customWidth="1"/>
    <col min="40" max="43" width="9.140625" style="2" customWidth="1"/>
    <col min="44" max="44" width="11.00390625" style="2" customWidth="1"/>
    <col min="45" max="16384" width="9.140625" style="2" customWidth="1"/>
  </cols>
  <sheetData>
    <row r="1" spans="22:23" ht="20.25" customHeight="1">
      <c r="V1" s="3"/>
      <c r="W1" s="3" t="s">
        <v>208</v>
      </c>
    </row>
    <row r="2" spans="1:23" ht="95.25" customHeight="1">
      <c r="A2" s="262" t="s">
        <v>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</row>
    <row r="3" spans="1:24" ht="16.5">
      <c r="A3" s="262" t="s">
        <v>209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3"/>
    </row>
    <row r="4" spans="3:23" ht="16.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7.2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 t="s">
        <v>1</v>
      </c>
    </row>
    <row r="6" spans="1:23" ht="17.25" thickBot="1">
      <c r="A6" s="7"/>
      <c r="B6" s="8"/>
      <c r="C6" s="9"/>
      <c r="D6" s="263" t="s">
        <v>2</v>
      </c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10"/>
    </row>
    <row r="7" spans="1:23" ht="18" customHeight="1" thickTop="1">
      <c r="A7" s="11"/>
      <c r="B7" s="12"/>
      <c r="C7" s="13"/>
      <c r="D7" s="265" t="s">
        <v>3</v>
      </c>
      <c r="E7" s="266"/>
      <c r="F7" s="266"/>
      <c r="G7" s="267"/>
      <c r="H7" s="264" t="s">
        <v>4</v>
      </c>
      <c r="I7" s="264"/>
      <c r="J7" s="264"/>
      <c r="K7" s="264"/>
      <c r="L7" s="13"/>
      <c r="M7" s="14"/>
      <c r="N7" s="4"/>
      <c r="O7" s="15"/>
      <c r="P7" s="16"/>
      <c r="Q7" s="16"/>
      <c r="R7" s="16"/>
      <c r="S7" s="16"/>
      <c r="T7" s="15"/>
      <c r="U7" s="15"/>
      <c r="V7" s="17"/>
      <c r="W7" s="18" t="s">
        <v>5</v>
      </c>
    </row>
    <row r="8" spans="1:23" ht="16.5">
      <c r="A8" s="11"/>
      <c r="B8" s="12"/>
      <c r="C8" s="13" t="s">
        <v>6</v>
      </c>
      <c r="D8" s="19" t="s">
        <v>7</v>
      </c>
      <c r="E8" s="13" t="s">
        <v>8</v>
      </c>
      <c r="F8" s="4" t="s">
        <v>9</v>
      </c>
      <c r="G8" s="20" t="s">
        <v>10</v>
      </c>
      <c r="H8" s="13" t="s">
        <v>11</v>
      </c>
      <c r="I8" s="13" t="s">
        <v>12</v>
      </c>
      <c r="J8" s="13" t="s">
        <v>8</v>
      </c>
      <c r="K8" s="13" t="s">
        <v>13</v>
      </c>
      <c r="L8" s="13" t="s">
        <v>14</v>
      </c>
      <c r="M8" s="13" t="s">
        <v>15</v>
      </c>
      <c r="N8" s="4" t="s">
        <v>16</v>
      </c>
      <c r="O8" s="20" t="s">
        <v>17</v>
      </c>
      <c r="P8" s="21" t="s">
        <v>18</v>
      </c>
      <c r="Q8" s="21" t="s">
        <v>19</v>
      </c>
      <c r="R8" s="21" t="s">
        <v>18</v>
      </c>
      <c r="S8" s="21" t="s">
        <v>20</v>
      </c>
      <c r="T8" s="20" t="s">
        <v>21</v>
      </c>
      <c r="U8" s="21"/>
      <c r="V8" s="22" t="s">
        <v>22</v>
      </c>
      <c r="W8" s="18" t="s">
        <v>23</v>
      </c>
    </row>
    <row r="9" spans="1:23" ht="16.5">
      <c r="A9" s="23" t="s">
        <v>24</v>
      </c>
      <c r="B9" s="13"/>
      <c r="C9" s="13" t="s">
        <v>25</v>
      </c>
      <c r="D9" s="20" t="s">
        <v>26</v>
      </c>
      <c r="E9" s="13" t="s">
        <v>27</v>
      </c>
      <c r="F9" s="4" t="s">
        <v>28</v>
      </c>
      <c r="G9" s="20" t="s">
        <v>29</v>
      </c>
      <c r="H9" s="13" t="s">
        <v>30</v>
      </c>
      <c r="I9" s="13" t="s">
        <v>31</v>
      </c>
      <c r="J9" s="13" t="s">
        <v>32</v>
      </c>
      <c r="K9" s="13" t="s">
        <v>33</v>
      </c>
      <c r="L9" s="13" t="s">
        <v>34</v>
      </c>
      <c r="M9" s="13" t="s">
        <v>35</v>
      </c>
      <c r="N9" s="4" t="s">
        <v>36</v>
      </c>
      <c r="O9" s="20" t="s">
        <v>37</v>
      </c>
      <c r="P9" s="20" t="s">
        <v>38</v>
      </c>
      <c r="Q9" s="20" t="s">
        <v>39</v>
      </c>
      <c r="R9" s="20" t="s">
        <v>38</v>
      </c>
      <c r="S9" s="20" t="s">
        <v>39</v>
      </c>
      <c r="T9" s="20" t="s">
        <v>40</v>
      </c>
      <c r="U9" s="20" t="s">
        <v>41</v>
      </c>
      <c r="V9" s="22" t="s">
        <v>42</v>
      </c>
      <c r="W9" s="18" t="s">
        <v>43</v>
      </c>
    </row>
    <row r="10" spans="1:23" ht="16.5">
      <c r="A10" s="11"/>
      <c r="B10" s="12"/>
      <c r="C10" s="13" t="s">
        <v>44</v>
      </c>
      <c r="D10" s="20" t="s">
        <v>45</v>
      </c>
      <c r="E10" s="13" t="s">
        <v>46</v>
      </c>
      <c r="F10" s="4" t="s">
        <v>47</v>
      </c>
      <c r="G10" s="20"/>
      <c r="H10" s="13"/>
      <c r="I10" s="13" t="s">
        <v>48</v>
      </c>
      <c r="J10" s="13" t="s">
        <v>49</v>
      </c>
      <c r="K10" s="13"/>
      <c r="L10" s="13" t="s">
        <v>50</v>
      </c>
      <c r="M10" s="13" t="s">
        <v>50</v>
      </c>
      <c r="N10" s="4" t="s">
        <v>51</v>
      </c>
      <c r="O10" s="20" t="s">
        <v>52</v>
      </c>
      <c r="P10" s="20" t="s">
        <v>49</v>
      </c>
      <c r="Q10" s="20" t="s">
        <v>53</v>
      </c>
      <c r="R10" s="20" t="s">
        <v>54</v>
      </c>
      <c r="S10" s="20" t="s">
        <v>53</v>
      </c>
      <c r="T10" s="20" t="s">
        <v>55</v>
      </c>
      <c r="U10" s="20"/>
      <c r="V10" s="22" t="s">
        <v>46</v>
      </c>
      <c r="W10" s="24" t="s">
        <v>56</v>
      </c>
    </row>
    <row r="11" spans="1:23" ht="16.5">
      <c r="A11" s="11"/>
      <c r="B11" s="12"/>
      <c r="C11" s="13"/>
      <c r="D11" s="20" t="s">
        <v>57</v>
      </c>
      <c r="E11" s="13"/>
      <c r="F11" s="4"/>
      <c r="G11" s="20"/>
      <c r="H11" s="13"/>
      <c r="I11" s="13" t="s">
        <v>58</v>
      </c>
      <c r="J11" s="13" t="s">
        <v>52</v>
      </c>
      <c r="K11" s="13"/>
      <c r="L11" s="13"/>
      <c r="M11" s="13"/>
      <c r="N11" s="4" t="s">
        <v>46</v>
      </c>
      <c r="O11" s="20"/>
      <c r="P11" s="25" t="s">
        <v>46</v>
      </c>
      <c r="Q11" s="25" t="s">
        <v>59</v>
      </c>
      <c r="R11" s="25" t="s">
        <v>46</v>
      </c>
      <c r="S11" s="25" t="s">
        <v>59</v>
      </c>
      <c r="T11" s="25"/>
      <c r="U11" s="25"/>
      <c r="V11" s="26"/>
      <c r="W11" s="18"/>
    </row>
    <row r="12" spans="1:23" ht="16.5" hidden="1">
      <c r="A12" s="156"/>
      <c r="B12" s="157"/>
      <c r="C12" s="158"/>
      <c r="D12" s="19">
        <v>911</v>
      </c>
      <c r="E12" s="158" t="s">
        <v>60</v>
      </c>
      <c r="F12" s="159">
        <v>919</v>
      </c>
      <c r="G12" s="19">
        <v>916</v>
      </c>
      <c r="H12" s="158">
        <v>922</v>
      </c>
      <c r="I12" s="158">
        <v>923</v>
      </c>
      <c r="J12" s="158">
        <v>929</v>
      </c>
      <c r="K12" s="184" t="s">
        <v>152</v>
      </c>
      <c r="L12" s="158" t="s">
        <v>61</v>
      </c>
      <c r="M12" s="19">
        <v>946</v>
      </c>
      <c r="N12" s="159">
        <v>931.932</v>
      </c>
      <c r="O12" s="19" t="s">
        <v>62</v>
      </c>
      <c r="P12" s="160">
        <v>4641</v>
      </c>
      <c r="Q12" s="161">
        <v>4711</v>
      </c>
      <c r="R12" s="161">
        <v>4651</v>
      </c>
      <c r="S12" s="158">
        <v>4721</v>
      </c>
      <c r="T12" s="19">
        <v>1943</v>
      </c>
      <c r="U12" s="19" t="s">
        <v>63</v>
      </c>
      <c r="V12" s="162">
        <v>9811</v>
      </c>
      <c r="W12" s="163"/>
    </row>
    <row r="13" spans="1:23" ht="20.25" customHeight="1">
      <c r="A13" s="164">
        <v>1</v>
      </c>
      <c r="B13" s="165"/>
      <c r="C13" s="165">
        <v>2</v>
      </c>
      <c r="D13" s="165">
        <v>3</v>
      </c>
      <c r="E13" s="165">
        <v>4</v>
      </c>
      <c r="F13" s="165">
        <v>5</v>
      </c>
      <c r="G13" s="165">
        <v>6</v>
      </c>
      <c r="H13" s="165">
        <v>7</v>
      </c>
      <c r="I13" s="165">
        <v>8</v>
      </c>
      <c r="J13" s="165">
        <v>9</v>
      </c>
      <c r="K13" s="165">
        <v>10</v>
      </c>
      <c r="L13" s="165">
        <v>11</v>
      </c>
      <c r="M13" s="165">
        <v>12</v>
      </c>
      <c r="N13" s="165">
        <v>13</v>
      </c>
      <c r="O13" s="165">
        <v>14</v>
      </c>
      <c r="P13" s="165">
        <v>15</v>
      </c>
      <c r="Q13" s="165">
        <v>16</v>
      </c>
      <c r="R13" s="165">
        <v>17</v>
      </c>
      <c r="S13" s="165">
        <v>18</v>
      </c>
      <c r="T13" s="165">
        <v>19</v>
      </c>
      <c r="U13" s="165">
        <v>20</v>
      </c>
      <c r="V13" s="166">
        <v>21</v>
      </c>
      <c r="W13" s="227">
        <v>22</v>
      </c>
    </row>
    <row r="14" spans="1:23" ht="22.5" customHeight="1" hidden="1">
      <c r="A14" s="27"/>
      <c r="B14" s="28"/>
      <c r="C14" s="29" t="s">
        <v>206</v>
      </c>
      <c r="D14" s="30">
        <v>141500</v>
      </c>
      <c r="E14" s="30">
        <v>982869</v>
      </c>
      <c r="F14" s="30">
        <v>359850</v>
      </c>
      <c r="G14" s="30">
        <v>188575</v>
      </c>
      <c r="H14" s="30">
        <v>6508908</v>
      </c>
      <c r="I14" s="253">
        <v>1125739</v>
      </c>
      <c r="J14" s="30">
        <v>425091</v>
      </c>
      <c r="K14" s="30">
        <v>31500</v>
      </c>
      <c r="L14" s="253">
        <v>3397450</v>
      </c>
      <c r="M14" s="30">
        <v>0</v>
      </c>
      <c r="N14" s="30">
        <v>1324402</v>
      </c>
      <c r="O14" s="30">
        <v>720000</v>
      </c>
      <c r="P14" s="30">
        <v>80713</v>
      </c>
      <c r="Q14" s="30">
        <v>0</v>
      </c>
      <c r="R14" s="30">
        <v>0</v>
      </c>
      <c r="S14" s="30">
        <v>0</v>
      </c>
      <c r="T14" s="30">
        <v>34000</v>
      </c>
      <c r="U14" s="31">
        <v>0</v>
      </c>
      <c r="V14" s="229">
        <v>0</v>
      </c>
      <c r="W14" s="228">
        <f aca="true" t="shared" si="0" ref="W14:W69">SUM(D14:V14)</f>
        <v>15320597</v>
      </c>
    </row>
    <row r="15" spans="1:38" ht="19.5" customHeight="1" hidden="1">
      <c r="A15" s="256"/>
      <c r="B15" s="33" t="s">
        <v>154</v>
      </c>
      <c r="C15" s="34" t="s">
        <v>155</v>
      </c>
      <c r="D15" s="99"/>
      <c r="E15" s="99">
        <f>118020+160000+67377-51980+51980</f>
        <v>345397</v>
      </c>
      <c r="F15" s="99">
        <f>86349</f>
        <v>86349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100"/>
      <c r="U15" s="225"/>
      <c r="V15" s="230"/>
      <c r="W15" s="232">
        <f t="shared" si="0"/>
        <v>431746</v>
      </c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7"/>
    </row>
    <row r="16" spans="1:38" ht="19.5" customHeight="1">
      <c r="A16" s="256"/>
      <c r="B16" s="33"/>
      <c r="C16" s="29" t="s">
        <v>64</v>
      </c>
      <c r="D16" s="248">
        <f>SUM(D14:D15)</f>
        <v>141500</v>
      </c>
      <c r="E16" s="248">
        <f aca="true" t="shared" si="1" ref="E16:V16">SUM(E14:E15)</f>
        <v>1328266</v>
      </c>
      <c r="F16" s="248">
        <f t="shared" si="1"/>
        <v>446199</v>
      </c>
      <c r="G16" s="248">
        <f t="shared" si="1"/>
        <v>188575</v>
      </c>
      <c r="H16" s="248">
        <f t="shared" si="1"/>
        <v>6508908</v>
      </c>
      <c r="I16" s="248">
        <f t="shared" si="1"/>
        <v>1125739</v>
      </c>
      <c r="J16" s="248">
        <f t="shared" si="1"/>
        <v>425091</v>
      </c>
      <c r="K16" s="248">
        <f t="shared" si="1"/>
        <v>31500</v>
      </c>
      <c r="L16" s="248">
        <f t="shared" si="1"/>
        <v>3397450</v>
      </c>
      <c r="M16" s="248">
        <f t="shared" si="1"/>
        <v>0</v>
      </c>
      <c r="N16" s="248">
        <f t="shared" si="1"/>
        <v>1324402</v>
      </c>
      <c r="O16" s="248">
        <f t="shared" si="1"/>
        <v>720000</v>
      </c>
      <c r="P16" s="248">
        <f t="shared" si="1"/>
        <v>80713</v>
      </c>
      <c r="Q16" s="248">
        <f t="shared" si="1"/>
        <v>0</v>
      </c>
      <c r="R16" s="248">
        <f t="shared" si="1"/>
        <v>0</v>
      </c>
      <c r="S16" s="248">
        <f t="shared" si="1"/>
        <v>0</v>
      </c>
      <c r="T16" s="248">
        <f t="shared" si="1"/>
        <v>34000</v>
      </c>
      <c r="U16" s="248">
        <f t="shared" si="1"/>
        <v>0</v>
      </c>
      <c r="V16" s="248">
        <f t="shared" si="1"/>
        <v>0</v>
      </c>
      <c r="W16" s="254">
        <f>SUM(W14:W15)</f>
        <v>15752343</v>
      </c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7"/>
    </row>
    <row r="17" spans="1:38" ht="30" customHeight="1">
      <c r="A17" s="111">
        <v>1</v>
      </c>
      <c r="B17" s="222" t="s">
        <v>180</v>
      </c>
      <c r="C17" s="34" t="s">
        <v>174</v>
      </c>
      <c r="D17" s="99"/>
      <c r="E17" s="99">
        <f>227</f>
        <v>227</v>
      </c>
      <c r="F17" s="99"/>
      <c r="G17" s="99"/>
      <c r="H17" s="99"/>
      <c r="I17" s="99">
        <f>-171</f>
        <v>-171</v>
      </c>
      <c r="J17" s="99"/>
      <c r="K17" s="99"/>
      <c r="L17" s="99">
        <f>-227+171</f>
        <v>-56</v>
      </c>
      <c r="M17" s="99"/>
      <c r="N17" s="99"/>
      <c r="O17" s="99"/>
      <c r="P17" s="99"/>
      <c r="Q17" s="99"/>
      <c r="R17" s="99"/>
      <c r="S17" s="99"/>
      <c r="T17" s="100"/>
      <c r="U17" s="225"/>
      <c r="V17" s="258"/>
      <c r="W17" s="259">
        <f t="shared" si="0"/>
        <v>0</v>
      </c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7"/>
    </row>
    <row r="18" spans="1:38" ht="30" customHeight="1">
      <c r="A18" s="111">
        <v>2</v>
      </c>
      <c r="B18" s="222" t="s">
        <v>183</v>
      </c>
      <c r="C18" s="34" t="s">
        <v>182</v>
      </c>
      <c r="D18" s="99"/>
      <c r="E18" s="99">
        <f>-328</f>
        <v>-328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>
        <f>328</f>
        <v>328</v>
      </c>
      <c r="R18" s="99"/>
      <c r="S18" s="99"/>
      <c r="T18" s="100"/>
      <c r="U18" s="225"/>
      <c r="V18" s="258"/>
      <c r="W18" s="259">
        <f t="shared" si="0"/>
        <v>0</v>
      </c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7"/>
    </row>
    <row r="19" spans="1:38" ht="19.5" customHeight="1" hidden="1">
      <c r="A19" s="111">
        <v>0</v>
      </c>
      <c r="B19" s="222" t="s">
        <v>185</v>
      </c>
      <c r="C19" s="52" t="s">
        <v>184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255">
        <f>9.539+1300</f>
        <v>1309.539</v>
      </c>
      <c r="Q19" s="99"/>
      <c r="R19" s="99"/>
      <c r="S19" s="99"/>
      <c r="T19" s="100"/>
      <c r="U19" s="225"/>
      <c r="V19" s="258"/>
      <c r="W19" s="255">
        <f t="shared" si="0"/>
        <v>1309.539</v>
      </c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7"/>
    </row>
    <row r="20" spans="1:38" ht="19.5" customHeight="1" hidden="1">
      <c r="A20" s="111">
        <v>0</v>
      </c>
      <c r="B20" s="222" t="s">
        <v>187</v>
      </c>
      <c r="C20" s="49" t="s">
        <v>186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255">
        <f>9.539+3800</f>
        <v>3809.539</v>
      </c>
      <c r="Q20" s="99"/>
      <c r="R20" s="99"/>
      <c r="S20" s="99"/>
      <c r="T20" s="100"/>
      <c r="U20" s="225"/>
      <c r="V20" s="258"/>
      <c r="W20" s="255">
        <f t="shared" si="0"/>
        <v>3809.539</v>
      </c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7"/>
    </row>
    <row r="21" spans="1:38" ht="19.5" customHeight="1" hidden="1">
      <c r="A21" s="111">
        <v>0</v>
      </c>
      <c r="B21" s="222" t="s">
        <v>189</v>
      </c>
      <c r="C21" s="34" t="s">
        <v>188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255">
        <f>9.539+1500</f>
        <v>1509.539</v>
      </c>
      <c r="Q21" s="99"/>
      <c r="R21" s="99"/>
      <c r="S21" s="99"/>
      <c r="T21" s="100"/>
      <c r="U21" s="225"/>
      <c r="V21" s="258"/>
      <c r="W21" s="255">
        <f t="shared" si="0"/>
        <v>1509.539</v>
      </c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7"/>
    </row>
    <row r="22" spans="1:38" ht="19.5" customHeight="1" hidden="1">
      <c r="A22" s="111">
        <v>0</v>
      </c>
      <c r="B22" s="222" t="s">
        <v>191</v>
      </c>
      <c r="C22" s="34" t="s">
        <v>190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255">
        <f>9.539+1200</f>
        <v>1209.539</v>
      </c>
      <c r="Q22" s="99"/>
      <c r="R22" s="99"/>
      <c r="S22" s="99"/>
      <c r="T22" s="100"/>
      <c r="U22" s="225"/>
      <c r="V22" s="258"/>
      <c r="W22" s="255">
        <f t="shared" si="0"/>
        <v>1209.539</v>
      </c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7"/>
    </row>
    <row r="23" spans="1:38" ht="19.5" customHeight="1" hidden="1">
      <c r="A23" s="111">
        <v>0</v>
      </c>
      <c r="B23" s="222" t="s">
        <v>193</v>
      </c>
      <c r="C23" s="52" t="s">
        <v>192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255">
        <f>9.539+1700</f>
        <v>1709.539</v>
      </c>
      <c r="Q23" s="99"/>
      <c r="R23" s="99"/>
      <c r="S23" s="99"/>
      <c r="T23" s="100"/>
      <c r="U23" s="225"/>
      <c r="V23" s="258"/>
      <c r="W23" s="255">
        <f t="shared" si="0"/>
        <v>1709.539</v>
      </c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7"/>
    </row>
    <row r="24" spans="1:38" ht="19.5" customHeight="1" hidden="1">
      <c r="A24" s="111">
        <v>0</v>
      </c>
      <c r="B24" s="222" t="s">
        <v>195</v>
      </c>
      <c r="C24" s="34" t="s">
        <v>194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255">
        <f>9.539+312.2+1800</f>
        <v>2121.739</v>
      </c>
      <c r="Q24" s="99"/>
      <c r="R24" s="99"/>
      <c r="S24" s="99"/>
      <c r="T24" s="100"/>
      <c r="U24" s="225"/>
      <c r="V24" s="258"/>
      <c r="W24" s="255">
        <f t="shared" si="0"/>
        <v>2121.739</v>
      </c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7"/>
    </row>
    <row r="25" spans="1:38" ht="19.5" customHeight="1" hidden="1">
      <c r="A25" s="111">
        <v>0</v>
      </c>
      <c r="B25" s="222" t="s">
        <v>197</v>
      </c>
      <c r="C25" s="52" t="s">
        <v>196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255">
        <f>9.539+1500</f>
        <v>1509.539</v>
      </c>
      <c r="Q25" s="99"/>
      <c r="R25" s="99"/>
      <c r="S25" s="99"/>
      <c r="T25" s="100"/>
      <c r="U25" s="225"/>
      <c r="V25" s="258"/>
      <c r="W25" s="255">
        <f t="shared" si="0"/>
        <v>1509.539</v>
      </c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7"/>
    </row>
    <row r="26" spans="1:38" ht="19.5" customHeight="1" hidden="1">
      <c r="A26" s="111">
        <v>0</v>
      </c>
      <c r="B26" s="222" t="s">
        <v>199</v>
      </c>
      <c r="C26" s="52" t="s">
        <v>198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255">
        <f>9.539+1000</f>
        <v>1009.539</v>
      </c>
      <c r="Q26" s="99"/>
      <c r="R26" s="99"/>
      <c r="S26" s="99"/>
      <c r="T26" s="100"/>
      <c r="U26" s="225"/>
      <c r="V26" s="258"/>
      <c r="W26" s="255">
        <f t="shared" si="0"/>
        <v>1009.539</v>
      </c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7"/>
    </row>
    <row r="27" spans="1:38" ht="19.5" customHeight="1" hidden="1">
      <c r="A27" s="111">
        <v>0</v>
      </c>
      <c r="B27" s="222" t="s">
        <v>201</v>
      </c>
      <c r="C27" s="34" t="s">
        <v>200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255">
        <f>9.539+600</f>
        <v>609.539</v>
      </c>
      <c r="Q27" s="99"/>
      <c r="R27" s="99"/>
      <c r="S27" s="99"/>
      <c r="T27" s="100"/>
      <c r="U27" s="225"/>
      <c r="V27" s="258"/>
      <c r="W27" s="255">
        <f t="shared" si="0"/>
        <v>609.539</v>
      </c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7"/>
    </row>
    <row r="28" spans="1:38" ht="30" customHeight="1">
      <c r="A28" s="111">
        <v>3</v>
      </c>
      <c r="B28" s="222"/>
      <c r="C28" s="34" t="s">
        <v>207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>
        <f>SUM(P19:P27)-0.539</f>
        <v>14797.512</v>
      </c>
      <c r="Q28" s="99"/>
      <c r="R28" s="99"/>
      <c r="S28" s="99"/>
      <c r="T28" s="100"/>
      <c r="U28" s="225"/>
      <c r="V28" s="258"/>
      <c r="W28" s="259">
        <f t="shared" si="0"/>
        <v>14797.512</v>
      </c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7"/>
    </row>
    <row r="29" spans="1:38" ht="19.5" customHeight="1" thickBot="1">
      <c r="A29" s="91"/>
      <c r="B29" s="174"/>
      <c r="C29" s="34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100"/>
      <c r="U29" s="226"/>
      <c r="V29" s="231"/>
      <c r="W29" s="233">
        <f t="shared" si="0"/>
        <v>0</v>
      </c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7"/>
    </row>
    <row r="30" spans="1:24" ht="24.75" customHeight="1" thickBot="1" thickTop="1">
      <c r="A30" s="44"/>
      <c r="B30" s="45"/>
      <c r="C30" s="46" t="s">
        <v>65</v>
      </c>
      <c r="D30" s="47">
        <f aca="true" t="shared" si="2" ref="D30:O30">SUM(D17:D18)+D28</f>
        <v>0</v>
      </c>
      <c r="E30" s="47">
        <f t="shared" si="2"/>
        <v>-101</v>
      </c>
      <c r="F30" s="47">
        <f t="shared" si="2"/>
        <v>0</v>
      </c>
      <c r="G30" s="47">
        <f t="shared" si="2"/>
        <v>0</v>
      </c>
      <c r="H30" s="47">
        <f t="shared" si="2"/>
        <v>0</v>
      </c>
      <c r="I30" s="47">
        <f t="shared" si="2"/>
        <v>-171</v>
      </c>
      <c r="J30" s="47">
        <f t="shared" si="2"/>
        <v>0</v>
      </c>
      <c r="K30" s="47">
        <f t="shared" si="2"/>
        <v>0</v>
      </c>
      <c r="L30" s="47">
        <f t="shared" si="2"/>
        <v>-56</v>
      </c>
      <c r="M30" s="47">
        <f t="shared" si="2"/>
        <v>0</v>
      </c>
      <c r="N30" s="47">
        <f t="shared" si="2"/>
        <v>0</v>
      </c>
      <c r="O30" s="47">
        <f t="shared" si="2"/>
        <v>0</v>
      </c>
      <c r="P30" s="47">
        <f>SUM(P17:P18)+P28</f>
        <v>14797.512</v>
      </c>
      <c r="Q30" s="47">
        <f aca="true" t="shared" si="3" ref="Q30:W30">SUM(Q17:Q18)+Q28</f>
        <v>328</v>
      </c>
      <c r="R30" s="47">
        <f t="shared" si="3"/>
        <v>0</v>
      </c>
      <c r="S30" s="47">
        <f t="shared" si="3"/>
        <v>0</v>
      </c>
      <c r="T30" s="47">
        <f t="shared" si="3"/>
        <v>0</v>
      </c>
      <c r="U30" s="151">
        <f t="shared" si="3"/>
        <v>0</v>
      </c>
      <c r="V30" s="48">
        <f>SUM(V17:V18)+V28</f>
        <v>0</v>
      </c>
      <c r="W30" s="48">
        <f t="shared" si="3"/>
        <v>14797.512</v>
      </c>
      <c r="X30" s="38"/>
    </row>
    <row r="31" spans="1:23" ht="24.75" customHeight="1" thickBot="1" thickTop="1">
      <c r="A31" s="44"/>
      <c r="B31" s="45"/>
      <c r="C31" s="46" t="s">
        <v>66</v>
      </c>
      <c r="D31" s="47">
        <f aca="true" t="shared" si="4" ref="D31:V31">D16+D30</f>
        <v>141500</v>
      </c>
      <c r="E31" s="47">
        <f t="shared" si="4"/>
        <v>1328165</v>
      </c>
      <c r="F31" s="47">
        <f t="shared" si="4"/>
        <v>446199</v>
      </c>
      <c r="G31" s="47">
        <f t="shared" si="4"/>
        <v>188575</v>
      </c>
      <c r="H31" s="47">
        <f t="shared" si="4"/>
        <v>6508908</v>
      </c>
      <c r="I31" s="47">
        <f t="shared" si="4"/>
        <v>1125568</v>
      </c>
      <c r="J31" s="47">
        <f t="shared" si="4"/>
        <v>425091</v>
      </c>
      <c r="K31" s="47">
        <f t="shared" si="4"/>
        <v>31500</v>
      </c>
      <c r="L31" s="47">
        <f t="shared" si="4"/>
        <v>3397394</v>
      </c>
      <c r="M31" s="47">
        <f t="shared" si="4"/>
        <v>0</v>
      </c>
      <c r="N31" s="47">
        <f t="shared" si="4"/>
        <v>1324402</v>
      </c>
      <c r="O31" s="47">
        <f t="shared" si="4"/>
        <v>720000</v>
      </c>
      <c r="P31" s="47">
        <f t="shared" si="4"/>
        <v>95510.512</v>
      </c>
      <c r="Q31" s="47">
        <f t="shared" si="4"/>
        <v>328</v>
      </c>
      <c r="R31" s="47">
        <f t="shared" si="4"/>
        <v>0</v>
      </c>
      <c r="S31" s="47">
        <f t="shared" si="4"/>
        <v>0</v>
      </c>
      <c r="T31" s="47">
        <f t="shared" si="4"/>
        <v>34000</v>
      </c>
      <c r="U31" s="47">
        <f t="shared" si="4"/>
        <v>0</v>
      </c>
      <c r="V31" s="47">
        <f t="shared" si="4"/>
        <v>0</v>
      </c>
      <c r="W31" s="48">
        <f t="shared" si="0"/>
        <v>15767140.512</v>
      </c>
    </row>
    <row r="32" spans="1:23" ht="24.75" customHeight="1" thickBot="1" thickTop="1">
      <c r="A32" s="44"/>
      <c r="B32" s="45"/>
      <c r="C32" s="49" t="s">
        <v>144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>
        <v>3572697</v>
      </c>
      <c r="W32" s="48">
        <f t="shared" si="0"/>
        <v>3572697</v>
      </c>
    </row>
    <row r="33" spans="1:23" ht="30" customHeight="1" thickBot="1" thickTop="1">
      <c r="A33" s="44"/>
      <c r="B33" s="45"/>
      <c r="C33" s="46" t="s">
        <v>66</v>
      </c>
      <c r="D33" s="47">
        <f aca="true" t="shared" si="5" ref="D33:V33">D31+D32</f>
        <v>141500</v>
      </c>
      <c r="E33" s="47">
        <f t="shared" si="5"/>
        <v>1328165</v>
      </c>
      <c r="F33" s="47">
        <f t="shared" si="5"/>
        <v>446199</v>
      </c>
      <c r="G33" s="47">
        <f t="shared" si="5"/>
        <v>188575</v>
      </c>
      <c r="H33" s="47">
        <f t="shared" si="5"/>
        <v>6508908</v>
      </c>
      <c r="I33" s="47">
        <f t="shared" si="5"/>
        <v>1125568</v>
      </c>
      <c r="J33" s="47">
        <f t="shared" si="5"/>
        <v>425091</v>
      </c>
      <c r="K33" s="47">
        <f t="shared" si="5"/>
        <v>31500</v>
      </c>
      <c r="L33" s="47">
        <f t="shared" si="5"/>
        <v>3397394</v>
      </c>
      <c r="M33" s="47">
        <f t="shared" si="5"/>
        <v>0</v>
      </c>
      <c r="N33" s="47">
        <f t="shared" si="5"/>
        <v>1324402</v>
      </c>
      <c r="O33" s="47">
        <f t="shared" si="5"/>
        <v>720000</v>
      </c>
      <c r="P33" s="47">
        <f t="shared" si="5"/>
        <v>95510.512</v>
      </c>
      <c r="Q33" s="47">
        <f t="shared" si="5"/>
        <v>328</v>
      </c>
      <c r="R33" s="47">
        <f t="shared" si="5"/>
        <v>0</v>
      </c>
      <c r="S33" s="47">
        <f t="shared" si="5"/>
        <v>0</v>
      </c>
      <c r="T33" s="47">
        <f t="shared" si="5"/>
        <v>34000</v>
      </c>
      <c r="U33" s="47">
        <f t="shared" si="5"/>
        <v>0</v>
      </c>
      <c r="V33" s="47">
        <f t="shared" si="5"/>
        <v>3572697</v>
      </c>
      <c r="W33" s="48">
        <f t="shared" si="0"/>
        <v>19339837.512000002</v>
      </c>
    </row>
    <row r="34" spans="1:23" ht="24.75" customHeight="1" hidden="1" thickTop="1">
      <c r="A34" s="27"/>
      <c r="B34" s="28"/>
      <c r="C34" s="29" t="s">
        <v>64</v>
      </c>
      <c r="D34" s="30">
        <f aca="true" t="shared" si="6" ref="D34:V34">D33</f>
        <v>141500</v>
      </c>
      <c r="E34" s="30">
        <f t="shared" si="6"/>
        <v>1328165</v>
      </c>
      <c r="F34" s="30">
        <f t="shared" si="6"/>
        <v>446199</v>
      </c>
      <c r="G34" s="30">
        <f t="shared" si="6"/>
        <v>188575</v>
      </c>
      <c r="H34" s="30">
        <f t="shared" si="6"/>
        <v>6508908</v>
      </c>
      <c r="I34" s="30">
        <f t="shared" si="6"/>
        <v>1125568</v>
      </c>
      <c r="J34" s="30">
        <f t="shared" si="6"/>
        <v>425091</v>
      </c>
      <c r="K34" s="30">
        <f t="shared" si="6"/>
        <v>31500</v>
      </c>
      <c r="L34" s="30">
        <f t="shared" si="6"/>
        <v>3397394</v>
      </c>
      <c r="M34" s="30">
        <f t="shared" si="6"/>
        <v>0</v>
      </c>
      <c r="N34" s="30">
        <f t="shared" si="6"/>
        <v>1324402</v>
      </c>
      <c r="O34" s="30">
        <f t="shared" si="6"/>
        <v>720000</v>
      </c>
      <c r="P34" s="30">
        <f t="shared" si="6"/>
        <v>95510.512</v>
      </c>
      <c r="Q34" s="30">
        <f t="shared" si="6"/>
        <v>328</v>
      </c>
      <c r="R34" s="30">
        <f t="shared" si="6"/>
        <v>0</v>
      </c>
      <c r="S34" s="30">
        <f t="shared" si="6"/>
        <v>0</v>
      </c>
      <c r="T34" s="30">
        <f t="shared" si="6"/>
        <v>34000</v>
      </c>
      <c r="U34" s="30">
        <f t="shared" si="6"/>
        <v>0</v>
      </c>
      <c r="V34" s="30">
        <f t="shared" si="6"/>
        <v>3572697</v>
      </c>
      <c r="W34" s="50">
        <f t="shared" si="0"/>
        <v>19339837.512000002</v>
      </c>
    </row>
    <row r="35" spans="1:23" ht="24.75" customHeight="1" hidden="1">
      <c r="A35" s="51">
        <v>1</v>
      </c>
      <c r="B35" s="41"/>
      <c r="C35" s="43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6"/>
      <c r="W35" s="37">
        <f t="shared" si="0"/>
        <v>0</v>
      </c>
    </row>
    <row r="36" spans="1:23" ht="24.75" customHeight="1" hidden="1">
      <c r="A36" s="51">
        <v>2</v>
      </c>
      <c r="B36" s="39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6"/>
      <c r="W36" s="37">
        <f t="shared" si="0"/>
        <v>0</v>
      </c>
    </row>
    <row r="37" spans="1:23" ht="24.75" customHeight="1" hidden="1">
      <c r="A37" s="51">
        <v>3</v>
      </c>
      <c r="B37" s="40"/>
      <c r="C37" s="52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6"/>
      <c r="W37" s="37">
        <f t="shared" si="0"/>
        <v>0</v>
      </c>
    </row>
    <row r="38" spans="1:23" ht="24.75" customHeight="1" hidden="1">
      <c r="A38" s="51">
        <v>4</v>
      </c>
      <c r="B38" s="39"/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6"/>
      <c r="W38" s="37">
        <f t="shared" si="0"/>
        <v>0</v>
      </c>
    </row>
    <row r="39" spans="1:23" ht="24.75" customHeight="1" hidden="1">
      <c r="A39" s="51">
        <v>5</v>
      </c>
      <c r="B39" s="41"/>
      <c r="C39" s="3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6"/>
      <c r="W39" s="37">
        <f t="shared" si="0"/>
        <v>0</v>
      </c>
    </row>
    <row r="40" spans="1:23" ht="24.75" customHeight="1" hidden="1">
      <c r="A40" s="51">
        <v>6</v>
      </c>
      <c r="B40" s="40"/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6"/>
      <c r="W40" s="37">
        <f t="shared" si="0"/>
        <v>0</v>
      </c>
    </row>
    <row r="41" spans="1:23" ht="24.75" customHeight="1" hidden="1">
      <c r="A41" s="51">
        <v>7</v>
      </c>
      <c r="B41" s="40"/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6"/>
      <c r="W41" s="37">
        <f t="shared" si="0"/>
        <v>0</v>
      </c>
    </row>
    <row r="42" spans="1:23" ht="24.75" customHeight="1" hidden="1">
      <c r="A42" s="51">
        <v>8</v>
      </c>
      <c r="B42" s="41"/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6"/>
      <c r="W42" s="37">
        <f t="shared" si="0"/>
        <v>0</v>
      </c>
    </row>
    <row r="43" spans="1:23" ht="24.75" customHeight="1" hidden="1">
      <c r="A43" s="51">
        <v>9</v>
      </c>
      <c r="B43" s="40"/>
      <c r="C43" s="3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6"/>
      <c r="W43" s="37">
        <f t="shared" si="0"/>
        <v>0</v>
      </c>
    </row>
    <row r="44" spans="1:23" ht="24.75" customHeight="1" hidden="1">
      <c r="A44" s="51">
        <v>10</v>
      </c>
      <c r="B44" s="41"/>
      <c r="C44" s="3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6"/>
      <c r="W44" s="37">
        <f t="shared" si="0"/>
        <v>0</v>
      </c>
    </row>
    <row r="45" spans="1:23" ht="24.75" customHeight="1" hidden="1">
      <c r="A45" s="51">
        <v>11</v>
      </c>
      <c r="B45" s="41"/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6"/>
      <c r="W45" s="37">
        <f t="shared" si="0"/>
        <v>0</v>
      </c>
    </row>
    <row r="46" spans="1:23" ht="24.75" customHeight="1" hidden="1">
      <c r="A46" s="51">
        <v>12</v>
      </c>
      <c r="B46" s="41"/>
      <c r="C46" s="3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6"/>
      <c r="W46" s="37">
        <f t="shared" si="0"/>
        <v>0</v>
      </c>
    </row>
    <row r="47" spans="1:23" ht="24.75" customHeight="1" hidden="1">
      <c r="A47" s="51">
        <v>13</v>
      </c>
      <c r="B47" s="41"/>
      <c r="C47" s="52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6"/>
      <c r="W47" s="37">
        <f t="shared" si="0"/>
        <v>0</v>
      </c>
    </row>
    <row r="48" spans="1:23" ht="24.75" customHeight="1" hidden="1">
      <c r="A48" s="51">
        <v>14</v>
      </c>
      <c r="B48" s="40"/>
      <c r="C48" s="52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6"/>
      <c r="W48" s="37">
        <f t="shared" si="0"/>
        <v>0</v>
      </c>
    </row>
    <row r="49" spans="1:23" ht="24.75" customHeight="1" hidden="1">
      <c r="A49" s="51">
        <v>15</v>
      </c>
      <c r="B49" s="40"/>
      <c r="C49" s="52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6"/>
      <c r="W49" s="37">
        <f t="shared" si="0"/>
        <v>0</v>
      </c>
    </row>
    <row r="50" spans="1:23" ht="24.75" customHeight="1" hidden="1">
      <c r="A50" s="51">
        <v>16</v>
      </c>
      <c r="B50" s="40"/>
      <c r="C50" s="52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6"/>
      <c r="W50" s="37">
        <f t="shared" si="0"/>
        <v>0</v>
      </c>
    </row>
    <row r="51" spans="1:23" ht="24.75" customHeight="1" hidden="1">
      <c r="A51" s="51">
        <v>17</v>
      </c>
      <c r="B51" s="40"/>
      <c r="C51" s="52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6"/>
      <c r="W51" s="37">
        <f t="shared" si="0"/>
        <v>0</v>
      </c>
    </row>
    <row r="52" spans="1:23" ht="24.75" customHeight="1" hidden="1">
      <c r="A52" s="51">
        <v>18</v>
      </c>
      <c r="B52" s="40"/>
      <c r="C52" s="52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6"/>
      <c r="W52" s="37">
        <f t="shared" si="0"/>
        <v>0</v>
      </c>
    </row>
    <row r="53" spans="1:23" ht="24.75" customHeight="1" hidden="1">
      <c r="A53" s="51">
        <v>19</v>
      </c>
      <c r="B53" s="40"/>
      <c r="C53" s="52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6"/>
      <c r="W53" s="37">
        <f t="shared" si="0"/>
        <v>0</v>
      </c>
    </row>
    <row r="54" spans="1:23" ht="24.75" customHeight="1" hidden="1">
      <c r="A54" s="51">
        <v>20</v>
      </c>
      <c r="B54" s="40"/>
      <c r="C54" s="52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6"/>
      <c r="W54" s="37">
        <f t="shared" si="0"/>
        <v>0</v>
      </c>
    </row>
    <row r="55" spans="1:23" ht="24.75" customHeight="1" hidden="1">
      <c r="A55" s="51">
        <v>21</v>
      </c>
      <c r="B55" s="40"/>
      <c r="C55" s="52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6"/>
      <c r="W55" s="37">
        <f t="shared" si="0"/>
        <v>0</v>
      </c>
    </row>
    <row r="56" spans="1:23" ht="24.75" customHeight="1" hidden="1">
      <c r="A56" s="51">
        <v>22</v>
      </c>
      <c r="B56" s="40"/>
      <c r="C56" s="52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6"/>
      <c r="W56" s="37">
        <f t="shared" si="0"/>
        <v>0</v>
      </c>
    </row>
    <row r="57" spans="1:23" ht="24.75" customHeight="1" hidden="1">
      <c r="A57" s="51">
        <v>23</v>
      </c>
      <c r="B57" s="40"/>
      <c r="C57" s="52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6"/>
      <c r="W57" s="37">
        <f t="shared" si="0"/>
        <v>0</v>
      </c>
    </row>
    <row r="58" spans="1:23" ht="24.75" customHeight="1" hidden="1" thickBot="1">
      <c r="A58" s="51"/>
      <c r="B58" s="140"/>
      <c r="C58" s="141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3"/>
      <c r="W58" s="144">
        <f t="shared" si="0"/>
        <v>0</v>
      </c>
    </row>
    <row r="59" spans="1:23" ht="24.75" customHeight="1" hidden="1" thickBot="1" thickTop="1">
      <c r="A59" s="58"/>
      <c r="B59" s="149" t="s">
        <v>68</v>
      </c>
      <c r="C59" s="55" t="s">
        <v>65</v>
      </c>
      <c r="D59" s="47">
        <f>SUM(D35:D58)</f>
        <v>0</v>
      </c>
      <c r="E59" s="47">
        <f aca="true" t="shared" si="7" ref="E59:J59">SUM(E35:E58)</f>
        <v>0</v>
      </c>
      <c r="F59" s="47">
        <f t="shared" si="7"/>
        <v>0</v>
      </c>
      <c r="G59" s="47">
        <f t="shared" si="7"/>
        <v>0</v>
      </c>
      <c r="H59" s="47">
        <f t="shared" si="7"/>
        <v>0</v>
      </c>
      <c r="I59" s="47">
        <f t="shared" si="7"/>
        <v>0</v>
      </c>
      <c r="J59" s="47">
        <f t="shared" si="7"/>
        <v>0</v>
      </c>
      <c r="K59" s="47">
        <f aca="true" t="shared" si="8" ref="K59:W59">SUM(K35:K58)</f>
        <v>0</v>
      </c>
      <c r="L59" s="47">
        <f t="shared" si="8"/>
        <v>0</v>
      </c>
      <c r="M59" s="47">
        <f t="shared" si="8"/>
        <v>0</v>
      </c>
      <c r="N59" s="47">
        <f t="shared" si="8"/>
        <v>0</v>
      </c>
      <c r="O59" s="47">
        <f t="shared" si="8"/>
        <v>0</v>
      </c>
      <c r="P59" s="47">
        <f t="shared" si="8"/>
        <v>0</v>
      </c>
      <c r="Q59" s="47">
        <f t="shared" si="8"/>
        <v>0</v>
      </c>
      <c r="R59" s="47">
        <f t="shared" si="8"/>
        <v>0</v>
      </c>
      <c r="S59" s="47">
        <f t="shared" si="8"/>
        <v>0</v>
      </c>
      <c r="T59" s="47">
        <f t="shared" si="8"/>
        <v>0</v>
      </c>
      <c r="U59" s="47">
        <f t="shared" si="8"/>
        <v>0</v>
      </c>
      <c r="V59" s="151">
        <f t="shared" si="8"/>
        <v>0</v>
      </c>
      <c r="W59" s="48">
        <f t="shared" si="8"/>
        <v>0</v>
      </c>
    </row>
    <row r="60" spans="1:23" ht="24.75" customHeight="1" hidden="1" thickTop="1">
      <c r="A60" s="51"/>
      <c r="B60" s="40"/>
      <c r="C60" s="52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6"/>
      <c r="W60" s="37">
        <f t="shared" si="0"/>
        <v>0</v>
      </c>
    </row>
    <row r="61" spans="1:23" ht="24.75" customHeight="1" hidden="1">
      <c r="A61" s="51"/>
      <c r="B61" s="40"/>
      <c r="C61" s="52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6"/>
      <c r="W61" s="37">
        <f t="shared" si="0"/>
        <v>0</v>
      </c>
    </row>
    <row r="62" spans="1:23" ht="24.75" customHeight="1" hidden="1">
      <c r="A62" s="51"/>
      <c r="B62" s="41"/>
      <c r="C62" s="52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6"/>
      <c r="W62" s="37">
        <f t="shared" si="0"/>
        <v>0</v>
      </c>
    </row>
    <row r="63" spans="1:23" ht="24.75" customHeight="1" hidden="1">
      <c r="A63" s="51"/>
      <c r="B63" s="41"/>
      <c r="C63" s="52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6"/>
      <c r="W63" s="37">
        <f t="shared" si="0"/>
        <v>0</v>
      </c>
    </row>
    <row r="64" spans="1:23" ht="24.75" customHeight="1" hidden="1">
      <c r="A64" s="51"/>
      <c r="B64" s="41"/>
      <c r="C64" s="52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6"/>
      <c r="W64" s="37">
        <f t="shared" si="0"/>
        <v>0</v>
      </c>
    </row>
    <row r="65" spans="1:23" ht="24.75" customHeight="1" hidden="1">
      <c r="A65" s="51"/>
      <c r="B65" s="41"/>
      <c r="C65" s="52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6"/>
      <c r="W65" s="37">
        <f t="shared" si="0"/>
        <v>0</v>
      </c>
    </row>
    <row r="66" spans="1:23" ht="24.75" customHeight="1" hidden="1">
      <c r="A66" s="51"/>
      <c r="B66" s="41"/>
      <c r="C66" s="52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6"/>
      <c r="W66" s="37">
        <f t="shared" si="0"/>
        <v>0</v>
      </c>
    </row>
    <row r="67" spans="1:23" ht="24.75" customHeight="1" hidden="1">
      <c r="A67" s="51"/>
      <c r="B67" s="40"/>
      <c r="C67" s="52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6"/>
      <c r="W67" s="37">
        <f t="shared" si="0"/>
        <v>0</v>
      </c>
    </row>
    <row r="68" spans="1:23" ht="24.75" customHeight="1" hidden="1">
      <c r="A68" s="51"/>
      <c r="B68" s="40"/>
      <c r="C68" s="52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6"/>
      <c r="W68" s="37">
        <f t="shared" si="0"/>
        <v>0</v>
      </c>
    </row>
    <row r="69" spans="1:23" ht="24.75" customHeight="1" hidden="1">
      <c r="A69" s="51"/>
      <c r="B69" s="40"/>
      <c r="C69" s="52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6"/>
      <c r="W69" s="37">
        <f t="shared" si="0"/>
        <v>0</v>
      </c>
    </row>
    <row r="70" spans="1:23" ht="24.75" customHeight="1" hidden="1" thickBot="1">
      <c r="A70" s="51"/>
      <c r="B70" s="41"/>
      <c r="C70" s="43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6"/>
      <c r="W70" s="37"/>
    </row>
    <row r="71" spans="1:23" ht="24.75" customHeight="1" hidden="1" thickBot="1" thickTop="1">
      <c r="A71" s="53"/>
      <c r="B71" s="150" t="s">
        <v>146</v>
      </c>
      <c r="C71" s="55" t="s">
        <v>65</v>
      </c>
      <c r="D71" s="47">
        <f aca="true" t="shared" si="9" ref="D71:O71">SUM(D60:D63)</f>
        <v>0</v>
      </c>
      <c r="E71" s="47">
        <f t="shared" si="9"/>
        <v>0</v>
      </c>
      <c r="F71" s="47">
        <f t="shared" si="9"/>
        <v>0</v>
      </c>
      <c r="G71" s="47">
        <f t="shared" si="9"/>
        <v>0</v>
      </c>
      <c r="H71" s="47">
        <f t="shared" si="9"/>
        <v>0</v>
      </c>
      <c r="I71" s="47">
        <f t="shared" si="9"/>
        <v>0</v>
      </c>
      <c r="J71" s="47">
        <f t="shared" si="9"/>
        <v>0</v>
      </c>
      <c r="K71" s="47">
        <f t="shared" si="9"/>
        <v>0</v>
      </c>
      <c r="L71" s="47">
        <f t="shared" si="9"/>
        <v>0</v>
      </c>
      <c r="M71" s="47">
        <f t="shared" si="9"/>
        <v>0</v>
      </c>
      <c r="N71" s="47">
        <f t="shared" si="9"/>
        <v>0</v>
      </c>
      <c r="O71" s="47">
        <f t="shared" si="9"/>
        <v>0</v>
      </c>
      <c r="P71" s="47">
        <f>SUM(P60:P63)</f>
        <v>0</v>
      </c>
      <c r="Q71" s="47">
        <f aca="true" t="shared" si="10" ref="Q71:W71">SUM(Q60:Q63)</f>
        <v>0</v>
      </c>
      <c r="R71" s="47">
        <f t="shared" si="10"/>
        <v>0</v>
      </c>
      <c r="S71" s="47">
        <f t="shared" si="10"/>
        <v>0</v>
      </c>
      <c r="T71" s="47">
        <f t="shared" si="10"/>
        <v>0</v>
      </c>
      <c r="U71" s="47">
        <f t="shared" si="10"/>
        <v>0</v>
      </c>
      <c r="V71" s="151">
        <f t="shared" si="10"/>
        <v>0</v>
      </c>
      <c r="W71" s="48">
        <f t="shared" si="10"/>
        <v>0</v>
      </c>
    </row>
    <row r="72" spans="1:23" ht="24.75" customHeight="1" hidden="1" thickTop="1">
      <c r="A72" s="171"/>
      <c r="B72" s="172" t="s">
        <v>69</v>
      </c>
      <c r="C72" s="173" t="s">
        <v>66</v>
      </c>
      <c r="D72" s="167">
        <f>D34+D59+D71</f>
        <v>141500</v>
      </c>
      <c r="E72" s="167">
        <f aca="true" t="shared" si="11" ref="E72:K72">E34+E59+E71</f>
        <v>1328165</v>
      </c>
      <c r="F72" s="167">
        <f t="shared" si="11"/>
        <v>446199</v>
      </c>
      <c r="G72" s="167">
        <f t="shared" si="11"/>
        <v>188575</v>
      </c>
      <c r="H72" s="167">
        <f t="shared" si="11"/>
        <v>6508908</v>
      </c>
      <c r="I72" s="167">
        <f t="shared" si="11"/>
        <v>1125568</v>
      </c>
      <c r="J72" s="167">
        <f t="shared" si="11"/>
        <v>425091</v>
      </c>
      <c r="K72" s="167">
        <f t="shared" si="11"/>
        <v>31500</v>
      </c>
      <c r="L72" s="167">
        <f aca="true" t="shared" si="12" ref="L72:W72">L34+L59+L71</f>
        <v>3397394</v>
      </c>
      <c r="M72" s="167">
        <f t="shared" si="12"/>
        <v>0</v>
      </c>
      <c r="N72" s="167">
        <f t="shared" si="12"/>
        <v>1324402</v>
      </c>
      <c r="O72" s="167">
        <f t="shared" si="12"/>
        <v>720000</v>
      </c>
      <c r="P72" s="167">
        <f t="shared" si="12"/>
        <v>95510.512</v>
      </c>
      <c r="Q72" s="167">
        <f t="shared" si="12"/>
        <v>328</v>
      </c>
      <c r="R72" s="167">
        <f t="shared" si="12"/>
        <v>0</v>
      </c>
      <c r="S72" s="167">
        <f t="shared" si="12"/>
        <v>0</v>
      </c>
      <c r="T72" s="167">
        <f t="shared" si="12"/>
        <v>34000</v>
      </c>
      <c r="U72" s="167">
        <f t="shared" si="12"/>
        <v>0</v>
      </c>
      <c r="V72" s="168">
        <f t="shared" si="12"/>
        <v>3572697</v>
      </c>
      <c r="W72" s="177">
        <f t="shared" si="12"/>
        <v>19339837.512000002</v>
      </c>
    </row>
    <row r="73" spans="1:23" ht="24.75" customHeight="1" hidden="1">
      <c r="A73" s="175"/>
      <c r="B73" s="176"/>
      <c r="C73" s="29" t="s">
        <v>64</v>
      </c>
      <c r="D73" s="169">
        <v>112022</v>
      </c>
      <c r="E73" s="169">
        <v>562064</v>
      </c>
      <c r="F73" s="169">
        <v>346830</v>
      </c>
      <c r="G73" s="169">
        <v>376478</v>
      </c>
      <c r="H73" s="169">
        <v>6139250</v>
      </c>
      <c r="I73" s="169">
        <v>1011850</v>
      </c>
      <c r="J73" s="169">
        <v>561400</v>
      </c>
      <c r="K73" s="169">
        <v>85100</v>
      </c>
      <c r="L73" s="169">
        <v>3657882</v>
      </c>
      <c r="M73" s="169">
        <v>0</v>
      </c>
      <c r="N73" s="169">
        <v>8930412</v>
      </c>
      <c r="O73" s="169">
        <v>98713</v>
      </c>
      <c r="P73" s="169">
        <v>323338</v>
      </c>
      <c r="Q73" s="169">
        <v>3485</v>
      </c>
      <c r="R73" s="169">
        <v>753009</v>
      </c>
      <c r="S73" s="169">
        <v>34</v>
      </c>
      <c r="T73" s="169">
        <v>31500</v>
      </c>
      <c r="U73" s="169">
        <v>0</v>
      </c>
      <c r="V73" s="170">
        <v>5438535</v>
      </c>
      <c r="W73" s="178">
        <f>SUM(D73:V73)</f>
        <v>28431902</v>
      </c>
    </row>
    <row r="74" spans="1:24" ht="24.75" customHeight="1" hidden="1">
      <c r="A74" s="51">
        <v>1</v>
      </c>
      <c r="B74" s="174"/>
      <c r="C74" s="34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6"/>
      <c r="W74" s="37">
        <f aca="true" t="shared" si="13" ref="W74:W109">SUM(D74:V74)</f>
        <v>0</v>
      </c>
      <c r="X74" s="38"/>
    </row>
    <row r="75" spans="1:24" ht="33" customHeight="1" hidden="1">
      <c r="A75" s="51">
        <v>2</v>
      </c>
      <c r="B75" s="39"/>
      <c r="C75" s="34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6"/>
      <c r="W75" s="37">
        <f t="shared" si="13"/>
        <v>0</v>
      </c>
      <c r="X75" s="38"/>
    </row>
    <row r="76" spans="1:24" ht="33" customHeight="1" hidden="1">
      <c r="A76" s="51">
        <v>3</v>
      </c>
      <c r="B76" s="39"/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6"/>
      <c r="W76" s="37">
        <f t="shared" si="13"/>
        <v>0</v>
      </c>
      <c r="X76" s="38"/>
    </row>
    <row r="77" spans="1:23" ht="24.75" customHeight="1" hidden="1">
      <c r="A77" s="51">
        <v>4</v>
      </c>
      <c r="B77" s="39"/>
      <c r="C77" s="34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6"/>
      <c r="W77" s="37">
        <f t="shared" si="13"/>
        <v>0</v>
      </c>
    </row>
    <row r="78" spans="1:23" ht="24.75" customHeight="1" hidden="1">
      <c r="A78" s="51">
        <v>5</v>
      </c>
      <c r="B78" s="56"/>
      <c r="C78" s="42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6"/>
      <c r="W78" s="37">
        <f t="shared" si="13"/>
        <v>0</v>
      </c>
    </row>
    <row r="79" spans="1:23" ht="24.75" customHeight="1" hidden="1">
      <c r="A79" s="51">
        <v>6</v>
      </c>
      <c r="B79" s="39"/>
      <c r="C79" s="34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6"/>
      <c r="W79" s="37">
        <f t="shared" si="13"/>
        <v>0</v>
      </c>
    </row>
    <row r="80" spans="1:23" ht="24.75" customHeight="1" hidden="1">
      <c r="A80" s="51">
        <v>7</v>
      </c>
      <c r="B80" s="39"/>
      <c r="C80" s="34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6"/>
      <c r="W80" s="37">
        <f t="shared" si="13"/>
        <v>0</v>
      </c>
    </row>
    <row r="81" spans="1:23" ht="24.75" customHeight="1" hidden="1">
      <c r="A81" s="51">
        <v>8</v>
      </c>
      <c r="B81" s="39"/>
      <c r="C81" s="34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6"/>
      <c r="W81" s="37">
        <f t="shared" si="13"/>
        <v>0</v>
      </c>
    </row>
    <row r="82" spans="1:23" ht="24.75" customHeight="1" hidden="1">
      <c r="A82" s="51">
        <v>9</v>
      </c>
      <c r="B82" s="56"/>
      <c r="C82" s="42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6"/>
      <c r="W82" s="37">
        <f t="shared" si="13"/>
        <v>0</v>
      </c>
    </row>
    <row r="83" spans="1:23" ht="24.75" customHeight="1" hidden="1">
      <c r="A83" s="51">
        <v>10</v>
      </c>
      <c r="B83" s="56"/>
      <c r="C83" s="34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6"/>
      <c r="W83" s="37">
        <f t="shared" si="13"/>
        <v>0</v>
      </c>
    </row>
    <row r="84" spans="1:23" ht="24.75" customHeight="1" hidden="1">
      <c r="A84" s="51">
        <v>11</v>
      </c>
      <c r="B84" s="41"/>
      <c r="C84" s="43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6"/>
      <c r="W84" s="37">
        <f t="shared" si="13"/>
        <v>0</v>
      </c>
    </row>
    <row r="85" spans="1:23" ht="24.75" customHeight="1" hidden="1">
      <c r="A85" s="51">
        <v>12</v>
      </c>
      <c r="B85" s="40"/>
      <c r="C85" s="34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6"/>
      <c r="W85" s="37">
        <f t="shared" si="13"/>
        <v>0</v>
      </c>
    </row>
    <row r="86" spans="1:23" ht="24.75" customHeight="1" hidden="1">
      <c r="A86" s="51">
        <v>13</v>
      </c>
      <c r="B86" s="40"/>
      <c r="C86" s="34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6"/>
      <c r="W86" s="37">
        <f t="shared" si="13"/>
        <v>0</v>
      </c>
    </row>
    <row r="87" spans="1:23" ht="24.75" customHeight="1" hidden="1">
      <c r="A87" s="51">
        <v>14</v>
      </c>
      <c r="B87" s="40"/>
      <c r="C87" s="52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6"/>
      <c r="W87" s="37">
        <f t="shared" si="13"/>
        <v>0</v>
      </c>
    </row>
    <row r="88" spans="1:23" ht="24.75" customHeight="1" hidden="1">
      <c r="A88" s="51">
        <v>15</v>
      </c>
      <c r="B88" s="41"/>
      <c r="C88" s="43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6"/>
      <c r="W88" s="37">
        <f t="shared" si="13"/>
        <v>0</v>
      </c>
    </row>
    <row r="89" spans="1:23" ht="24.75" customHeight="1" hidden="1">
      <c r="A89" s="51">
        <v>16</v>
      </c>
      <c r="B89" s="114"/>
      <c r="C89" s="52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6"/>
      <c r="W89" s="37">
        <f t="shared" si="13"/>
        <v>0</v>
      </c>
    </row>
    <row r="90" spans="1:23" ht="24.75" customHeight="1" hidden="1">
      <c r="A90" s="51">
        <v>17</v>
      </c>
      <c r="B90" s="40"/>
      <c r="C90" s="52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6"/>
      <c r="W90" s="37">
        <f t="shared" si="13"/>
        <v>0</v>
      </c>
    </row>
    <row r="91" spans="1:23" ht="24.75" customHeight="1" hidden="1">
      <c r="A91" s="51">
        <v>18</v>
      </c>
      <c r="B91" s="41"/>
      <c r="C91" s="52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6"/>
      <c r="W91" s="37">
        <f t="shared" si="13"/>
        <v>0</v>
      </c>
    </row>
    <row r="92" spans="1:23" ht="24.75" customHeight="1" hidden="1">
      <c r="A92" s="51">
        <v>19</v>
      </c>
      <c r="B92" s="41"/>
      <c r="C92" s="52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6"/>
      <c r="W92" s="37">
        <f t="shared" si="13"/>
        <v>0</v>
      </c>
    </row>
    <row r="93" spans="1:23" ht="24.75" customHeight="1" hidden="1">
      <c r="A93" s="51">
        <v>20</v>
      </c>
      <c r="B93" s="191"/>
      <c r="C93" s="52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6"/>
      <c r="W93" s="37">
        <f t="shared" si="13"/>
        <v>0</v>
      </c>
    </row>
    <row r="94" spans="1:23" ht="24.75" customHeight="1" hidden="1">
      <c r="A94" s="51">
        <v>21</v>
      </c>
      <c r="B94" s="191"/>
      <c r="C94" s="52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6"/>
      <c r="W94" s="37">
        <f t="shared" si="13"/>
        <v>0</v>
      </c>
    </row>
    <row r="95" spans="1:23" ht="24.75" customHeight="1" hidden="1">
      <c r="A95" s="51">
        <v>22</v>
      </c>
      <c r="B95" s="191"/>
      <c r="C95" s="52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6"/>
      <c r="W95" s="37">
        <f t="shared" si="13"/>
        <v>0</v>
      </c>
    </row>
    <row r="96" spans="1:23" ht="24.75" customHeight="1" hidden="1">
      <c r="A96" s="51">
        <v>23</v>
      </c>
      <c r="B96" s="191"/>
      <c r="C96" s="52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6"/>
      <c r="W96" s="37">
        <f t="shared" si="13"/>
        <v>0</v>
      </c>
    </row>
    <row r="97" spans="1:23" ht="24.75" customHeight="1" hidden="1">
      <c r="A97" s="51">
        <v>24</v>
      </c>
      <c r="B97" s="191"/>
      <c r="C97" s="52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6"/>
      <c r="W97" s="37">
        <f t="shared" si="13"/>
        <v>0</v>
      </c>
    </row>
    <row r="98" spans="1:23" ht="24.75" customHeight="1" hidden="1">
      <c r="A98" s="51">
        <v>25</v>
      </c>
      <c r="B98" s="191"/>
      <c r="C98" s="52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6"/>
      <c r="W98" s="37">
        <f t="shared" si="13"/>
        <v>0</v>
      </c>
    </row>
    <row r="99" spans="1:23" ht="24.75" customHeight="1" hidden="1">
      <c r="A99" s="51">
        <v>26</v>
      </c>
      <c r="B99" s="191"/>
      <c r="C99" s="52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6"/>
      <c r="W99" s="37">
        <f t="shared" si="13"/>
        <v>0</v>
      </c>
    </row>
    <row r="100" spans="1:23" ht="24.75" customHeight="1" hidden="1">
      <c r="A100" s="51">
        <v>27</v>
      </c>
      <c r="B100" s="191"/>
      <c r="C100" s="52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6"/>
      <c r="W100" s="37">
        <f t="shared" si="13"/>
        <v>0</v>
      </c>
    </row>
    <row r="101" spans="1:23" ht="24.75" customHeight="1" hidden="1">
      <c r="A101" s="51">
        <v>28</v>
      </c>
      <c r="B101" s="191"/>
      <c r="C101" s="52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6"/>
      <c r="W101" s="37">
        <f t="shared" si="13"/>
        <v>0</v>
      </c>
    </row>
    <row r="102" spans="1:23" ht="24.75" customHeight="1" hidden="1">
      <c r="A102" s="51">
        <v>29</v>
      </c>
      <c r="B102" s="191"/>
      <c r="C102" s="52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6"/>
      <c r="W102" s="37">
        <f t="shared" si="13"/>
        <v>0</v>
      </c>
    </row>
    <row r="103" spans="1:23" ht="24.75" customHeight="1" hidden="1">
      <c r="A103" s="51">
        <v>30</v>
      </c>
      <c r="B103" s="191"/>
      <c r="C103" s="52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6"/>
      <c r="W103" s="37">
        <f t="shared" si="13"/>
        <v>0</v>
      </c>
    </row>
    <row r="104" spans="1:23" ht="24.75" customHeight="1" hidden="1">
      <c r="A104" s="51">
        <v>31</v>
      </c>
      <c r="B104" s="191"/>
      <c r="C104" s="52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6"/>
      <c r="W104" s="37">
        <f t="shared" si="13"/>
        <v>0</v>
      </c>
    </row>
    <row r="105" spans="1:23" ht="24.75" customHeight="1" hidden="1">
      <c r="A105" s="51">
        <v>32</v>
      </c>
      <c r="B105" s="191"/>
      <c r="C105" s="52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6"/>
      <c r="W105" s="37">
        <f t="shared" si="13"/>
        <v>0</v>
      </c>
    </row>
    <row r="106" spans="1:23" ht="24.75" customHeight="1" hidden="1">
      <c r="A106" s="51">
        <v>33</v>
      </c>
      <c r="B106" s="191"/>
      <c r="C106" s="52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6"/>
      <c r="W106" s="37">
        <f t="shared" si="13"/>
        <v>0</v>
      </c>
    </row>
    <row r="107" spans="1:23" ht="24.75" customHeight="1" hidden="1">
      <c r="A107" s="51">
        <v>34</v>
      </c>
      <c r="B107" s="191"/>
      <c r="C107" s="52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6"/>
      <c r="W107" s="37">
        <f>SUM(D107:V107)</f>
        <v>0</v>
      </c>
    </row>
    <row r="108" spans="1:23" ht="24.75" customHeight="1" hidden="1">
      <c r="A108" s="51">
        <v>35</v>
      </c>
      <c r="B108" s="191"/>
      <c r="C108" s="52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6"/>
      <c r="W108" s="37">
        <f t="shared" si="13"/>
        <v>0</v>
      </c>
    </row>
    <row r="109" spans="1:23" ht="24.75" customHeight="1" hidden="1">
      <c r="A109" s="51">
        <v>36</v>
      </c>
      <c r="B109" s="191"/>
      <c r="C109" s="52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6"/>
      <c r="W109" s="37">
        <f t="shared" si="13"/>
        <v>0</v>
      </c>
    </row>
    <row r="110" spans="1:23" ht="24.75" customHeight="1" hidden="1" thickBot="1">
      <c r="A110" s="51"/>
      <c r="B110" s="41"/>
      <c r="C110" s="43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6"/>
      <c r="W110" s="37"/>
    </row>
    <row r="111" spans="1:26" ht="24.75" customHeight="1" hidden="1" thickBot="1" thickTop="1">
      <c r="A111" s="57"/>
      <c r="B111" s="195" t="s">
        <v>150</v>
      </c>
      <c r="C111" s="55" t="s">
        <v>65</v>
      </c>
      <c r="D111" s="47">
        <f aca="true" t="shared" si="14" ref="D111:V111">SUM(D74:D110)</f>
        <v>0</v>
      </c>
      <c r="E111" s="47">
        <f t="shared" si="14"/>
        <v>0</v>
      </c>
      <c r="F111" s="47">
        <f t="shared" si="14"/>
        <v>0</v>
      </c>
      <c r="G111" s="47">
        <f t="shared" si="14"/>
        <v>0</v>
      </c>
      <c r="H111" s="47">
        <f t="shared" si="14"/>
        <v>0</v>
      </c>
      <c r="I111" s="47">
        <f t="shared" si="14"/>
        <v>0</v>
      </c>
      <c r="J111" s="47">
        <f t="shared" si="14"/>
        <v>0</v>
      </c>
      <c r="K111" s="47">
        <f t="shared" si="14"/>
        <v>0</v>
      </c>
      <c r="L111" s="47">
        <f t="shared" si="14"/>
        <v>0</v>
      </c>
      <c r="M111" s="47">
        <f t="shared" si="14"/>
        <v>0</v>
      </c>
      <c r="N111" s="47">
        <f t="shared" si="14"/>
        <v>0</v>
      </c>
      <c r="O111" s="47">
        <f t="shared" si="14"/>
        <v>0</v>
      </c>
      <c r="P111" s="47">
        <f t="shared" si="14"/>
        <v>0</v>
      </c>
      <c r="Q111" s="47">
        <f t="shared" si="14"/>
        <v>0</v>
      </c>
      <c r="R111" s="47">
        <f t="shared" si="14"/>
        <v>0</v>
      </c>
      <c r="S111" s="47">
        <f t="shared" si="14"/>
        <v>0</v>
      </c>
      <c r="T111" s="47">
        <f t="shared" si="14"/>
        <v>0</v>
      </c>
      <c r="U111" s="47">
        <f t="shared" si="14"/>
        <v>0</v>
      </c>
      <c r="V111" s="47">
        <f t="shared" si="14"/>
        <v>0</v>
      </c>
      <c r="W111" s="48">
        <f>SUM(D111:V111)</f>
        <v>0</v>
      </c>
      <c r="X111" s="196"/>
      <c r="Y111" s="2" t="s">
        <v>147</v>
      </c>
      <c r="Z111" s="2" t="s">
        <v>148</v>
      </c>
    </row>
    <row r="112" spans="1:27" ht="24.75" customHeight="1" hidden="1" thickBot="1" thickTop="1">
      <c r="A112" s="53"/>
      <c r="B112" s="54" t="s">
        <v>70</v>
      </c>
      <c r="C112" s="55" t="s">
        <v>66</v>
      </c>
      <c r="D112" s="47">
        <f aca="true" t="shared" si="15" ref="D112:L112">D72+D111</f>
        <v>141500</v>
      </c>
      <c r="E112" s="47">
        <f t="shared" si="15"/>
        <v>1328165</v>
      </c>
      <c r="F112" s="47">
        <f t="shared" si="15"/>
        <v>446199</v>
      </c>
      <c r="G112" s="47">
        <f t="shared" si="15"/>
        <v>188575</v>
      </c>
      <c r="H112" s="47">
        <f t="shared" si="15"/>
        <v>6508908</v>
      </c>
      <c r="I112" s="47">
        <f t="shared" si="15"/>
        <v>1125568</v>
      </c>
      <c r="J112" s="47">
        <f t="shared" si="15"/>
        <v>425091</v>
      </c>
      <c r="K112" s="47">
        <f t="shared" si="15"/>
        <v>31500</v>
      </c>
      <c r="L112" s="47">
        <f t="shared" si="15"/>
        <v>3397394</v>
      </c>
      <c r="M112" s="47">
        <f aca="true" t="shared" si="16" ref="M112:V112">M72+M111</f>
        <v>0</v>
      </c>
      <c r="N112" s="47">
        <f t="shared" si="16"/>
        <v>1324402</v>
      </c>
      <c r="O112" s="47">
        <f t="shared" si="16"/>
        <v>720000</v>
      </c>
      <c r="P112" s="47">
        <f t="shared" si="16"/>
        <v>95510.512</v>
      </c>
      <c r="Q112" s="47">
        <f t="shared" si="16"/>
        <v>328</v>
      </c>
      <c r="R112" s="47">
        <f t="shared" si="16"/>
        <v>0</v>
      </c>
      <c r="S112" s="47">
        <f t="shared" si="16"/>
        <v>0</v>
      </c>
      <c r="T112" s="47">
        <f t="shared" si="16"/>
        <v>34000</v>
      </c>
      <c r="U112" s="47">
        <f t="shared" si="16"/>
        <v>0</v>
      </c>
      <c r="V112" s="47">
        <f t="shared" si="16"/>
        <v>3572697</v>
      </c>
      <c r="W112" s="48">
        <f>SUM(D112:V112)</f>
        <v>19339837.512000002</v>
      </c>
      <c r="X112" s="196">
        <f>Y112-Z112-W112</f>
        <v>9329096.487999998</v>
      </c>
      <c r="Y112" s="38">
        <v>30811210</v>
      </c>
      <c r="Z112" s="38">
        <v>2142276</v>
      </c>
      <c r="AA112" s="38"/>
    </row>
    <row r="113" spans="1:23" ht="24.75" customHeight="1" hidden="1" thickTop="1">
      <c r="A113" s="51"/>
      <c r="B113" s="59" t="s">
        <v>71</v>
      </c>
      <c r="C113" s="60" t="s">
        <v>72</v>
      </c>
      <c r="D113" s="60"/>
      <c r="E113" s="60"/>
      <c r="F113" s="60"/>
      <c r="G113" s="60"/>
      <c r="H113" s="60"/>
      <c r="I113" s="60"/>
      <c r="J113" s="60"/>
      <c r="K113" s="60">
        <v>10000</v>
      </c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1"/>
      <c r="W113" s="37">
        <f aca="true" t="shared" si="17" ref="W113:W120">SUM(D113:V113)</f>
        <v>10000</v>
      </c>
    </row>
    <row r="114" spans="1:23" ht="24.75" customHeight="1" hidden="1">
      <c r="A114" s="51"/>
      <c r="B114" s="59" t="s">
        <v>73</v>
      </c>
      <c r="C114" s="60" t="s">
        <v>72</v>
      </c>
      <c r="D114" s="60"/>
      <c r="E114" s="60">
        <v>-103000</v>
      </c>
      <c r="F114" s="60">
        <v>-18506</v>
      </c>
      <c r="G114" s="60">
        <v>250000</v>
      </c>
      <c r="H114" s="60"/>
      <c r="I114" s="60"/>
      <c r="J114" s="60"/>
      <c r="K114" s="60">
        <v>15000</v>
      </c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1"/>
      <c r="W114" s="37">
        <f t="shared" si="17"/>
        <v>143494</v>
      </c>
    </row>
    <row r="115" spans="1:23" ht="24.75" customHeight="1" hidden="1">
      <c r="A115" s="51"/>
      <c r="B115" s="59" t="s">
        <v>151</v>
      </c>
      <c r="C115" s="60" t="s">
        <v>72</v>
      </c>
      <c r="D115" s="60"/>
      <c r="E115" s="60">
        <f>33333</f>
        <v>33333</v>
      </c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>
        <f>-25083-8250</f>
        <v>-33333</v>
      </c>
      <c r="Q115" s="60"/>
      <c r="R115" s="60"/>
      <c r="S115" s="60"/>
      <c r="T115" s="60"/>
      <c r="U115" s="60"/>
      <c r="V115" s="61"/>
      <c r="W115" s="37">
        <f t="shared" si="17"/>
        <v>0</v>
      </c>
    </row>
    <row r="116" spans="1:23" ht="24.75" customHeight="1" hidden="1">
      <c r="A116" s="51"/>
      <c r="B116" s="59" t="s">
        <v>74</v>
      </c>
      <c r="C116" s="60" t="s">
        <v>72</v>
      </c>
      <c r="D116" s="60"/>
      <c r="E116" s="60">
        <v>15506</v>
      </c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1"/>
      <c r="W116" s="37">
        <f t="shared" si="17"/>
        <v>15506</v>
      </c>
    </row>
    <row r="117" spans="1:23" ht="24.75" customHeight="1" hidden="1">
      <c r="A117" s="51"/>
      <c r="B117" s="59" t="s">
        <v>80</v>
      </c>
      <c r="C117" s="60" t="s">
        <v>72</v>
      </c>
      <c r="D117" s="60"/>
      <c r="E117" s="60">
        <v>-1050</v>
      </c>
      <c r="F117" s="60">
        <v>-170</v>
      </c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1"/>
      <c r="W117" s="37">
        <f t="shared" si="17"/>
        <v>-1220</v>
      </c>
    </row>
    <row r="118" spans="1:23" ht="24.75" customHeight="1" hidden="1">
      <c r="A118" s="51"/>
      <c r="B118" s="59" t="s">
        <v>81</v>
      </c>
      <c r="C118" s="60" t="s">
        <v>72</v>
      </c>
      <c r="D118" s="60"/>
      <c r="E118" s="60">
        <f>-81070</f>
        <v>-81070</v>
      </c>
      <c r="F118" s="60">
        <f>-15092-76666</f>
        <v>-91758</v>
      </c>
      <c r="G118" s="60"/>
      <c r="H118" s="60"/>
      <c r="I118" s="60"/>
      <c r="J118" s="60"/>
      <c r="K118" s="60"/>
      <c r="L118" s="60"/>
      <c r="M118" s="60"/>
      <c r="N118" s="60">
        <f>50681-550000-423332</f>
        <v>-922651</v>
      </c>
      <c r="O118" s="60"/>
      <c r="P118" s="60"/>
      <c r="Q118" s="60"/>
      <c r="R118" s="60"/>
      <c r="S118" s="60"/>
      <c r="T118" s="60"/>
      <c r="U118" s="60"/>
      <c r="V118" s="61"/>
      <c r="W118" s="37">
        <f t="shared" si="17"/>
        <v>-1095479</v>
      </c>
    </row>
    <row r="119" spans="1:23" ht="24.75" customHeight="1" hidden="1" thickBot="1">
      <c r="A119" s="51"/>
      <c r="B119" s="59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1"/>
      <c r="W119" s="37">
        <f t="shared" si="17"/>
        <v>0</v>
      </c>
    </row>
    <row r="120" spans="1:23" ht="24.75" customHeight="1" hidden="1" thickBot="1" thickTop="1">
      <c r="A120" s="58"/>
      <c r="B120" s="54"/>
      <c r="C120" s="55" t="s">
        <v>82</v>
      </c>
      <c r="D120" s="62">
        <f aca="true" t="shared" si="18" ref="D120:V120">SUM(D113:D119)</f>
        <v>0</v>
      </c>
      <c r="E120" s="62">
        <f t="shared" si="18"/>
        <v>-136281</v>
      </c>
      <c r="F120" s="62">
        <f t="shared" si="18"/>
        <v>-110434</v>
      </c>
      <c r="G120" s="62">
        <f t="shared" si="18"/>
        <v>250000</v>
      </c>
      <c r="H120" s="62">
        <f t="shared" si="18"/>
        <v>0</v>
      </c>
      <c r="I120" s="62">
        <f t="shared" si="18"/>
        <v>0</v>
      </c>
      <c r="J120" s="62">
        <f t="shared" si="18"/>
        <v>0</v>
      </c>
      <c r="K120" s="62">
        <f t="shared" si="18"/>
        <v>25000</v>
      </c>
      <c r="L120" s="62">
        <f t="shared" si="18"/>
        <v>0</v>
      </c>
      <c r="M120" s="62">
        <f t="shared" si="18"/>
        <v>0</v>
      </c>
      <c r="N120" s="62">
        <f t="shared" si="18"/>
        <v>-922651</v>
      </c>
      <c r="O120" s="62">
        <f t="shared" si="18"/>
        <v>0</v>
      </c>
      <c r="P120" s="62">
        <f t="shared" si="18"/>
        <v>-33333</v>
      </c>
      <c r="Q120" s="62">
        <f t="shared" si="18"/>
        <v>0</v>
      </c>
      <c r="R120" s="62">
        <f t="shared" si="18"/>
        <v>0</v>
      </c>
      <c r="S120" s="62">
        <f t="shared" si="18"/>
        <v>0</v>
      </c>
      <c r="T120" s="62">
        <f t="shared" si="18"/>
        <v>0</v>
      </c>
      <c r="U120" s="62">
        <f t="shared" si="18"/>
        <v>0</v>
      </c>
      <c r="V120" s="62">
        <f t="shared" si="18"/>
        <v>0</v>
      </c>
      <c r="W120" s="193">
        <f t="shared" si="17"/>
        <v>-927699</v>
      </c>
    </row>
    <row r="121" spans="1:27" ht="24.75" customHeight="1" hidden="1" thickBot="1" thickTop="1">
      <c r="A121" s="122"/>
      <c r="B121" s="122" t="s">
        <v>149</v>
      </c>
      <c r="C121" s="55" t="s">
        <v>66</v>
      </c>
      <c r="D121" s="47">
        <f aca="true" t="shared" si="19" ref="D121:W121">D112+D120</f>
        <v>141500</v>
      </c>
      <c r="E121" s="47">
        <f t="shared" si="19"/>
        <v>1191884</v>
      </c>
      <c r="F121" s="47">
        <f t="shared" si="19"/>
        <v>335765</v>
      </c>
      <c r="G121" s="47">
        <f t="shared" si="19"/>
        <v>438575</v>
      </c>
      <c r="H121" s="47">
        <f t="shared" si="19"/>
        <v>6508908</v>
      </c>
      <c r="I121" s="47">
        <f t="shared" si="19"/>
        <v>1125568</v>
      </c>
      <c r="J121" s="47">
        <f t="shared" si="19"/>
        <v>425091</v>
      </c>
      <c r="K121" s="47">
        <f t="shared" si="19"/>
        <v>56500</v>
      </c>
      <c r="L121" s="47">
        <f t="shared" si="19"/>
        <v>3397394</v>
      </c>
      <c r="M121" s="47">
        <f t="shared" si="19"/>
        <v>0</v>
      </c>
      <c r="N121" s="47">
        <f t="shared" si="19"/>
        <v>401751</v>
      </c>
      <c r="O121" s="47">
        <f t="shared" si="19"/>
        <v>720000</v>
      </c>
      <c r="P121" s="47">
        <f t="shared" si="19"/>
        <v>62177.512</v>
      </c>
      <c r="Q121" s="47">
        <f t="shared" si="19"/>
        <v>328</v>
      </c>
      <c r="R121" s="47">
        <f t="shared" si="19"/>
        <v>0</v>
      </c>
      <c r="S121" s="47">
        <f t="shared" si="19"/>
        <v>0</v>
      </c>
      <c r="T121" s="47">
        <f t="shared" si="19"/>
        <v>34000</v>
      </c>
      <c r="U121" s="47">
        <f t="shared" si="19"/>
        <v>0</v>
      </c>
      <c r="V121" s="47">
        <f t="shared" si="19"/>
        <v>3572697</v>
      </c>
      <c r="W121" s="47">
        <f t="shared" si="19"/>
        <v>18412138.512000002</v>
      </c>
      <c r="X121" s="196">
        <f>Y121-Z121-W121</f>
        <v>8905558.487999998</v>
      </c>
      <c r="Y121" s="2">
        <v>29522757</v>
      </c>
      <c r="Z121" s="2">
        <v>2205060</v>
      </c>
      <c r="AA121" s="38"/>
    </row>
    <row r="122" spans="1:23" ht="24.75" customHeight="1" hidden="1" thickTop="1">
      <c r="A122" s="51"/>
      <c r="B122" s="63"/>
      <c r="C122" s="42"/>
      <c r="D122" s="64"/>
      <c r="E122" s="35"/>
      <c r="F122" s="35"/>
      <c r="G122" s="35"/>
      <c r="H122" s="6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6"/>
      <c r="W122" s="37"/>
    </row>
    <row r="123" spans="1:23" ht="24.75" customHeight="1" hidden="1">
      <c r="A123" s="51"/>
      <c r="B123" s="63"/>
      <c r="C123" s="42"/>
      <c r="D123" s="64"/>
      <c r="E123" s="35"/>
      <c r="F123" s="35"/>
      <c r="G123" s="35"/>
      <c r="H123" s="6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6"/>
      <c r="W123" s="37"/>
    </row>
    <row r="124" spans="1:23" ht="24.75" customHeight="1" hidden="1">
      <c r="A124" s="51"/>
      <c r="B124" s="63"/>
      <c r="C124" s="42"/>
      <c r="D124" s="64"/>
      <c r="E124" s="35"/>
      <c r="F124" s="35"/>
      <c r="G124" s="35"/>
      <c r="H124" s="6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6"/>
      <c r="W124" s="37"/>
    </row>
    <row r="125" spans="1:23" ht="24.75" customHeight="1" hidden="1">
      <c r="A125" s="51"/>
      <c r="B125" s="63"/>
      <c r="C125" s="42"/>
      <c r="D125" s="64"/>
      <c r="E125" s="35"/>
      <c r="F125" s="35"/>
      <c r="G125" s="35"/>
      <c r="H125" s="6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6"/>
      <c r="W125" s="37"/>
    </row>
    <row r="126" spans="1:23" ht="24.75" customHeight="1" hidden="1">
      <c r="A126" s="51"/>
      <c r="B126" s="63"/>
      <c r="C126" s="42"/>
      <c r="D126" s="64"/>
      <c r="E126" s="35"/>
      <c r="F126" s="35"/>
      <c r="G126" s="35"/>
      <c r="H126" s="6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6"/>
      <c r="W126" s="37"/>
    </row>
    <row r="127" spans="1:23" ht="24.75" customHeight="1" hidden="1" thickBot="1">
      <c r="A127" s="51"/>
      <c r="B127" s="63"/>
      <c r="C127" s="49"/>
      <c r="D127" s="64"/>
      <c r="E127" s="35"/>
      <c r="F127" s="35"/>
      <c r="G127" s="35"/>
      <c r="H127" s="6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6"/>
      <c r="W127" s="37"/>
    </row>
    <row r="128" spans="1:23" ht="24.75" customHeight="1" hidden="1" thickBot="1" thickTop="1">
      <c r="A128" s="58"/>
      <c r="B128" s="54"/>
      <c r="C128" s="55" t="s">
        <v>83</v>
      </c>
      <c r="D128" s="66">
        <f aca="true" t="shared" si="20" ref="D128:P128">SUM(D113:D127)</f>
        <v>141500</v>
      </c>
      <c r="E128" s="67">
        <f t="shared" si="20"/>
        <v>919322</v>
      </c>
      <c r="F128" s="67">
        <f t="shared" si="20"/>
        <v>114897</v>
      </c>
      <c r="G128" s="67">
        <f t="shared" si="20"/>
        <v>938575</v>
      </c>
      <c r="H128" s="68">
        <f t="shared" si="20"/>
        <v>6508908</v>
      </c>
      <c r="I128" s="67">
        <f t="shared" si="20"/>
        <v>1125568</v>
      </c>
      <c r="J128" s="67">
        <f t="shared" si="20"/>
        <v>425091</v>
      </c>
      <c r="K128" s="67">
        <f t="shared" si="20"/>
        <v>106500</v>
      </c>
      <c r="L128" s="67">
        <f t="shared" si="20"/>
        <v>3397394</v>
      </c>
      <c r="M128" s="67">
        <f t="shared" si="20"/>
        <v>0</v>
      </c>
      <c r="N128" s="67">
        <f t="shared" si="20"/>
        <v>-1443551</v>
      </c>
      <c r="O128" s="67">
        <f t="shared" si="20"/>
        <v>720000</v>
      </c>
      <c r="P128" s="67">
        <f t="shared" si="20"/>
        <v>-4488.487999999998</v>
      </c>
      <c r="Q128" s="67"/>
      <c r="R128" s="67"/>
      <c r="S128" s="67">
        <f>SUM(S113:S127)</f>
        <v>0</v>
      </c>
      <c r="T128" s="67">
        <f>SUM(T113:T127)</f>
        <v>34000</v>
      </c>
      <c r="U128" s="67">
        <f>SUM(U113:U127)</f>
        <v>0</v>
      </c>
      <c r="V128" s="67">
        <f>SUM(V113:V127)</f>
        <v>3572697</v>
      </c>
      <c r="W128" s="69">
        <f>SUM(D128:V128)</f>
        <v>16556412.512</v>
      </c>
    </row>
    <row r="129" spans="1:23" ht="24.75" customHeight="1" hidden="1" thickBot="1" thickTop="1">
      <c r="A129" s="58"/>
      <c r="B129" s="54"/>
      <c r="C129" s="55" t="s">
        <v>84</v>
      </c>
      <c r="D129" s="66" t="e">
        <f>#REF!+D128</f>
        <v>#REF!</v>
      </c>
      <c r="E129" s="67" t="e">
        <f>#REF!+E128</f>
        <v>#REF!</v>
      </c>
      <c r="F129" s="67" t="e">
        <f>#REF!+F128</f>
        <v>#REF!</v>
      </c>
      <c r="G129" s="67" t="e">
        <f>#REF!+G128</f>
        <v>#REF!</v>
      </c>
      <c r="H129" s="68" t="e">
        <f>#REF!+H128</f>
        <v>#REF!</v>
      </c>
      <c r="I129" s="67" t="e">
        <f>#REF!+I128</f>
        <v>#REF!</v>
      </c>
      <c r="J129" s="67" t="e">
        <f>#REF!+J128</f>
        <v>#REF!</v>
      </c>
      <c r="K129" s="67" t="e">
        <f>#REF!+K128</f>
        <v>#REF!</v>
      </c>
      <c r="L129" s="67" t="e">
        <f>#REF!+L128</f>
        <v>#REF!</v>
      </c>
      <c r="M129" s="67" t="e">
        <f>#REF!+M128</f>
        <v>#REF!</v>
      </c>
      <c r="N129" s="67" t="e">
        <f>#REF!+N128</f>
        <v>#REF!</v>
      </c>
      <c r="O129" s="67" t="e">
        <f>#REF!+O128</f>
        <v>#REF!</v>
      </c>
      <c r="P129" s="67" t="e">
        <f>#REF!+P128</f>
        <v>#REF!</v>
      </c>
      <c r="Q129" s="67"/>
      <c r="R129" s="67"/>
      <c r="S129" s="67" t="e">
        <f>#REF!+S128</f>
        <v>#REF!</v>
      </c>
      <c r="T129" s="67" t="e">
        <f>#REF!+T128</f>
        <v>#REF!</v>
      </c>
      <c r="U129" s="67" t="e">
        <f>#REF!+U128</f>
        <v>#REF!</v>
      </c>
      <c r="V129" s="70" t="e">
        <f>#REF!+V128</f>
        <v>#REF!</v>
      </c>
      <c r="W129" s="69" t="e">
        <f>#REF!+W128</f>
        <v>#REF!</v>
      </c>
    </row>
    <row r="130" spans="1:23" ht="24.75" customHeight="1" hidden="1" thickTop="1">
      <c r="A130" s="51"/>
      <c r="B130" s="63"/>
      <c r="C130" s="71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6"/>
      <c r="W130" s="37">
        <f>SUM(D130:V130)</f>
        <v>0</v>
      </c>
    </row>
    <row r="131" spans="1:23" ht="24.75" customHeight="1" hidden="1">
      <c r="A131" s="51"/>
      <c r="B131" s="63"/>
      <c r="C131" s="71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6"/>
      <c r="W131" s="37">
        <f>SUM(D131:V131)</f>
        <v>0</v>
      </c>
    </row>
    <row r="132" ht="24.75" customHeight="1" hidden="1" thickTop="1"/>
    <row r="133" ht="24.75" customHeight="1" thickTop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430" ht="16.5">
      <c r="I430" s="72">
        <f>-10437-1367-86-236+13-6357-200+31+71-310-1500-799-55-443-3970</f>
        <v>-25645</v>
      </c>
    </row>
  </sheetData>
  <mergeCells count="5">
    <mergeCell ref="A2:W2"/>
    <mergeCell ref="A3:W3"/>
    <mergeCell ref="D6:V6"/>
    <mergeCell ref="H7:K7"/>
    <mergeCell ref="D7:G7"/>
  </mergeCells>
  <printOptions horizontalCentered="1" verticalCentered="1"/>
  <pageMargins left="0.15763888888888888" right="0" top="0.39" bottom="2.55" header="0.28" footer="0.32"/>
  <pageSetup horizontalDpi="300" verticalDpi="3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56"/>
  <sheetViews>
    <sheetView tabSelected="1" zoomScale="75" zoomScaleNormal="75" workbookViewId="0" topLeftCell="A23">
      <selection activeCell="I15" sqref="I15"/>
    </sheetView>
  </sheetViews>
  <sheetFormatPr defaultColWidth="9.140625" defaultRowHeight="12.75"/>
  <cols>
    <col min="1" max="1" width="5.7109375" style="123" customWidth="1"/>
    <col min="2" max="2" width="7.421875" style="1" hidden="1" customWidth="1"/>
    <col min="3" max="3" width="57.7109375" style="2" customWidth="1"/>
    <col min="4" max="20" width="13.421875" style="2" customWidth="1"/>
    <col min="21" max="21" width="15.421875" style="74" customWidth="1"/>
    <col min="22" max="22" width="12.28125" style="74" customWidth="1"/>
    <col min="23" max="23" width="13.57421875" style="74" customWidth="1"/>
    <col min="24" max="24" width="12.28125" style="74" customWidth="1"/>
    <col min="25" max="27" width="10.421875" style="74" customWidth="1"/>
    <col min="28" max="28" width="12.28125" style="74" customWidth="1"/>
    <col min="29" max="29" width="14.00390625" style="74" customWidth="1"/>
    <col min="30" max="30" width="12.28125" style="74" customWidth="1"/>
    <col min="31" max="32" width="10.421875" style="74" customWidth="1"/>
    <col min="33" max="33" width="12.28125" style="74" customWidth="1"/>
    <col min="34" max="34" width="9.140625" style="74" customWidth="1"/>
    <col min="35" max="36" width="10.421875" style="74" customWidth="1"/>
    <col min="37" max="37" width="12.28125" style="74" customWidth="1"/>
    <col min="38" max="38" width="12.7109375" style="74" customWidth="1"/>
    <col min="39" max="16384" width="9.140625" style="2" customWidth="1"/>
  </cols>
  <sheetData>
    <row r="1" spans="1:21" ht="16.5">
      <c r="A1" s="271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1" ht="29.25" customHeight="1">
      <c r="A2" s="271" t="s">
        <v>210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</row>
    <row r="3" spans="1:21" ht="17.25" customHeight="1" thickBo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6" t="s">
        <v>1</v>
      </c>
    </row>
    <row r="4" spans="1:38" ht="17.25" thickBot="1">
      <c r="A4" s="76"/>
      <c r="B4" s="8"/>
      <c r="C4" s="9"/>
      <c r="D4" s="272" t="s">
        <v>85</v>
      </c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</row>
    <row r="5" spans="1:38" ht="17.25" customHeight="1" thickBot="1" thickTop="1">
      <c r="A5" s="78"/>
      <c r="B5" s="12"/>
      <c r="C5" s="13"/>
      <c r="D5" s="268" t="s">
        <v>86</v>
      </c>
      <c r="E5" s="269"/>
      <c r="F5" s="269"/>
      <c r="G5" s="269"/>
      <c r="H5" s="269"/>
      <c r="I5" s="269"/>
      <c r="J5" s="269"/>
      <c r="K5" s="270"/>
      <c r="L5" s="268" t="s">
        <v>87</v>
      </c>
      <c r="M5" s="269"/>
      <c r="N5" s="269"/>
      <c r="O5" s="269"/>
      <c r="P5" s="269"/>
      <c r="Q5" s="269"/>
      <c r="R5" s="270"/>
      <c r="S5" s="13"/>
      <c r="T5" s="79"/>
      <c r="U5" s="133" t="s">
        <v>5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77"/>
    </row>
    <row r="6" spans="1:38" ht="17.25" thickTop="1">
      <c r="A6" s="78" t="s">
        <v>88</v>
      </c>
      <c r="B6" s="12"/>
      <c r="C6" s="13" t="s">
        <v>6</v>
      </c>
      <c r="D6" s="80"/>
      <c r="E6" s="80"/>
      <c r="F6" s="81"/>
      <c r="G6" s="81"/>
      <c r="H6" s="81" t="s">
        <v>89</v>
      </c>
      <c r="I6" s="81" t="s">
        <v>90</v>
      </c>
      <c r="J6" s="81" t="s">
        <v>18</v>
      </c>
      <c r="K6" s="81" t="s">
        <v>19</v>
      </c>
      <c r="L6" s="81" t="s">
        <v>18</v>
      </c>
      <c r="M6" s="81" t="s">
        <v>20</v>
      </c>
      <c r="N6" s="81" t="s">
        <v>91</v>
      </c>
      <c r="O6" s="81" t="s">
        <v>92</v>
      </c>
      <c r="P6" s="82" t="s">
        <v>93</v>
      </c>
      <c r="Q6" s="82" t="s">
        <v>17</v>
      </c>
      <c r="R6" s="81"/>
      <c r="S6" s="20"/>
      <c r="T6" s="4" t="s">
        <v>94</v>
      </c>
      <c r="U6" s="134" t="s">
        <v>95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262"/>
      <c r="AG6" s="262"/>
      <c r="AH6" s="4"/>
      <c r="AI6" s="4"/>
      <c r="AJ6" s="4"/>
      <c r="AK6" s="4"/>
      <c r="AL6" s="77"/>
    </row>
    <row r="7" spans="1:38" ht="16.5" customHeight="1">
      <c r="A7" s="78" t="s">
        <v>96</v>
      </c>
      <c r="B7" s="12"/>
      <c r="C7" s="13" t="s">
        <v>25</v>
      </c>
      <c r="D7" s="81" t="s">
        <v>97</v>
      </c>
      <c r="E7" s="81" t="s">
        <v>98</v>
      </c>
      <c r="F7" s="81" t="s">
        <v>99</v>
      </c>
      <c r="G7" s="81" t="s">
        <v>100</v>
      </c>
      <c r="H7" s="81" t="s">
        <v>101</v>
      </c>
      <c r="I7" s="81" t="s">
        <v>102</v>
      </c>
      <c r="J7" s="81" t="s">
        <v>38</v>
      </c>
      <c r="K7" s="81" t="s">
        <v>39</v>
      </c>
      <c r="L7" s="81" t="s">
        <v>38</v>
      </c>
      <c r="M7" s="81" t="s">
        <v>39</v>
      </c>
      <c r="N7" s="81" t="s">
        <v>103</v>
      </c>
      <c r="O7" s="81" t="s">
        <v>103</v>
      </c>
      <c r="P7" s="81" t="s">
        <v>104</v>
      </c>
      <c r="Q7" s="81" t="s">
        <v>105</v>
      </c>
      <c r="R7" s="81" t="s">
        <v>41</v>
      </c>
      <c r="S7" s="13" t="s">
        <v>106</v>
      </c>
      <c r="T7" s="4" t="s">
        <v>107</v>
      </c>
      <c r="U7" s="134" t="s">
        <v>43</v>
      </c>
      <c r="V7" s="4"/>
      <c r="W7" s="200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77"/>
    </row>
    <row r="8" spans="1:38" ht="16.5">
      <c r="A8" s="78"/>
      <c r="B8" s="12"/>
      <c r="C8" s="13" t="s">
        <v>44</v>
      </c>
      <c r="D8" s="81" t="s">
        <v>108</v>
      </c>
      <c r="E8" s="81" t="s">
        <v>109</v>
      </c>
      <c r="F8" s="81" t="s">
        <v>103</v>
      </c>
      <c r="G8" s="81" t="s">
        <v>103</v>
      </c>
      <c r="H8" s="81" t="s">
        <v>110</v>
      </c>
      <c r="I8" s="81" t="s">
        <v>111</v>
      </c>
      <c r="J8" s="81" t="s">
        <v>49</v>
      </c>
      <c r="K8" s="81" t="s">
        <v>53</v>
      </c>
      <c r="L8" s="81" t="s">
        <v>54</v>
      </c>
      <c r="M8" s="81" t="s">
        <v>53</v>
      </c>
      <c r="N8" s="81" t="s">
        <v>112</v>
      </c>
      <c r="O8" s="81" t="s">
        <v>112</v>
      </c>
      <c r="P8" s="81" t="s">
        <v>113</v>
      </c>
      <c r="Q8" s="81" t="s">
        <v>114</v>
      </c>
      <c r="R8" s="81" t="s">
        <v>115</v>
      </c>
      <c r="S8" s="13"/>
      <c r="T8" s="4" t="s">
        <v>116</v>
      </c>
      <c r="U8" s="135" t="s">
        <v>145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77"/>
    </row>
    <row r="9" spans="1:38" ht="16.5">
      <c r="A9" s="78"/>
      <c r="B9" s="12"/>
      <c r="C9" s="13"/>
      <c r="D9" s="83"/>
      <c r="E9" s="81" t="s">
        <v>117</v>
      </c>
      <c r="F9" s="81"/>
      <c r="G9" s="82"/>
      <c r="H9" s="203" t="s">
        <v>118</v>
      </c>
      <c r="I9" s="203"/>
      <c r="J9" s="203" t="s">
        <v>119</v>
      </c>
      <c r="K9" s="84" t="s">
        <v>120</v>
      </c>
      <c r="L9" s="84" t="s">
        <v>119</v>
      </c>
      <c r="M9" s="81" t="s">
        <v>120</v>
      </c>
      <c r="N9" s="81"/>
      <c r="O9" s="81"/>
      <c r="P9" s="81"/>
      <c r="Q9" s="81"/>
      <c r="R9" s="81"/>
      <c r="S9" s="13"/>
      <c r="T9" s="4"/>
      <c r="U9" s="134"/>
      <c r="V9" s="85"/>
      <c r="W9" s="201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77"/>
    </row>
    <row r="10" spans="1:38" ht="16.5" hidden="1">
      <c r="A10" s="180"/>
      <c r="B10" s="157"/>
      <c r="C10" s="158"/>
      <c r="D10" s="159" t="s">
        <v>121</v>
      </c>
      <c r="E10" s="19">
        <v>53</v>
      </c>
      <c r="F10" s="19" t="s">
        <v>122</v>
      </c>
      <c r="G10" s="19">
        <v>57</v>
      </c>
      <c r="H10" s="13" t="s">
        <v>123</v>
      </c>
      <c r="I10" s="20">
        <v>588</v>
      </c>
      <c r="J10" s="20">
        <v>3731</v>
      </c>
      <c r="K10" s="181">
        <v>3811</v>
      </c>
      <c r="L10" s="181">
        <v>3741</v>
      </c>
      <c r="M10" s="181">
        <v>3821</v>
      </c>
      <c r="N10" s="182" t="s">
        <v>124</v>
      </c>
      <c r="O10" s="183" t="s">
        <v>125</v>
      </c>
      <c r="P10" s="158">
        <v>19</v>
      </c>
      <c r="Q10" s="158" t="s">
        <v>126</v>
      </c>
      <c r="R10" s="184" t="s">
        <v>127</v>
      </c>
      <c r="S10" s="158">
        <v>592</v>
      </c>
      <c r="T10" s="159">
        <v>3711</v>
      </c>
      <c r="U10" s="185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77"/>
    </row>
    <row r="11" spans="1:38" ht="18" customHeight="1">
      <c r="A11" s="186">
        <v>1</v>
      </c>
      <c r="B11" s="187"/>
      <c r="C11" s="165">
        <v>2</v>
      </c>
      <c r="D11" s="165">
        <v>3</v>
      </c>
      <c r="E11" s="165">
        <v>4</v>
      </c>
      <c r="F11" s="165">
        <v>5</v>
      </c>
      <c r="G11" s="165">
        <v>6</v>
      </c>
      <c r="H11" s="165">
        <v>7</v>
      </c>
      <c r="I11" s="165">
        <v>8</v>
      </c>
      <c r="J11" s="165">
        <v>9</v>
      </c>
      <c r="K11" s="165">
        <v>10</v>
      </c>
      <c r="L11" s="165">
        <v>11</v>
      </c>
      <c r="M11" s="165">
        <v>12</v>
      </c>
      <c r="N11" s="165">
        <v>13</v>
      </c>
      <c r="O11" s="165">
        <v>14</v>
      </c>
      <c r="P11" s="165">
        <v>15</v>
      </c>
      <c r="Q11" s="165">
        <v>16</v>
      </c>
      <c r="R11" s="165">
        <v>17</v>
      </c>
      <c r="S11" s="165">
        <v>18</v>
      </c>
      <c r="T11" s="188">
        <v>19</v>
      </c>
      <c r="U11" s="166">
        <v>20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262"/>
      <c r="AG11" s="262"/>
      <c r="AH11" s="4"/>
      <c r="AI11" s="4"/>
      <c r="AJ11" s="4"/>
      <c r="AK11" s="4"/>
      <c r="AL11" s="4"/>
    </row>
    <row r="12" spans="1:38" s="90" customFormat="1" ht="19.5" customHeight="1" hidden="1">
      <c r="A12" s="86"/>
      <c r="B12" s="247"/>
      <c r="C12" s="87" t="s">
        <v>206</v>
      </c>
      <c r="D12" s="248">
        <v>4850901</v>
      </c>
      <c r="E12" s="248">
        <v>1265878</v>
      </c>
      <c r="F12" s="248">
        <v>4436822</v>
      </c>
      <c r="G12" s="248">
        <v>245203</v>
      </c>
      <c r="H12" s="248">
        <v>404879</v>
      </c>
      <c r="I12" s="248">
        <v>38797</v>
      </c>
      <c r="J12" s="248">
        <v>15150</v>
      </c>
      <c r="K12" s="248">
        <v>123442</v>
      </c>
      <c r="L12" s="248">
        <v>67213</v>
      </c>
      <c r="M12" s="248">
        <v>155000</v>
      </c>
      <c r="N12" s="248">
        <v>40500</v>
      </c>
      <c r="O12" s="248">
        <v>1086463</v>
      </c>
      <c r="P12" s="248">
        <v>25200</v>
      </c>
      <c r="Q12" s="248">
        <v>0</v>
      </c>
      <c r="R12" s="248">
        <v>144828</v>
      </c>
      <c r="S12" s="248">
        <f>54500+145950+726000</f>
        <v>926450</v>
      </c>
      <c r="T12" s="249">
        <v>1493871</v>
      </c>
      <c r="U12" s="250">
        <f aca="true" t="shared" si="0" ref="U12:U42">SUM(D12:T12)</f>
        <v>15320597</v>
      </c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9"/>
    </row>
    <row r="13" spans="1:38" ht="19.5" customHeight="1" hidden="1">
      <c r="A13" s="91"/>
      <c r="B13" s="222" t="s">
        <v>154</v>
      </c>
      <c r="C13" s="52" t="s">
        <v>155</v>
      </c>
      <c r="D13" s="98"/>
      <c r="E13" s="98"/>
      <c r="F13" s="99">
        <f>-22637-5659+4414</f>
        <v>-23882</v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>
        <f>431746+23882</f>
        <v>455628</v>
      </c>
      <c r="T13" s="100"/>
      <c r="U13" s="113">
        <f t="shared" si="0"/>
        <v>431746</v>
      </c>
      <c r="V13" s="95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7"/>
    </row>
    <row r="14" spans="1:38" ht="19.5" customHeight="1">
      <c r="A14" s="256"/>
      <c r="B14" s="33"/>
      <c r="C14" s="29" t="s">
        <v>64</v>
      </c>
      <c r="D14" s="248">
        <f>SUM(D12:D13)</f>
        <v>4850901</v>
      </c>
      <c r="E14" s="248">
        <f aca="true" t="shared" si="1" ref="E14:U14">SUM(E12:E13)</f>
        <v>1265878</v>
      </c>
      <c r="F14" s="248">
        <f t="shared" si="1"/>
        <v>4412940</v>
      </c>
      <c r="G14" s="248">
        <f t="shared" si="1"/>
        <v>245203</v>
      </c>
      <c r="H14" s="248">
        <f t="shared" si="1"/>
        <v>404879</v>
      </c>
      <c r="I14" s="248">
        <f t="shared" si="1"/>
        <v>38797</v>
      </c>
      <c r="J14" s="248">
        <f t="shared" si="1"/>
        <v>15150</v>
      </c>
      <c r="K14" s="248">
        <f t="shared" si="1"/>
        <v>123442</v>
      </c>
      <c r="L14" s="248">
        <f t="shared" si="1"/>
        <v>67213</v>
      </c>
      <c r="M14" s="248">
        <f t="shared" si="1"/>
        <v>155000</v>
      </c>
      <c r="N14" s="248">
        <f t="shared" si="1"/>
        <v>40500</v>
      </c>
      <c r="O14" s="248">
        <f t="shared" si="1"/>
        <v>1086463</v>
      </c>
      <c r="P14" s="248">
        <f t="shared" si="1"/>
        <v>25200</v>
      </c>
      <c r="Q14" s="248">
        <f t="shared" si="1"/>
        <v>0</v>
      </c>
      <c r="R14" s="248">
        <f t="shared" si="1"/>
        <v>144828</v>
      </c>
      <c r="S14" s="248">
        <f t="shared" si="1"/>
        <v>1382078</v>
      </c>
      <c r="T14" s="248">
        <f t="shared" si="1"/>
        <v>1493871</v>
      </c>
      <c r="U14" s="250">
        <f t="shared" si="1"/>
        <v>15752343</v>
      </c>
      <c r="V14" s="95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8" ht="30" customHeight="1">
      <c r="A15" s="111">
        <v>1</v>
      </c>
      <c r="B15" s="222" t="s">
        <v>156</v>
      </c>
      <c r="C15" s="34" t="s">
        <v>157</v>
      </c>
      <c r="D15" s="99"/>
      <c r="E15" s="99"/>
      <c r="F15" s="99">
        <f>2428</f>
        <v>2428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>
        <f>-2428</f>
        <v>-2428</v>
      </c>
      <c r="T15" s="100"/>
      <c r="U15" s="113">
        <f t="shared" si="0"/>
        <v>0</v>
      </c>
      <c r="V15" s="95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7"/>
    </row>
    <row r="16" spans="1:38" ht="30" customHeight="1">
      <c r="A16" s="111">
        <v>2</v>
      </c>
      <c r="B16" s="222" t="s">
        <v>158</v>
      </c>
      <c r="C16" s="34" t="s">
        <v>159</v>
      </c>
      <c r="D16" s="99"/>
      <c r="E16" s="99"/>
      <c r="F16" s="99">
        <f>440+110</f>
        <v>550</v>
      </c>
      <c r="G16" s="99">
        <f>50</f>
        <v>50</v>
      </c>
      <c r="H16" s="99"/>
      <c r="I16" s="99"/>
      <c r="J16" s="99"/>
      <c r="K16" s="99"/>
      <c r="L16" s="99"/>
      <c r="M16" s="99"/>
      <c r="N16" s="99"/>
      <c r="O16" s="99">
        <f>320+80</f>
        <v>400</v>
      </c>
      <c r="P16" s="99"/>
      <c r="Q16" s="99"/>
      <c r="R16" s="99"/>
      <c r="S16" s="99">
        <f>-1000</f>
        <v>-1000</v>
      </c>
      <c r="T16" s="100"/>
      <c r="U16" s="113">
        <f t="shared" si="0"/>
        <v>0</v>
      </c>
      <c r="V16" s="95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7"/>
    </row>
    <row r="17" spans="1:38" ht="30" customHeight="1">
      <c r="A17" s="111">
        <v>3</v>
      </c>
      <c r="B17" s="222" t="s">
        <v>161</v>
      </c>
      <c r="C17" s="34" t="s">
        <v>160</v>
      </c>
      <c r="D17" s="99"/>
      <c r="E17" s="99"/>
      <c r="F17" s="99">
        <f>17+300+1126+57</f>
        <v>1500</v>
      </c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>
        <f>-1500</f>
        <v>-1500</v>
      </c>
      <c r="T17" s="100"/>
      <c r="U17" s="113">
        <f t="shared" si="0"/>
        <v>0</v>
      </c>
      <c r="V17" s="95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7"/>
    </row>
    <row r="18" spans="1:38" ht="30" customHeight="1">
      <c r="A18" s="111">
        <v>4</v>
      </c>
      <c r="B18" s="222" t="s">
        <v>162</v>
      </c>
      <c r="C18" s="34" t="s">
        <v>163</v>
      </c>
      <c r="D18" s="99">
        <f>1440</f>
        <v>1440</v>
      </c>
      <c r="E18" s="99">
        <f>347+22+7+14</f>
        <v>390</v>
      </c>
      <c r="F18" s="99">
        <f>4+29+21+50+150+40+754+50+2672</f>
        <v>3770</v>
      </c>
      <c r="G18" s="99">
        <f>200</f>
        <v>200</v>
      </c>
      <c r="H18" s="99"/>
      <c r="I18" s="99"/>
      <c r="J18" s="99"/>
      <c r="K18" s="99">
        <f>700</f>
        <v>700</v>
      </c>
      <c r="L18" s="99"/>
      <c r="M18" s="99"/>
      <c r="N18" s="99"/>
      <c r="O18" s="99">
        <f>400+100</f>
        <v>500</v>
      </c>
      <c r="P18" s="99"/>
      <c r="Q18" s="99"/>
      <c r="R18" s="99"/>
      <c r="S18" s="99">
        <f>-7000</f>
        <v>-7000</v>
      </c>
      <c r="T18" s="100"/>
      <c r="U18" s="113">
        <f t="shared" si="0"/>
        <v>0</v>
      </c>
      <c r="V18" s="95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7"/>
    </row>
    <row r="19" spans="1:38" ht="30" customHeight="1">
      <c r="A19" s="111">
        <v>5</v>
      </c>
      <c r="B19" s="222" t="s">
        <v>164</v>
      </c>
      <c r="C19" s="34" t="s">
        <v>165</v>
      </c>
      <c r="D19" s="99"/>
      <c r="E19" s="99"/>
      <c r="F19" s="99">
        <f>-215-22+127</f>
        <v>-110</v>
      </c>
      <c r="G19" s="99"/>
      <c r="H19" s="99"/>
      <c r="I19" s="99"/>
      <c r="J19" s="99"/>
      <c r="K19" s="99"/>
      <c r="L19" s="99"/>
      <c r="M19" s="99"/>
      <c r="N19" s="99"/>
      <c r="O19" s="99">
        <f>88+22</f>
        <v>110</v>
      </c>
      <c r="P19" s="99"/>
      <c r="Q19" s="99"/>
      <c r="R19" s="99"/>
      <c r="S19" s="99"/>
      <c r="T19" s="100"/>
      <c r="U19" s="113">
        <f t="shared" si="0"/>
        <v>0</v>
      </c>
      <c r="V19" s="95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7"/>
    </row>
    <row r="20" spans="1:38" ht="30" customHeight="1">
      <c r="A20" s="111">
        <v>6</v>
      </c>
      <c r="B20" s="222" t="s">
        <v>166</v>
      </c>
      <c r="C20" s="34" t="s">
        <v>167</v>
      </c>
      <c r="D20" s="99"/>
      <c r="E20" s="99"/>
      <c r="F20" s="99"/>
      <c r="G20" s="99"/>
      <c r="H20" s="99"/>
      <c r="I20" s="99"/>
      <c r="J20" s="99"/>
      <c r="K20" s="99">
        <f>300+50+50+50+200+100</f>
        <v>750</v>
      </c>
      <c r="L20" s="99"/>
      <c r="M20" s="99"/>
      <c r="N20" s="99"/>
      <c r="O20" s="99"/>
      <c r="P20" s="99"/>
      <c r="Q20" s="99"/>
      <c r="R20" s="99"/>
      <c r="S20" s="99">
        <f>-750</f>
        <v>-750</v>
      </c>
      <c r="T20" s="100"/>
      <c r="U20" s="113">
        <f t="shared" si="0"/>
        <v>0</v>
      </c>
      <c r="V20" s="95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7"/>
    </row>
    <row r="21" spans="1:38" ht="30" customHeight="1">
      <c r="A21" s="111">
        <v>7</v>
      </c>
      <c r="B21" s="223">
        <v>10</v>
      </c>
      <c r="C21" s="34" t="s">
        <v>168</v>
      </c>
      <c r="D21" s="99"/>
      <c r="E21" s="99"/>
      <c r="F21" s="99"/>
      <c r="G21" s="99"/>
      <c r="H21" s="99"/>
      <c r="I21" s="99"/>
      <c r="J21" s="99"/>
      <c r="K21" s="99">
        <f>100+50+200+100+150+150</f>
        <v>750</v>
      </c>
      <c r="L21" s="99"/>
      <c r="M21" s="99"/>
      <c r="N21" s="99"/>
      <c r="O21" s="99"/>
      <c r="P21" s="99"/>
      <c r="Q21" s="99"/>
      <c r="R21" s="99"/>
      <c r="S21" s="99">
        <f>-750</f>
        <v>-750</v>
      </c>
      <c r="T21" s="100"/>
      <c r="U21" s="113">
        <f t="shared" si="0"/>
        <v>0</v>
      </c>
      <c r="V21" s="95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7"/>
    </row>
    <row r="22" spans="1:38" ht="30" customHeight="1">
      <c r="A22" s="111">
        <v>8</v>
      </c>
      <c r="B22" s="223">
        <v>11</v>
      </c>
      <c r="C22" s="34" t="s">
        <v>177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>
        <f>-3400</f>
        <v>-3400</v>
      </c>
      <c r="T22" s="100">
        <f>3400</f>
        <v>3400</v>
      </c>
      <c r="U22" s="113">
        <f t="shared" si="0"/>
        <v>0</v>
      </c>
      <c r="V22" s="95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7"/>
    </row>
    <row r="23" spans="1:38" ht="30" customHeight="1">
      <c r="A23" s="111">
        <v>9</v>
      </c>
      <c r="B23" s="223">
        <v>12</v>
      </c>
      <c r="C23" s="34" t="s">
        <v>178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>
        <f>-1488</f>
        <v>-1488</v>
      </c>
      <c r="T23" s="100">
        <f>1488</f>
        <v>1488</v>
      </c>
      <c r="U23" s="113">
        <f t="shared" si="0"/>
        <v>0</v>
      </c>
      <c r="V23" s="95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7"/>
    </row>
    <row r="24" spans="1:38" ht="30" customHeight="1">
      <c r="A24" s="111">
        <v>10</v>
      </c>
      <c r="B24" s="223">
        <v>13</v>
      </c>
      <c r="C24" s="34" t="s">
        <v>169</v>
      </c>
      <c r="D24" s="99"/>
      <c r="E24" s="99"/>
      <c r="F24" s="99">
        <f>-1336-334-40-10</f>
        <v>-1720</v>
      </c>
      <c r="G24" s="99"/>
      <c r="H24" s="99"/>
      <c r="I24" s="99"/>
      <c r="J24" s="99"/>
      <c r="K24" s="99"/>
      <c r="L24" s="99"/>
      <c r="M24" s="99"/>
      <c r="N24" s="99">
        <f>1376+344</f>
        <v>1720</v>
      </c>
      <c r="O24" s="260"/>
      <c r="P24" s="99"/>
      <c r="Q24" s="99"/>
      <c r="R24" s="99"/>
      <c r="S24" s="99"/>
      <c r="T24" s="100"/>
      <c r="U24" s="113">
        <f t="shared" si="0"/>
        <v>0</v>
      </c>
      <c r="V24" s="95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7"/>
    </row>
    <row r="25" spans="1:38" ht="30" customHeight="1">
      <c r="A25" s="111">
        <v>11</v>
      </c>
      <c r="B25" s="223">
        <v>14</v>
      </c>
      <c r="C25" s="34" t="s">
        <v>170</v>
      </c>
      <c r="D25" s="99"/>
      <c r="E25" s="99"/>
      <c r="F25" s="99">
        <f>-1718-429</f>
        <v>-2147</v>
      </c>
      <c r="G25" s="99"/>
      <c r="H25" s="99"/>
      <c r="I25" s="99"/>
      <c r="J25" s="99"/>
      <c r="K25" s="99">
        <f>2147</f>
        <v>2147</v>
      </c>
      <c r="L25" s="99"/>
      <c r="M25" s="99"/>
      <c r="N25" s="99"/>
      <c r="O25" s="99"/>
      <c r="P25" s="99"/>
      <c r="Q25" s="99"/>
      <c r="R25" s="99"/>
      <c r="S25" s="99"/>
      <c r="T25" s="100"/>
      <c r="U25" s="113">
        <f t="shared" si="0"/>
        <v>0</v>
      </c>
      <c r="V25" s="95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7"/>
    </row>
    <row r="26" spans="1:38" ht="30" customHeight="1">
      <c r="A26" s="111">
        <v>12</v>
      </c>
      <c r="B26" s="223">
        <v>15</v>
      </c>
      <c r="C26" s="34" t="s">
        <v>171</v>
      </c>
      <c r="D26" s="99"/>
      <c r="E26" s="99"/>
      <c r="F26" s="99">
        <f>-569-142</f>
        <v>-711</v>
      </c>
      <c r="G26" s="99"/>
      <c r="H26" s="99"/>
      <c r="I26" s="99"/>
      <c r="J26" s="99"/>
      <c r="K26" s="99"/>
      <c r="L26" s="99"/>
      <c r="M26" s="99"/>
      <c r="N26" s="99"/>
      <c r="O26" s="99">
        <f>569+142</f>
        <v>711</v>
      </c>
      <c r="P26" s="99"/>
      <c r="Q26" s="99"/>
      <c r="R26" s="99"/>
      <c r="S26" s="99"/>
      <c r="T26" s="100"/>
      <c r="U26" s="113">
        <f t="shared" si="0"/>
        <v>0</v>
      </c>
      <c r="V26" s="95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7"/>
    </row>
    <row r="27" spans="1:38" ht="30" customHeight="1">
      <c r="A27" s="111">
        <v>13</v>
      </c>
      <c r="B27" s="223">
        <v>16</v>
      </c>
      <c r="C27" s="34" t="s">
        <v>172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>
        <f>2000+500</f>
        <v>2500</v>
      </c>
      <c r="P27" s="99"/>
      <c r="Q27" s="99"/>
      <c r="R27" s="99"/>
      <c r="S27" s="99">
        <f>-2500</f>
        <v>-2500</v>
      </c>
      <c r="T27" s="100"/>
      <c r="U27" s="113">
        <f t="shared" si="0"/>
        <v>0</v>
      </c>
      <c r="V27" s="95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7"/>
    </row>
    <row r="28" spans="1:38" ht="30" customHeight="1">
      <c r="A28" s="111">
        <v>14</v>
      </c>
      <c r="B28" s="224">
        <v>17</v>
      </c>
      <c r="C28" s="42" t="s">
        <v>173</v>
      </c>
      <c r="D28" s="99"/>
      <c r="E28" s="99"/>
      <c r="F28" s="99">
        <f>150</f>
        <v>150</v>
      </c>
      <c r="G28" s="99"/>
      <c r="H28" s="99"/>
      <c r="I28" s="99"/>
      <c r="J28" s="99"/>
      <c r="K28" s="99">
        <f>-150</f>
        <v>-150</v>
      </c>
      <c r="L28" s="99"/>
      <c r="M28" s="99"/>
      <c r="N28" s="99"/>
      <c r="O28" s="99"/>
      <c r="P28" s="99"/>
      <c r="Q28" s="99"/>
      <c r="R28" s="99"/>
      <c r="S28" s="99"/>
      <c r="T28" s="100"/>
      <c r="U28" s="113">
        <f t="shared" si="0"/>
        <v>0</v>
      </c>
      <c r="V28" s="95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7"/>
    </row>
    <row r="29" spans="1:38" ht="30" customHeight="1">
      <c r="A29" s="111">
        <v>15</v>
      </c>
      <c r="B29" s="223">
        <v>20</v>
      </c>
      <c r="C29" s="34" t="s">
        <v>175</v>
      </c>
      <c r="D29" s="99"/>
      <c r="E29" s="99"/>
      <c r="F29" s="99">
        <f>-144-36</f>
        <v>-180</v>
      </c>
      <c r="G29" s="99"/>
      <c r="H29" s="99"/>
      <c r="I29" s="99"/>
      <c r="J29" s="99"/>
      <c r="K29" s="99"/>
      <c r="L29" s="99"/>
      <c r="M29" s="99"/>
      <c r="N29" s="99"/>
      <c r="O29" s="99">
        <f>144+36</f>
        <v>180</v>
      </c>
      <c r="P29" s="99"/>
      <c r="Q29" s="99"/>
      <c r="R29" s="99"/>
      <c r="S29" s="99"/>
      <c r="T29" s="100"/>
      <c r="U29" s="113">
        <f t="shared" si="0"/>
        <v>0</v>
      </c>
      <c r="V29" s="95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7"/>
    </row>
    <row r="30" spans="1:38" ht="30" customHeight="1">
      <c r="A30" s="111">
        <v>16</v>
      </c>
      <c r="B30" s="223">
        <v>21</v>
      </c>
      <c r="C30" s="34" t="s">
        <v>176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>
        <f>3000+750</f>
        <v>3750</v>
      </c>
      <c r="P30" s="99"/>
      <c r="Q30" s="99"/>
      <c r="R30" s="99"/>
      <c r="S30" s="99">
        <f>-3750</f>
        <v>-3750</v>
      </c>
      <c r="T30" s="100"/>
      <c r="U30" s="113">
        <f t="shared" si="0"/>
        <v>0</v>
      </c>
      <c r="V30" s="95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7"/>
    </row>
    <row r="31" spans="1:38" ht="30" customHeight="1">
      <c r="A31" s="111">
        <v>17</v>
      </c>
      <c r="B31" s="223">
        <v>22</v>
      </c>
      <c r="C31" s="49" t="s">
        <v>179</v>
      </c>
      <c r="D31" s="99"/>
      <c r="E31" s="99"/>
      <c r="F31" s="99"/>
      <c r="G31" s="99"/>
      <c r="H31" s="99"/>
      <c r="I31" s="99"/>
      <c r="J31" s="99"/>
      <c r="K31" s="99"/>
      <c r="L31" s="99"/>
      <c r="M31" s="99">
        <f>1000</f>
        <v>1000</v>
      </c>
      <c r="N31" s="99"/>
      <c r="O31" s="99"/>
      <c r="P31" s="99"/>
      <c r="Q31" s="99"/>
      <c r="R31" s="99"/>
      <c r="S31" s="99">
        <f>-1000</f>
        <v>-1000</v>
      </c>
      <c r="T31" s="100"/>
      <c r="U31" s="113">
        <f t="shared" si="0"/>
        <v>0</v>
      </c>
      <c r="V31" s="95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7"/>
    </row>
    <row r="32" spans="1:38" ht="30" customHeight="1">
      <c r="A32" s="111">
        <v>18</v>
      </c>
      <c r="B32" s="223">
        <v>23</v>
      </c>
      <c r="C32" s="49" t="s">
        <v>181</v>
      </c>
      <c r="D32" s="99"/>
      <c r="E32" s="99"/>
      <c r="F32" s="99"/>
      <c r="G32" s="99"/>
      <c r="H32" s="99"/>
      <c r="I32" s="99"/>
      <c r="J32" s="99"/>
      <c r="K32" s="99">
        <f>100</f>
        <v>100</v>
      </c>
      <c r="L32" s="99"/>
      <c r="M32" s="99"/>
      <c r="N32" s="99"/>
      <c r="O32" s="99"/>
      <c r="P32" s="99"/>
      <c r="Q32" s="99"/>
      <c r="R32" s="99"/>
      <c r="S32" s="99">
        <f>-100</f>
        <v>-100</v>
      </c>
      <c r="T32" s="100"/>
      <c r="U32" s="113">
        <f t="shared" si="0"/>
        <v>0</v>
      </c>
      <c r="V32" s="95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7"/>
    </row>
    <row r="33" spans="1:38" ht="19.5" customHeight="1" hidden="1">
      <c r="A33" s="111">
        <v>0</v>
      </c>
      <c r="B33" s="223">
        <v>25</v>
      </c>
      <c r="C33" s="52" t="s">
        <v>184</v>
      </c>
      <c r="D33" s="255"/>
      <c r="E33" s="255"/>
      <c r="F33" s="255">
        <f>9.539+270+80+510+70</f>
        <v>939.539</v>
      </c>
      <c r="G33" s="255"/>
      <c r="H33" s="255"/>
      <c r="I33" s="255"/>
      <c r="J33" s="255">
        <f>190</f>
        <v>190</v>
      </c>
      <c r="K33" s="255">
        <f>180</f>
        <v>180</v>
      </c>
      <c r="L33" s="255"/>
      <c r="M33" s="255"/>
      <c r="N33" s="255"/>
      <c r="O33" s="255"/>
      <c r="P33" s="255"/>
      <c r="Q33" s="255"/>
      <c r="R33" s="255"/>
      <c r="S33" s="255"/>
      <c r="T33" s="255"/>
      <c r="U33" s="255">
        <f t="shared" si="0"/>
        <v>1309.539</v>
      </c>
      <c r="V33" s="95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7"/>
    </row>
    <row r="34" spans="1:38" ht="19.5" customHeight="1" hidden="1">
      <c r="A34" s="111">
        <v>0</v>
      </c>
      <c r="B34" s="223">
        <v>26</v>
      </c>
      <c r="C34" s="49" t="s">
        <v>186</v>
      </c>
      <c r="D34" s="255"/>
      <c r="E34" s="255"/>
      <c r="F34" s="255">
        <f>9.539+520+168+142+1670</f>
        <v>2509.5389999999998</v>
      </c>
      <c r="G34" s="255"/>
      <c r="H34" s="255"/>
      <c r="I34" s="255"/>
      <c r="J34" s="255">
        <f>885</f>
        <v>885</v>
      </c>
      <c r="K34" s="255">
        <f>415</f>
        <v>415</v>
      </c>
      <c r="L34" s="255"/>
      <c r="M34" s="255"/>
      <c r="N34" s="255"/>
      <c r="O34" s="255"/>
      <c r="P34" s="255"/>
      <c r="Q34" s="255"/>
      <c r="R34" s="255"/>
      <c r="S34" s="255"/>
      <c r="T34" s="255"/>
      <c r="U34" s="255">
        <f t="shared" si="0"/>
        <v>3809.5389999999998</v>
      </c>
      <c r="V34" s="95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7"/>
    </row>
    <row r="35" spans="1:38" ht="19.5" customHeight="1" hidden="1">
      <c r="A35" s="111">
        <v>0</v>
      </c>
      <c r="B35" s="223">
        <v>27</v>
      </c>
      <c r="C35" s="34" t="s">
        <v>188</v>
      </c>
      <c r="D35" s="255"/>
      <c r="E35" s="255"/>
      <c r="F35" s="255">
        <f>9.539-13.959+0.143+8.304+3.4+2.112-50</f>
        <v>-40.461</v>
      </c>
      <c r="G35" s="255"/>
      <c r="H35" s="255"/>
      <c r="I35" s="255"/>
      <c r="J35" s="255"/>
      <c r="K35" s="255">
        <f>1500+50</f>
        <v>1550</v>
      </c>
      <c r="L35" s="255"/>
      <c r="M35" s="255"/>
      <c r="N35" s="255"/>
      <c r="O35" s="255"/>
      <c r="P35" s="255"/>
      <c r="Q35" s="255"/>
      <c r="R35" s="255"/>
      <c r="S35" s="255"/>
      <c r="T35" s="255"/>
      <c r="U35" s="255">
        <f t="shared" si="0"/>
        <v>1509.539</v>
      </c>
      <c r="V35" s="95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7"/>
    </row>
    <row r="36" spans="1:38" ht="19.5" customHeight="1" hidden="1">
      <c r="A36" s="111">
        <v>0</v>
      </c>
      <c r="B36" s="223">
        <v>28</v>
      </c>
      <c r="C36" s="34" t="s">
        <v>190</v>
      </c>
      <c r="D36" s="255"/>
      <c r="E36" s="255"/>
      <c r="F36" s="255">
        <f>9.539</f>
        <v>9.539</v>
      </c>
      <c r="G36" s="255"/>
      <c r="H36" s="255"/>
      <c r="I36" s="255"/>
      <c r="J36" s="255"/>
      <c r="K36" s="255">
        <f>1200</f>
        <v>1200</v>
      </c>
      <c r="L36" s="255"/>
      <c r="M36" s="255"/>
      <c r="N36" s="255"/>
      <c r="O36" s="255"/>
      <c r="P36" s="255"/>
      <c r="Q36" s="255"/>
      <c r="R36" s="255"/>
      <c r="S36" s="255"/>
      <c r="T36" s="255"/>
      <c r="U36" s="255">
        <f t="shared" si="0"/>
        <v>1209.539</v>
      </c>
      <c r="V36" s="95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7"/>
    </row>
    <row r="37" spans="1:38" ht="19.5" customHeight="1" hidden="1">
      <c r="A37" s="111">
        <v>0</v>
      </c>
      <c r="B37" s="223">
        <v>29</v>
      </c>
      <c r="C37" s="52" t="s">
        <v>192</v>
      </c>
      <c r="D37" s="255"/>
      <c r="E37" s="255"/>
      <c r="F37" s="255"/>
      <c r="G37" s="255"/>
      <c r="H37" s="255"/>
      <c r="I37" s="255"/>
      <c r="J37" s="255">
        <f>530</f>
        <v>530</v>
      </c>
      <c r="K37" s="255">
        <f>9.539+1170</f>
        <v>1179.539</v>
      </c>
      <c r="L37" s="255"/>
      <c r="M37" s="255"/>
      <c r="N37" s="255"/>
      <c r="O37" s="255"/>
      <c r="P37" s="255"/>
      <c r="Q37" s="255"/>
      <c r="R37" s="255"/>
      <c r="S37" s="255"/>
      <c r="T37" s="255"/>
      <c r="U37" s="255">
        <f t="shared" si="0"/>
        <v>1709.539</v>
      </c>
      <c r="V37" s="95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7"/>
    </row>
    <row r="38" spans="1:38" ht="19.5" customHeight="1" hidden="1">
      <c r="A38" s="111">
        <v>0</v>
      </c>
      <c r="B38" s="223">
        <v>30</v>
      </c>
      <c r="C38" s="34" t="s">
        <v>194</v>
      </c>
      <c r="D38" s="255"/>
      <c r="E38" s="255"/>
      <c r="F38" s="255">
        <f>9.539+140+109.76+62.44+1500-20</f>
        <v>1801.739</v>
      </c>
      <c r="G38" s="255"/>
      <c r="H38" s="255"/>
      <c r="I38" s="255"/>
      <c r="J38" s="255"/>
      <c r="K38" s="255">
        <f>300+20</f>
        <v>320</v>
      </c>
      <c r="L38" s="255"/>
      <c r="M38" s="255"/>
      <c r="N38" s="255"/>
      <c r="O38" s="255"/>
      <c r="P38" s="255"/>
      <c r="Q38" s="255"/>
      <c r="R38" s="255"/>
      <c r="S38" s="255"/>
      <c r="T38" s="255"/>
      <c r="U38" s="255">
        <f t="shared" si="0"/>
        <v>2121.739</v>
      </c>
      <c r="V38" s="95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7"/>
    </row>
    <row r="39" spans="1:38" ht="19.5" customHeight="1" hidden="1">
      <c r="A39" s="111">
        <v>0</v>
      </c>
      <c r="B39" s="223">
        <v>31</v>
      </c>
      <c r="C39" s="52" t="s">
        <v>196</v>
      </c>
      <c r="D39" s="255">
        <f>195</f>
        <v>195</v>
      </c>
      <c r="E39" s="255"/>
      <c r="F39" s="255">
        <f>9.539+236+30+930+109-6</f>
        <v>1308.539</v>
      </c>
      <c r="G39" s="255">
        <f>6</f>
        <v>6</v>
      </c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>
        <f t="shared" si="0"/>
        <v>1509.539</v>
      </c>
      <c r="V39" s="95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7"/>
    </row>
    <row r="40" spans="1:38" ht="19.5" customHeight="1" hidden="1">
      <c r="A40" s="111">
        <v>0</v>
      </c>
      <c r="B40" s="223">
        <v>32</v>
      </c>
      <c r="C40" s="52" t="s">
        <v>198</v>
      </c>
      <c r="D40" s="255"/>
      <c r="E40" s="255"/>
      <c r="F40" s="255">
        <f>9.539+130+240-5+5</f>
        <v>379.539</v>
      </c>
      <c r="G40" s="255"/>
      <c r="H40" s="255"/>
      <c r="I40" s="255"/>
      <c r="J40" s="255">
        <f>50</f>
        <v>50</v>
      </c>
      <c r="K40" s="255">
        <f>580</f>
        <v>580</v>
      </c>
      <c r="L40" s="255"/>
      <c r="M40" s="255"/>
      <c r="N40" s="255"/>
      <c r="O40" s="255"/>
      <c r="P40" s="255"/>
      <c r="Q40" s="255"/>
      <c r="R40" s="255"/>
      <c r="S40" s="255"/>
      <c r="T40" s="255"/>
      <c r="U40" s="255">
        <f t="shared" si="0"/>
        <v>1009.539</v>
      </c>
      <c r="V40" s="95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7"/>
    </row>
    <row r="41" spans="1:38" ht="19.5" customHeight="1" hidden="1">
      <c r="A41" s="111">
        <v>0</v>
      </c>
      <c r="B41" s="223">
        <v>33</v>
      </c>
      <c r="C41" s="34" t="s">
        <v>200</v>
      </c>
      <c r="D41" s="255"/>
      <c r="E41" s="255"/>
      <c r="F41" s="255">
        <f>9.539+40+440+120</f>
        <v>609.539</v>
      </c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>
        <f t="shared" si="0"/>
        <v>609.539</v>
      </c>
      <c r="V41" s="95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7"/>
    </row>
    <row r="42" spans="1:38" ht="30" customHeight="1">
      <c r="A42" s="111">
        <v>19</v>
      </c>
      <c r="B42" s="223"/>
      <c r="C42" s="34" t="s">
        <v>207</v>
      </c>
      <c r="D42" s="99">
        <f>SUM(D33:D41)</f>
        <v>195</v>
      </c>
      <c r="E42" s="99">
        <f>SUM(E33:E41)</f>
        <v>0</v>
      </c>
      <c r="F42" s="99">
        <f>SUM(F33:F41)+0.488</f>
        <v>7518</v>
      </c>
      <c r="G42" s="99">
        <f>SUM(G33:G41)</f>
        <v>6</v>
      </c>
      <c r="H42" s="99">
        <f>SUM(H33:H41)</f>
        <v>0</v>
      </c>
      <c r="I42" s="99">
        <f>SUM(I33:I41)</f>
        <v>0</v>
      </c>
      <c r="J42" s="99">
        <f>SUM(J33:J41)</f>
        <v>1655</v>
      </c>
      <c r="K42" s="99">
        <f>SUM(K33:K41)-0.539</f>
        <v>5424</v>
      </c>
      <c r="L42" s="99"/>
      <c r="M42" s="99"/>
      <c r="N42" s="99"/>
      <c r="O42" s="99"/>
      <c r="P42" s="99"/>
      <c r="Q42" s="99"/>
      <c r="R42" s="99"/>
      <c r="S42" s="99"/>
      <c r="T42" s="99"/>
      <c r="U42" s="113">
        <f t="shared" si="0"/>
        <v>14798</v>
      </c>
      <c r="V42" s="95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7"/>
    </row>
    <row r="43" spans="1:21" ht="17.25" thickBot="1">
      <c r="A43" s="111"/>
      <c r="B43" s="197"/>
      <c r="C43" s="261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100"/>
      <c r="U43" s="113"/>
    </row>
    <row r="44" spans="1:21" ht="30" customHeight="1" thickBot="1" thickTop="1">
      <c r="A44" s="220"/>
      <c r="B44" s="120"/>
      <c r="C44" s="55" t="s">
        <v>65</v>
      </c>
      <c r="D44" s="116">
        <f aca="true" t="shared" si="2" ref="D44:U44">SUM(D15:D32)+D42</f>
        <v>1635</v>
      </c>
      <c r="E44" s="116">
        <f t="shared" si="2"/>
        <v>390</v>
      </c>
      <c r="F44" s="116">
        <f t="shared" si="2"/>
        <v>11048</v>
      </c>
      <c r="G44" s="116">
        <f t="shared" si="2"/>
        <v>256</v>
      </c>
      <c r="H44" s="116">
        <f t="shared" si="2"/>
        <v>0</v>
      </c>
      <c r="I44" s="116">
        <f t="shared" si="2"/>
        <v>0</v>
      </c>
      <c r="J44" s="116">
        <f t="shared" si="2"/>
        <v>1655</v>
      </c>
      <c r="K44" s="116">
        <f t="shared" si="2"/>
        <v>9721</v>
      </c>
      <c r="L44" s="116">
        <f t="shared" si="2"/>
        <v>0</v>
      </c>
      <c r="M44" s="116">
        <f t="shared" si="2"/>
        <v>1000</v>
      </c>
      <c r="N44" s="116">
        <f t="shared" si="2"/>
        <v>1720</v>
      </c>
      <c r="O44" s="116">
        <f t="shared" si="2"/>
        <v>8151</v>
      </c>
      <c r="P44" s="116">
        <f t="shared" si="2"/>
        <v>0</v>
      </c>
      <c r="Q44" s="116">
        <f t="shared" si="2"/>
        <v>0</v>
      </c>
      <c r="R44" s="116">
        <f t="shared" si="2"/>
        <v>0</v>
      </c>
      <c r="S44" s="116">
        <f t="shared" si="2"/>
        <v>-25666</v>
      </c>
      <c r="T44" s="116">
        <f t="shared" si="2"/>
        <v>4888</v>
      </c>
      <c r="U44" s="108">
        <f t="shared" si="2"/>
        <v>14798</v>
      </c>
    </row>
    <row r="45" spans="1:70" ht="30" customHeight="1" thickBot="1" thickTop="1">
      <c r="A45" s="220"/>
      <c r="B45" s="120"/>
      <c r="C45" s="55" t="s">
        <v>66</v>
      </c>
      <c r="D45" s="202">
        <f aca="true" t="shared" si="3" ref="D45:U45">D14+D44</f>
        <v>4852536</v>
      </c>
      <c r="E45" s="202">
        <f t="shared" si="3"/>
        <v>1266268</v>
      </c>
      <c r="F45" s="202">
        <f t="shared" si="3"/>
        <v>4423988</v>
      </c>
      <c r="G45" s="202">
        <f t="shared" si="3"/>
        <v>245459</v>
      </c>
      <c r="H45" s="202">
        <f t="shared" si="3"/>
        <v>404879</v>
      </c>
      <c r="I45" s="202">
        <f t="shared" si="3"/>
        <v>38797</v>
      </c>
      <c r="J45" s="202">
        <f t="shared" si="3"/>
        <v>16805</v>
      </c>
      <c r="K45" s="202">
        <f t="shared" si="3"/>
        <v>133163</v>
      </c>
      <c r="L45" s="202">
        <f t="shared" si="3"/>
        <v>67213</v>
      </c>
      <c r="M45" s="202">
        <f t="shared" si="3"/>
        <v>156000</v>
      </c>
      <c r="N45" s="202">
        <f t="shared" si="3"/>
        <v>42220</v>
      </c>
      <c r="O45" s="202">
        <f t="shared" si="3"/>
        <v>1094614</v>
      </c>
      <c r="P45" s="202">
        <f t="shared" si="3"/>
        <v>25200</v>
      </c>
      <c r="Q45" s="202">
        <f t="shared" si="3"/>
        <v>0</v>
      </c>
      <c r="R45" s="202">
        <f t="shared" si="3"/>
        <v>144828</v>
      </c>
      <c r="S45" s="202">
        <f t="shared" si="3"/>
        <v>1356412</v>
      </c>
      <c r="T45" s="202">
        <f t="shared" si="3"/>
        <v>1498759</v>
      </c>
      <c r="U45" s="257">
        <f t="shared" si="3"/>
        <v>15767141</v>
      </c>
      <c r="V45" s="109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</row>
    <row r="46" spans="1:70" ht="17.25" hidden="1" thickTop="1">
      <c r="A46" s="32"/>
      <c r="B46" s="221" t="s">
        <v>71</v>
      </c>
      <c r="C46" s="124" t="s">
        <v>128</v>
      </c>
      <c r="D46" s="125"/>
      <c r="E46" s="125"/>
      <c r="F46" s="125"/>
      <c r="G46" s="125"/>
      <c r="H46" s="125"/>
      <c r="I46" s="125"/>
      <c r="J46" s="125"/>
      <c r="K46" s="125"/>
      <c r="L46" s="125">
        <f>748</f>
        <v>748</v>
      </c>
      <c r="M46" s="125"/>
      <c r="N46" s="125"/>
      <c r="O46" s="125"/>
      <c r="P46" s="125"/>
      <c r="Q46" s="125"/>
      <c r="R46" s="125"/>
      <c r="S46" s="125">
        <f>2376+47657+46172+275967+156992</f>
        <v>529164</v>
      </c>
      <c r="T46" s="129"/>
      <c r="U46" s="136">
        <f aca="true" t="shared" si="4" ref="U46:U105">SUM(D46:T46)</f>
        <v>529912</v>
      </c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</row>
    <row r="47" spans="1:70" ht="16.5" hidden="1">
      <c r="A47" s="32"/>
      <c r="B47" s="101" t="s">
        <v>202</v>
      </c>
      <c r="C47" s="126" t="s">
        <v>128</v>
      </c>
      <c r="D47" s="204"/>
      <c r="E47" s="204"/>
      <c r="F47" s="204">
        <f>2+7+6</f>
        <v>15</v>
      </c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5"/>
      <c r="U47" s="137">
        <f t="shared" si="4"/>
        <v>15</v>
      </c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</row>
    <row r="48" spans="1:70" ht="16.5" hidden="1">
      <c r="A48" s="32"/>
      <c r="B48" s="101" t="s">
        <v>73</v>
      </c>
      <c r="C48" s="126" t="s">
        <v>128</v>
      </c>
      <c r="D48" s="127"/>
      <c r="E48" s="127"/>
      <c r="F48" s="127">
        <f>1000+14684+17+4+4088+1022+1875+960+240</f>
        <v>23890</v>
      </c>
      <c r="G48" s="127"/>
      <c r="H48" s="127"/>
      <c r="I48" s="127"/>
      <c r="J48" s="127"/>
      <c r="K48" s="127"/>
      <c r="L48" s="127"/>
      <c r="M48" s="127">
        <f>131209+3542+11356</f>
        <v>146107</v>
      </c>
      <c r="N48" s="127"/>
      <c r="O48" s="127"/>
      <c r="P48" s="127"/>
      <c r="Q48" s="127">
        <f>10000</f>
        <v>10000</v>
      </c>
      <c r="R48" s="127"/>
      <c r="S48" s="127"/>
      <c r="T48" s="130"/>
      <c r="U48" s="137">
        <f t="shared" si="4"/>
        <v>179997</v>
      </c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</row>
    <row r="49" spans="1:70" ht="16.5" hidden="1">
      <c r="A49" s="32"/>
      <c r="B49" s="101" t="s">
        <v>151</v>
      </c>
      <c r="C49" s="126" t="s">
        <v>128</v>
      </c>
      <c r="D49" s="127"/>
      <c r="E49" s="127"/>
      <c r="F49" s="127">
        <f>1306+400</f>
        <v>1706</v>
      </c>
      <c r="G49" s="127"/>
      <c r="H49" s="127"/>
      <c r="I49" s="127"/>
      <c r="J49" s="127"/>
      <c r="K49" s="127"/>
      <c r="L49" s="127"/>
      <c r="N49" s="127"/>
      <c r="O49" s="127"/>
      <c r="P49" s="127"/>
      <c r="Q49" s="127"/>
      <c r="R49" s="127"/>
      <c r="S49" s="127"/>
      <c r="T49" s="130"/>
      <c r="U49" s="137">
        <f t="shared" si="4"/>
        <v>1706</v>
      </c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</row>
    <row r="50" spans="1:70" ht="16.5" hidden="1">
      <c r="A50" s="32"/>
      <c r="B50" s="101" t="s">
        <v>129</v>
      </c>
      <c r="C50" s="126" t="s">
        <v>128</v>
      </c>
      <c r="D50" s="127"/>
      <c r="E50" s="127"/>
      <c r="F50" s="127">
        <f>5200+1300+4881+1220</f>
        <v>12601</v>
      </c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30"/>
      <c r="U50" s="137">
        <f t="shared" si="4"/>
        <v>12601</v>
      </c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</row>
    <row r="51" spans="1:70" ht="16.5" hidden="1">
      <c r="A51" s="32"/>
      <c r="B51" s="101" t="s">
        <v>130</v>
      </c>
      <c r="C51" s="126" t="s">
        <v>128</v>
      </c>
      <c r="D51" s="127">
        <f>98477+3400+2000+38447</f>
        <v>142324</v>
      </c>
      <c r="E51" s="127">
        <f>34158+2135+711+1423</f>
        <v>38427</v>
      </c>
      <c r="F51" s="127">
        <f>67+16</f>
        <v>83</v>
      </c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30"/>
      <c r="U51" s="137">
        <f t="shared" si="4"/>
        <v>180834</v>
      </c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</row>
    <row r="52" spans="1:70" ht="16.5" hidden="1">
      <c r="A52" s="32"/>
      <c r="B52" s="101" t="s">
        <v>203</v>
      </c>
      <c r="C52" s="126" t="s">
        <v>128</v>
      </c>
      <c r="D52" s="127">
        <f>43194</f>
        <v>43194</v>
      </c>
      <c r="F52" s="127"/>
      <c r="G52" s="127">
        <f>10527</f>
        <v>10527</v>
      </c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30"/>
      <c r="U52" s="137">
        <f t="shared" si="4"/>
        <v>53721</v>
      </c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</row>
    <row r="53" spans="1:70" ht="16.5" hidden="1">
      <c r="A53" s="32"/>
      <c r="B53" s="101" t="s">
        <v>131</v>
      </c>
      <c r="C53" s="126" t="s">
        <v>128</v>
      </c>
      <c r="D53" s="127"/>
      <c r="E53" s="127"/>
      <c r="F53" s="127"/>
      <c r="G53" s="127"/>
      <c r="H53" s="127"/>
      <c r="I53" s="127"/>
      <c r="J53" s="127"/>
      <c r="K53" s="127">
        <f>100+50</f>
        <v>150</v>
      </c>
      <c r="L53" s="127"/>
      <c r="M53" s="127"/>
      <c r="N53" s="127"/>
      <c r="O53" s="127"/>
      <c r="P53" s="127"/>
      <c r="Q53" s="127"/>
      <c r="R53" s="127"/>
      <c r="S53" s="127"/>
      <c r="T53" s="130"/>
      <c r="U53" s="137">
        <f t="shared" si="4"/>
        <v>150</v>
      </c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</row>
    <row r="54" spans="1:70" ht="16.5" hidden="1">
      <c r="A54" s="32"/>
      <c r="B54" s="101" t="s">
        <v>132</v>
      </c>
      <c r="C54" s="126" t="s">
        <v>128</v>
      </c>
      <c r="D54" s="127"/>
      <c r="E54" s="127"/>
      <c r="F54" s="127"/>
      <c r="G54" s="127"/>
      <c r="H54" s="127"/>
      <c r="I54" s="127"/>
      <c r="J54" s="127"/>
      <c r="K54" s="127">
        <f>100+750+300+150</f>
        <v>1300</v>
      </c>
      <c r="L54" s="127"/>
      <c r="M54" s="127"/>
      <c r="N54" s="127"/>
      <c r="O54" s="127"/>
      <c r="P54" s="127"/>
      <c r="Q54" s="127"/>
      <c r="R54" s="127"/>
      <c r="S54" s="127"/>
      <c r="T54" s="130"/>
      <c r="U54" s="137">
        <f t="shared" si="4"/>
        <v>1300</v>
      </c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</row>
    <row r="55" spans="1:70" ht="16.5" hidden="1">
      <c r="A55" s="32"/>
      <c r="B55" s="101" t="s">
        <v>133</v>
      </c>
      <c r="C55" s="126" t="s">
        <v>128</v>
      </c>
      <c r="D55" s="127"/>
      <c r="E55" s="127"/>
      <c r="F55" s="127">
        <f>8+3+4+1+61+3+12+3</f>
        <v>95</v>
      </c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30"/>
      <c r="U55" s="137">
        <f t="shared" si="4"/>
        <v>95</v>
      </c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</row>
    <row r="56" spans="1:70" ht="16.5" hidden="1">
      <c r="A56" s="32"/>
      <c r="B56" s="101" t="s">
        <v>134</v>
      </c>
      <c r="C56" s="126" t="s">
        <v>128</v>
      </c>
      <c r="D56" s="127"/>
      <c r="E56" s="127"/>
      <c r="F56" s="127">
        <f>44</f>
        <v>44</v>
      </c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30"/>
      <c r="U56" s="137">
        <f t="shared" si="4"/>
        <v>44</v>
      </c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</row>
    <row r="57" spans="1:70" ht="16.5" hidden="1">
      <c r="A57" s="32"/>
      <c r="B57" s="101" t="s">
        <v>135</v>
      </c>
      <c r="C57" s="126" t="s">
        <v>128</v>
      </c>
      <c r="D57" s="127"/>
      <c r="E57" s="127"/>
      <c r="F57" s="127">
        <f>130+33</f>
        <v>163</v>
      </c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30"/>
      <c r="U57" s="137">
        <f t="shared" si="4"/>
        <v>163</v>
      </c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</row>
    <row r="58" spans="1:70" ht="16.5" hidden="1">
      <c r="A58" s="32"/>
      <c r="B58" s="101" t="s">
        <v>136</v>
      </c>
      <c r="C58" s="126" t="s">
        <v>128</v>
      </c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30"/>
      <c r="U58" s="137">
        <f t="shared" si="4"/>
        <v>0</v>
      </c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</row>
    <row r="59" spans="1:70" ht="16.5" hidden="1">
      <c r="A59" s="32"/>
      <c r="B59" s="101" t="s">
        <v>75</v>
      </c>
      <c r="C59" s="126" t="s">
        <v>128</v>
      </c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30"/>
      <c r="U59" s="137">
        <f t="shared" si="4"/>
        <v>0</v>
      </c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</row>
    <row r="60" spans="1:70" ht="16.5" hidden="1">
      <c r="A60" s="32"/>
      <c r="B60" s="101" t="s">
        <v>142</v>
      </c>
      <c r="C60" s="126" t="s">
        <v>128</v>
      </c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30"/>
      <c r="U60" s="137">
        <f t="shared" si="4"/>
        <v>0</v>
      </c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</row>
    <row r="61" spans="1:70" ht="16.5" hidden="1">
      <c r="A61" s="32"/>
      <c r="B61" s="101" t="s">
        <v>137</v>
      </c>
      <c r="C61" s="126" t="s">
        <v>128</v>
      </c>
      <c r="D61" s="127">
        <f>4899</f>
        <v>4899</v>
      </c>
      <c r="E61" s="127">
        <f>1176+74+24+49</f>
        <v>1323</v>
      </c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30"/>
      <c r="U61" s="137">
        <f t="shared" si="4"/>
        <v>6222</v>
      </c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</row>
    <row r="62" spans="1:70" ht="16.5" hidden="1">
      <c r="A62" s="32"/>
      <c r="B62" s="101" t="s">
        <v>138</v>
      </c>
      <c r="C62" s="126" t="s">
        <v>128</v>
      </c>
      <c r="D62" s="127"/>
      <c r="E62" s="127"/>
      <c r="F62" s="127">
        <f>1677+419+4710+1178</f>
        <v>7984</v>
      </c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30"/>
      <c r="U62" s="137">
        <f t="shared" si="4"/>
        <v>7984</v>
      </c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</row>
    <row r="63" spans="1:70" ht="16.5" hidden="1">
      <c r="A63" s="32"/>
      <c r="B63" s="101" t="s">
        <v>139</v>
      </c>
      <c r="C63" s="126" t="s">
        <v>128</v>
      </c>
      <c r="D63" s="127"/>
      <c r="E63" s="127"/>
      <c r="F63" s="127">
        <f>18112+4528+3500+875</f>
        <v>27015</v>
      </c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30"/>
      <c r="U63" s="137">
        <f t="shared" si="4"/>
        <v>27015</v>
      </c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</row>
    <row r="64" spans="1:70" ht="16.5" hidden="1">
      <c r="A64" s="32"/>
      <c r="B64" s="101" t="s">
        <v>76</v>
      </c>
      <c r="C64" s="126" t="s">
        <v>128</v>
      </c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30"/>
      <c r="U64" s="137">
        <f t="shared" si="4"/>
        <v>0</v>
      </c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</row>
    <row r="65" spans="1:70" ht="16.5" hidden="1">
      <c r="A65" s="32"/>
      <c r="B65" s="102" t="s">
        <v>77</v>
      </c>
      <c r="C65" s="128" t="s">
        <v>128</v>
      </c>
      <c r="D65" s="127"/>
      <c r="E65" s="127"/>
      <c r="F65" s="127">
        <f>2613+653</f>
        <v>3266</v>
      </c>
      <c r="G65" s="127"/>
      <c r="H65" s="127"/>
      <c r="I65" s="127">
        <f>14</f>
        <v>14</v>
      </c>
      <c r="J65" s="127"/>
      <c r="K65" s="127">
        <f>1500</f>
        <v>1500</v>
      </c>
      <c r="L65" s="127"/>
      <c r="M65" s="127"/>
      <c r="N65" s="127"/>
      <c r="O65" s="127"/>
      <c r="P65" s="127"/>
      <c r="Q65" s="127"/>
      <c r="R65" s="127"/>
      <c r="S65" s="127"/>
      <c r="T65" s="130"/>
      <c r="U65" s="137">
        <f t="shared" si="4"/>
        <v>4780</v>
      </c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</row>
    <row r="66" spans="1:70" ht="16.5" hidden="1">
      <c r="A66" s="32"/>
      <c r="B66" s="102" t="s">
        <v>204</v>
      </c>
      <c r="C66" s="128" t="s">
        <v>128</v>
      </c>
      <c r="D66" s="127">
        <f>22303</f>
        <v>22303</v>
      </c>
      <c r="E66" s="127">
        <f>5353+335+111+223</f>
        <v>6022</v>
      </c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30"/>
      <c r="U66" s="137">
        <f t="shared" si="4"/>
        <v>28325</v>
      </c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</row>
    <row r="67" spans="1:70" ht="16.5" hidden="1">
      <c r="A67" s="32"/>
      <c r="B67" s="102" t="s">
        <v>153</v>
      </c>
      <c r="C67" s="128" t="s">
        <v>128</v>
      </c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>
        <f>352+88+56058+14014+900+225</f>
        <v>71637</v>
      </c>
      <c r="P67" s="127"/>
      <c r="Q67" s="127"/>
      <c r="R67" s="127"/>
      <c r="S67" s="127"/>
      <c r="T67" s="130"/>
      <c r="U67" s="137">
        <f t="shared" si="4"/>
        <v>71637</v>
      </c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</row>
    <row r="68" spans="1:70" ht="16.5" hidden="1">
      <c r="A68" s="32"/>
      <c r="B68" s="102" t="s">
        <v>78</v>
      </c>
      <c r="C68" s="128" t="s">
        <v>128</v>
      </c>
      <c r="D68" s="127"/>
      <c r="E68" s="127"/>
      <c r="F68" s="127">
        <f>478+102+2845+239</f>
        <v>3664</v>
      </c>
      <c r="G68" s="127"/>
      <c r="H68" s="127">
        <f>726</f>
        <v>726</v>
      </c>
      <c r="I68" s="127"/>
      <c r="J68" s="127"/>
      <c r="K68" s="127">
        <f>2022+1720+2777</f>
        <v>6519</v>
      </c>
      <c r="L68" s="127"/>
      <c r="M68" s="127"/>
      <c r="N68" s="127"/>
      <c r="O68" s="127"/>
      <c r="P68" s="127"/>
      <c r="Q68" s="127"/>
      <c r="R68" s="127"/>
      <c r="S68" s="127"/>
      <c r="T68" s="130"/>
      <c r="U68" s="137">
        <f t="shared" si="4"/>
        <v>10909</v>
      </c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</row>
    <row r="69" spans="1:70" ht="16.5" hidden="1">
      <c r="A69" s="32"/>
      <c r="B69" s="102" t="s">
        <v>140</v>
      </c>
      <c r="C69" s="128" t="s">
        <v>128</v>
      </c>
      <c r="D69" s="127"/>
      <c r="E69" s="127"/>
      <c r="F69" s="127">
        <f>202+51+21+1+150+11+907+227+149+38+18+5+234+59+3128+681+32+8+780+195+1634+408</f>
        <v>8939</v>
      </c>
      <c r="G69" s="127"/>
      <c r="H69" s="127"/>
      <c r="I69" s="127"/>
      <c r="J69" s="127"/>
      <c r="K69" s="127"/>
      <c r="L69" s="127"/>
      <c r="M69" s="127"/>
      <c r="N69" s="127">
        <f>520+130+3586+896</f>
        <v>5132</v>
      </c>
      <c r="O69" s="127">
        <f>325+81+699+175+2659+664</f>
        <v>4603</v>
      </c>
      <c r="P69" s="127"/>
      <c r="Q69" s="127"/>
      <c r="R69" s="127"/>
      <c r="S69" s="127"/>
      <c r="T69" s="130"/>
      <c r="U69" s="137">
        <f t="shared" si="4"/>
        <v>18674</v>
      </c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</row>
    <row r="70" spans="1:70" ht="16.5" hidden="1">
      <c r="A70" s="32"/>
      <c r="B70" s="41">
        <v>102</v>
      </c>
      <c r="C70" s="128" t="s">
        <v>128</v>
      </c>
      <c r="D70" s="127"/>
      <c r="E70" s="127"/>
      <c r="F70" s="127">
        <f>135+34+672+168+300+75+43+11+9+3+475+119</f>
        <v>2044</v>
      </c>
      <c r="G70" s="127"/>
      <c r="H70" s="127"/>
      <c r="I70" s="127"/>
      <c r="J70" s="127"/>
      <c r="K70" s="127"/>
      <c r="L70" s="127"/>
      <c r="M70" s="127"/>
      <c r="N70" s="127"/>
      <c r="O70" s="127">
        <f>4008+1002+2838+709</f>
        <v>8557</v>
      </c>
      <c r="P70" s="127"/>
      <c r="Q70" s="127"/>
      <c r="R70" s="127"/>
      <c r="S70" s="127"/>
      <c r="T70" s="130"/>
      <c r="U70" s="137">
        <f t="shared" si="4"/>
        <v>10601</v>
      </c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</row>
    <row r="71" spans="1:70" ht="16.5" hidden="1">
      <c r="A71" s="32"/>
      <c r="B71" s="41">
        <v>103</v>
      </c>
      <c r="C71" s="128" t="s">
        <v>128</v>
      </c>
      <c r="D71" s="127"/>
      <c r="E71" s="127"/>
      <c r="F71" s="127">
        <f>7+1</f>
        <v>8</v>
      </c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30"/>
      <c r="U71" s="137">
        <f t="shared" si="4"/>
        <v>8</v>
      </c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</row>
    <row r="72" spans="1:70" ht="17.25" hidden="1" thickTop="1">
      <c r="A72" s="32"/>
      <c r="B72" s="41">
        <v>105</v>
      </c>
      <c r="C72" s="128" t="s">
        <v>128</v>
      </c>
      <c r="D72" s="127"/>
      <c r="E72" s="127"/>
      <c r="F72" s="127">
        <f>487+121+285+72+791+198</f>
        <v>1954</v>
      </c>
      <c r="G72" s="127"/>
      <c r="H72" s="127"/>
      <c r="I72" s="127"/>
      <c r="J72" s="127"/>
      <c r="K72" s="127">
        <f>500</f>
        <v>500</v>
      </c>
      <c r="L72" s="127"/>
      <c r="M72" s="127"/>
      <c r="N72" s="127"/>
      <c r="O72" s="127"/>
      <c r="P72" s="127"/>
      <c r="Q72" s="127"/>
      <c r="R72" s="127"/>
      <c r="S72" s="127"/>
      <c r="T72" s="130"/>
      <c r="U72" s="137">
        <f t="shared" si="4"/>
        <v>2454</v>
      </c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</row>
    <row r="73" spans="1:70" ht="16.5" hidden="1">
      <c r="A73" s="32"/>
      <c r="B73" s="41">
        <v>106</v>
      </c>
      <c r="C73" s="128" t="s">
        <v>128</v>
      </c>
      <c r="D73" s="127"/>
      <c r="E73" s="127"/>
      <c r="F73" s="127">
        <f>3888+194</f>
        <v>4082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30"/>
      <c r="U73" s="137">
        <f t="shared" si="4"/>
        <v>4082</v>
      </c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</row>
    <row r="74" spans="1:70" ht="16.5" hidden="1">
      <c r="A74" s="32"/>
      <c r="B74" s="41">
        <v>111</v>
      </c>
      <c r="C74" s="128" t="s">
        <v>128</v>
      </c>
      <c r="D74" s="127"/>
      <c r="E74" s="127"/>
      <c r="F74" s="127"/>
      <c r="G74" s="127"/>
      <c r="H74" s="127"/>
      <c r="I74" s="127"/>
      <c r="J74" s="127"/>
      <c r="K74" s="127"/>
      <c r="L74" s="127">
        <f>2122491</f>
        <v>2122491</v>
      </c>
      <c r="M74" s="127">
        <f>7800+12502</f>
        <v>20302</v>
      </c>
      <c r="N74" s="127"/>
      <c r="O74" s="127"/>
      <c r="P74" s="127"/>
      <c r="Q74" s="127"/>
      <c r="R74" s="127"/>
      <c r="S74" s="127"/>
      <c r="T74" s="130"/>
      <c r="U74" s="137">
        <f t="shared" si="4"/>
        <v>2142793</v>
      </c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</row>
    <row r="75" spans="1:70" ht="16.5" hidden="1">
      <c r="A75" s="32"/>
      <c r="B75" s="41">
        <v>112</v>
      </c>
      <c r="C75" s="128" t="s">
        <v>128</v>
      </c>
      <c r="D75" s="127"/>
      <c r="E75" s="127"/>
      <c r="F75" s="127">
        <f>1500+375</f>
        <v>1875</v>
      </c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30"/>
      <c r="U75" s="137">
        <f t="shared" si="4"/>
        <v>1875</v>
      </c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</row>
    <row r="76" spans="1:70" ht="16.5" hidden="1">
      <c r="A76" s="32"/>
      <c r="B76" s="41">
        <v>120</v>
      </c>
      <c r="C76" s="103" t="s">
        <v>128</v>
      </c>
      <c r="D76" s="104"/>
      <c r="E76" s="104"/>
      <c r="F76" s="104">
        <f>160+40+420+800+200</f>
        <v>1620</v>
      </c>
      <c r="G76" s="104"/>
      <c r="H76" s="104"/>
      <c r="I76" s="105"/>
      <c r="J76" s="105"/>
      <c r="K76" s="105"/>
      <c r="L76" s="105"/>
      <c r="M76" s="105"/>
      <c r="N76" s="105"/>
      <c r="O76" s="105">
        <f>569+142+508+128+3900+975+929+232+92+23+30+8+30+8+480+120</f>
        <v>8174</v>
      </c>
      <c r="P76" s="105"/>
      <c r="Q76" s="105"/>
      <c r="R76" s="105"/>
      <c r="S76" s="105"/>
      <c r="T76" s="131"/>
      <c r="U76" s="138">
        <f t="shared" si="4"/>
        <v>9794</v>
      </c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</row>
    <row r="77" spans="1:70" ht="16.5" hidden="1">
      <c r="A77" s="32"/>
      <c r="B77" s="41">
        <v>121</v>
      </c>
      <c r="C77" s="103" t="s">
        <v>128</v>
      </c>
      <c r="D77" s="104"/>
      <c r="E77" s="104"/>
      <c r="F77" s="104">
        <f>2570+643+148+37+2400+600+115+29+5500+1375+1000+250+2328+582+2530+632+2362+590+9600+2400</f>
        <v>35691</v>
      </c>
      <c r="G77" s="104"/>
      <c r="H77" s="104"/>
      <c r="I77" s="105"/>
      <c r="J77" s="105"/>
      <c r="K77" s="105"/>
      <c r="L77" s="105"/>
      <c r="M77" s="105"/>
      <c r="N77" s="105"/>
      <c r="O77" s="105">
        <f>2374+594+16847+4212+49208+12302+350+88+3970+993+7046+1762+172+43+92+23+2220+555+169+42+130+33</f>
        <v>103225</v>
      </c>
      <c r="P77" s="105"/>
      <c r="Q77" s="105"/>
      <c r="R77" s="105"/>
      <c r="S77" s="105"/>
      <c r="T77" s="131"/>
      <c r="U77" s="138">
        <f t="shared" si="4"/>
        <v>138916</v>
      </c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</row>
    <row r="78" spans="1:70" ht="16.5" hidden="1">
      <c r="A78" s="32"/>
      <c r="B78" s="41">
        <v>180</v>
      </c>
      <c r="C78" s="103" t="s">
        <v>128</v>
      </c>
      <c r="D78" s="104"/>
      <c r="E78" s="104"/>
      <c r="F78" s="104">
        <f>60+778+194+1660+415+31+1087+272+1716+429+1000+250</f>
        <v>7892</v>
      </c>
      <c r="G78" s="104"/>
      <c r="H78" s="104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31"/>
      <c r="U78" s="138">
        <f t="shared" si="4"/>
        <v>7892</v>
      </c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</row>
    <row r="79" spans="1:70" ht="16.5" hidden="1">
      <c r="A79" s="32"/>
      <c r="B79" s="41">
        <v>190</v>
      </c>
      <c r="C79" s="103" t="s">
        <v>128</v>
      </c>
      <c r="D79" s="104"/>
      <c r="E79" s="104"/>
      <c r="F79" s="104"/>
      <c r="G79" s="104"/>
      <c r="H79" s="104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31"/>
      <c r="U79" s="138">
        <f t="shared" si="4"/>
        <v>0</v>
      </c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</row>
    <row r="80" spans="1:70" ht="16.5" hidden="1">
      <c r="A80" s="32"/>
      <c r="B80" s="41">
        <v>200</v>
      </c>
      <c r="C80" s="103" t="s">
        <v>128</v>
      </c>
      <c r="D80" s="104"/>
      <c r="E80" s="104"/>
      <c r="F80" s="104"/>
      <c r="G80" s="104"/>
      <c r="H80" s="104"/>
      <c r="I80" s="105"/>
      <c r="J80" s="105"/>
      <c r="K80" s="105"/>
      <c r="L80" s="105"/>
      <c r="M80" s="105"/>
      <c r="N80" s="105">
        <f>7543+1886+754+189</f>
        <v>10372</v>
      </c>
      <c r="O80" s="105"/>
      <c r="P80" s="105"/>
      <c r="Q80" s="105"/>
      <c r="R80" s="105"/>
      <c r="S80" s="105"/>
      <c r="T80" s="131"/>
      <c r="U80" s="138">
        <f t="shared" si="4"/>
        <v>10372</v>
      </c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</row>
    <row r="81" spans="1:70" ht="16.5" hidden="1">
      <c r="A81" s="32"/>
      <c r="B81" s="41">
        <v>210</v>
      </c>
      <c r="C81" s="103" t="s">
        <v>128</v>
      </c>
      <c r="D81" s="104"/>
      <c r="E81" s="104"/>
      <c r="F81" s="104"/>
      <c r="G81" s="104"/>
      <c r="H81" s="104"/>
      <c r="I81" s="105"/>
      <c r="J81" s="105"/>
      <c r="K81" s="105"/>
      <c r="L81" s="105"/>
      <c r="M81" s="106"/>
      <c r="N81" s="105"/>
      <c r="O81" s="105"/>
      <c r="P81" s="105"/>
      <c r="Q81" s="105"/>
      <c r="R81" s="105"/>
      <c r="S81" s="105"/>
      <c r="T81" s="131"/>
      <c r="U81" s="138">
        <f t="shared" si="4"/>
        <v>0</v>
      </c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</row>
    <row r="82" spans="1:70" ht="16.5" hidden="1">
      <c r="A82" s="32"/>
      <c r="B82" s="41">
        <v>220</v>
      </c>
      <c r="C82" s="103" t="s">
        <v>128</v>
      </c>
      <c r="D82" s="104"/>
      <c r="E82" s="104"/>
      <c r="F82" s="104"/>
      <c r="G82" s="104"/>
      <c r="H82" s="104"/>
      <c r="I82" s="105"/>
      <c r="J82" s="105"/>
      <c r="K82" s="105"/>
      <c r="L82" s="105"/>
      <c r="M82" s="106"/>
      <c r="N82" s="105"/>
      <c r="O82" s="105"/>
      <c r="P82" s="105"/>
      <c r="Q82" s="105"/>
      <c r="R82" s="105"/>
      <c r="S82" s="105"/>
      <c r="T82" s="131"/>
      <c r="U82" s="138">
        <f t="shared" si="4"/>
        <v>0</v>
      </c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</row>
    <row r="83" spans="1:70" ht="16.5" hidden="1">
      <c r="A83" s="32"/>
      <c r="B83" s="41">
        <v>407</v>
      </c>
      <c r="C83" s="103" t="s">
        <v>128</v>
      </c>
      <c r="D83" s="104"/>
      <c r="E83" s="104"/>
      <c r="F83" s="104">
        <f>730+182</f>
        <v>912</v>
      </c>
      <c r="G83" s="104"/>
      <c r="H83" s="104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31"/>
      <c r="U83" s="138">
        <f t="shared" si="4"/>
        <v>912</v>
      </c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</row>
    <row r="84" spans="1:70" ht="16.5" hidden="1">
      <c r="A84" s="32"/>
      <c r="B84" s="41">
        <v>408</v>
      </c>
      <c r="C84" s="103" t="s">
        <v>128</v>
      </c>
      <c r="D84" s="104"/>
      <c r="E84" s="104"/>
      <c r="F84" s="104"/>
      <c r="G84" s="104"/>
      <c r="H84" s="104"/>
      <c r="I84" s="105"/>
      <c r="J84" s="105"/>
      <c r="K84" s="105"/>
      <c r="L84" s="105"/>
      <c r="M84" s="105"/>
      <c r="N84" s="105"/>
      <c r="O84" s="105">
        <f>70+18</f>
        <v>88</v>
      </c>
      <c r="P84" s="105"/>
      <c r="Q84" s="105"/>
      <c r="R84" s="105"/>
      <c r="S84" s="105"/>
      <c r="T84" s="131"/>
      <c r="U84" s="138">
        <f t="shared" si="4"/>
        <v>88</v>
      </c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</row>
    <row r="85" spans="1:70" ht="16.5" hidden="1">
      <c r="A85" s="32"/>
      <c r="B85" s="41">
        <v>409</v>
      </c>
      <c r="C85" s="103" t="s">
        <v>128</v>
      </c>
      <c r="D85" s="104"/>
      <c r="E85" s="104"/>
      <c r="F85" s="104"/>
      <c r="G85" s="104"/>
      <c r="H85" s="104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31"/>
      <c r="U85" s="138">
        <f t="shared" si="4"/>
        <v>0</v>
      </c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</row>
    <row r="86" spans="1:70" ht="16.5" hidden="1">
      <c r="A86" s="32"/>
      <c r="B86" s="41">
        <v>410</v>
      </c>
      <c r="C86" s="103" t="s">
        <v>128</v>
      </c>
      <c r="D86" s="104"/>
      <c r="E86" s="104"/>
      <c r="F86" s="104"/>
      <c r="G86" s="104"/>
      <c r="H86" s="104"/>
      <c r="I86" s="105"/>
      <c r="J86" s="105"/>
      <c r="K86" s="105"/>
      <c r="L86" s="105"/>
      <c r="M86" s="105"/>
      <c r="N86" s="105"/>
      <c r="O86" s="105">
        <f>1326+332</f>
        <v>1658</v>
      </c>
      <c r="P86" s="105"/>
      <c r="Q86" s="105"/>
      <c r="R86" s="105"/>
      <c r="S86" s="105"/>
      <c r="T86" s="131"/>
      <c r="U86" s="138">
        <f t="shared" si="4"/>
        <v>1658</v>
      </c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</row>
    <row r="87" spans="1:70" ht="16.5" hidden="1">
      <c r="A87" s="32"/>
      <c r="B87" s="41">
        <v>411</v>
      </c>
      <c r="C87" s="103" t="s">
        <v>128</v>
      </c>
      <c r="D87" s="104"/>
      <c r="E87" s="104"/>
      <c r="F87" s="104"/>
      <c r="G87" s="104"/>
      <c r="H87" s="104"/>
      <c r="I87" s="105"/>
      <c r="J87" s="105"/>
      <c r="K87" s="105"/>
      <c r="L87" s="105"/>
      <c r="M87" s="105"/>
      <c r="N87" s="105"/>
      <c r="O87" s="105">
        <f>15637+3909+77+19</f>
        <v>19642</v>
      </c>
      <c r="P87" s="105"/>
      <c r="Q87" s="105"/>
      <c r="R87" s="105"/>
      <c r="S87" s="105"/>
      <c r="T87" s="131"/>
      <c r="U87" s="138">
        <f t="shared" si="4"/>
        <v>19642</v>
      </c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</row>
    <row r="88" spans="1:70" ht="16.5" hidden="1">
      <c r="A88" s="32"/>
      <c r="B88" s="41">
        <v>412</v>
      </c>
      <c r="C88" s="103" t="s">
        <v>128</v>
      </c>
      <c r="D88" s="104"/>
      <c r="E88" s="104"/>
      <c r="F88" s="104"/>
      <c r="G88" s="104"/>
      <c r="H88" s="104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31"/>
      <c r="U88" s="138">
        <f t="shared" si="4"/>
        <v>0</v>
      </c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</row>
    <row r="89" spans="1:70" ht="16.5" hidden="1">
      <c r="A89" s="32"/>
      <c r="B89" s="41">
        <v>413</v>
      </c>
      <c r="C89" s="103" t="s">
        <v>128</v>
      </c>
      <c r="D89" s="104"/>
      <c r="E89" s="104"/>
      <c r="F89" s="104"/>
      <c r="G89" s="104"/>
      <c r="H89" s="104"/>
      <c r="I89" s="105"/>
      <c r="J89" s="105"/>
      <c r="K89" s="105"/>
      <c r="L89" s="105"/>
      <c r="M89" s="105"/>
      <c r="N89" s="105"/>
      <c r="O89" s="105">
        <f>15+4</f>
        <v>19</v>
      </c>
      <c r="P89" s="105"/>
      <c r="Q89" s="105"/>
      <c r="R89" s="105"/>
      <c r="S89" s="105"/>
      <c r="T89" s="131"/>
      <c r="U89" s="138">
        <f t="shared" si="4"/>
        <v>19</v>
      </c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</row>
    <row r="90" spans="1:70" ht="16.5" hidden="1">
      <c r="A90" s="32"/>
      <c r="B90" s="41">
        <v>414</v>
      </c>
      <c r="C90" s="103" t="s">
        <v>128</v>
      </c>
      <c r="D90" s="104"/>
      <c r="E90" s="104"/>
      <c r="F90" s="104"/>
      <c r="G90" s="104"/>
      <c r="H90" s="104"/>
      <c r="I90" s="105"/>
      <c r="J90" s="105"/>
      <c r="K90" s="105"/>
      <c r="L90" s="105"/>
      <c r="M90" s="105"/>
      <c r="N90" s="105"/>
      <c r="O90" s="105">
        <f>77+19</f>
        <v>96</v>
      </c>
      <c r="P90" s="105"/>
      <c r="Q90" s="105"/>
      <c r="R90" s="105"/>
      <c r="S90" s="105"/>
      <c r="T90" s="131"/>
      <c r="U90" s="138">
        <f t="shared" si="4"/>
        <v>96</v>
      </c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</row>
    <row r="91" spans="1:70" ht="16.5" hidden="1">
      <c r="A91" s="32"/>
      <c r="B91" s="41">
        <v>415</v>
      </c>
      <c r="C91" s="103" t="s">
        <v>128</v>
      </c>
      <c r="D91" s="104"/>
      <c r="E91" s="104"/>
      <c r="F91" s="104"/>
      <c r="G91" s="104"/>
      <c r="H91" s="104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31"/>
      <c r="U91" s="138">
        <f t="shared" si="4"/>
        <v>0</v>
      </c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</row>
    <row r="92" spans="1:70" ht="16.5" hidden="1">
      <c r="A92" s="32"/>
      <c r="B92" s="41">
        <v>416</v>
      </c>
      <c r="C92" s="103" t="s">
        <v>128</v>
      </c>
      <c r="D92" s="104"/>
      <c r="E92" s="104"/>
      <c r="F92" s="104"/>
      <c r="G92" s="104"/>
      <c r="H92" s="104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31"/>
      <c r="U92" s="138">
        <f t="shared" si="4"/>
        <v>0</v>
      </c>
      <c r="W92" s="208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</row>
    <row r="93" spans="1:70" ht="16.5" hidden="1">
      <c r="A93" s="32"/>
      <c r="B93" s="41">
        <v>301</v>
      </c>
      <c r="C93" s="103" t="s">
        <v>128</v>
      </c>
      <c r="D93" s="210"/>
      <c r="E93" s="210">
        <f>5.323</f>
        <v>5.323</v>
      </c>
      <c r="F93" s="210">
        <f>0.814+0.204+107.999+27.001+167.342+40.66+16.949+3.051+74+160+40+21.073+5.268+32.215</f>
        <v>696.576</v>
      </c>
      <c r="G93" s="210">
        <f>5.292+0.508</f>
        <v>5.8</v>
      </c>
      <c r="H93" s="210"/>
      <c r="I93" s="106"/>
      <c r="J93" s="106">
        <v>0.082</v>
      </c>
      <c r="K93" s="106"/>
      <c r="L93" s="106"/>
      <c r="M93" s="105"/>
      <c r="N93" s="105"/>
      <c r="O93" s="105"/>
      <c r="P93" s="105"/>
      <c r="Q93" s="105"/>
      <c r="R93" s="105"/>
      <c r="S93" s="105"/>
      <c r="T93" s="131"/>
      <c r="U93" s="206">
        <f t="shared" si="4"/>
        <v>707.781</v>
      </c>
      <c r="W93" s="207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</row>
    <row r="94" spans="1:70" ht="16.5" hidden="1">
      <c r="A94" s="32"/>
      <c r="B94" s="41">
        <v>302</v>
      </c>
      <c r="C94" s="103" t="s">
        <v>128</v>
      </c>
      <c r="D94" s="210"/>
      <c r="E94" s="210">
        <f>37.585</f>
        <v>37.585</v>
      </c>
      <c r="F94" s="210">
        <f>60.984+15.246+25+5+7.345+1.837+7.927+1.982+200.642+401.782</f>
        <v>727.7449999999999</v>
      </c>
      <c r="G94" s="210">
        <f>75.17+90</f>
        <v>165.17000000000002</v>
      </c>
      <c r="H94" s="210"/>
      <c r="I94" s="106"/>
      <c r="J94" s="106">
        <f>228.554</f>
        <v>228.554</v>
      </c>
      <c r="K94" s="106"/>
      <c r="L94" s="106"/>
      <c r="M94" s="105"/>
      <c r="N94" s="105"/>
      <c r="O94" s="105"/>
      <c r="P94" s="105"/>
      <c r="Q94" s="105"/>
      <c r="R94" s="105"/>
      <c r="S94" s="106">
        <f>474.687+38.329</f>
        <v>513.016</v>
      </c>
      <c r="T94" s="131"/>
      <c r="U94" s="206">
        <f t="shared" si="4"/>
        <v>1672.0700000000002</v>
      </c>
      <c r="W94" s="207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</row>
    <row r="95" spans="1:70" ht="16.5" hidden="1">
      <c r="A95" s="32"/>
      <c r="B95" s="209">
        <v>303</v>
      </c>
      <c r="C95" s="103" t="s">
        <v>128</v>
      </c>
      <c r="D95" s="210"/>
      <c r="E95" s="210"/>
      <c r="F95" s="210">
        <f>24+33.857+14.464</f>
        <v>72.321</v>
      </c>
      <c r="G95" s="210"/>
      <c r="H95" s="210"/>
      <c r="I95" s="106"/>
      <c r="J95" s="106"/>
      <c r="K95" s="106"/>
      <c r="L95" s="106"/>
      <c r="M95" s="105"/>
      <c r="N95" s="105"/>
      <c r="O95" s="105"/>
      <c r="P95" s="105"/>
      <c r="Q95" s="105"/>
      <c r="R95" s="105"/>
      <c r="S95" s="105"/>
      <c r="T95" s="131"/>
      <c r="U95" s="206">
        <f t="shared" si="4"/>
        <v>72.321</v>
      </c>
      <c r="W95" s="207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</row>
    <row r="96" spans="1:70" ht="16.5" hidden="1">
      <c r="A96" s="32"/>
      <c r="B96" s="209">
        <v>305</v>
      </c>
      <c r="C96" s="103" t="s">
        <v>128</v>
      </c>
      <c r="D96" s="210"/>
      <c r="E96" s="210"/>
      <c r="F96" s="210">
        <f>20.851+42.3</f>
        <v>63.150999999999996</v>
      </c>
      <c r="G96" s="210"/>
      <c r="H96" s="210"/>
      <c r="I96" s="106"/>
      <c r="J96" s="106"/>
      <c r="K96" s="106"/>
      <c r="L96" s="106"/>
      <c r="M96" s="105"/>
      <c r="N96" s="105"/>
      <c r="O96" s="105"/>
      <c r="P96" s="105"/>
      <c r="Q96" s="105"/>
      <c r="R96" s="105"/>
      <c r="S96" s="105"/>
      <c r="T96" s="131"/>
      <c r="U96" s="206">
        <f t="shared" si="4"/>
        <v>63.150999999999996</v>
      </c>
      <c r="W96" s="207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</row>
    <row r="97" spans="1:70" ht="16.5" hidden="1">
      <c r="A97" s="32"/>
      <c r="B97" s="209">
        <v>306</v>
      </c>
      <c r="C97" s="103" t="s">
        <v>128</v>
      </c>
      <c r="D97" s="210"/>
      <c r="E97" s="210"/>
      <c r="F97" s="210"/>
      <c r="G97" s="210"/>
      <c r="H97" s="210"/>
      <c r="I97" s="106"/>
      <c r="J97" s="106"/>
      <c r="K97" s="106">
        <f>1.276+37.761</f>
        <v>39.037000000000006</v>
      </c>
      <c r="L97" s="106"/>
      <c r="M97" s="105"/>
      <c r="N97" s="105"/>
      <c r="O97" s="105"/>
      <c r="P97" s="105"/>
      <c r="Q97" s="105"/>
      <c r="R97" s="105"/>
      <c r="S97" s="105"/>
      <c r="T97" s="131"/>
      <c r="U97" s="206">
        <f t="shared" si="4"/>
        <v>39.037000000000006</v>
      </c>
      <c r="W97" s="207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</row>
    <row r="98" spans="1:70" ht="16.5" hidden="1">
      <c r="A98" s="32"/>
      <c r="B98" s="209">
        <v>307</v>
      </c>
      <c r="C98" s="103" t="s">
        <v>128</v>
      </c>
      <c r="D98" s="210"/>
      <c r="E98" s="210"/>
      <c r="F98" s="210">
        <f>37.296+9.324+4.24+1.06+24.743+23.52+5.88+5.75+11.602+133.088+21.038+90.422+22.606+15.36+3.84+11.271</f>
        <v>421.03999999999996</v>
      </c>
      <c r="G98" s="210">
        <f>1.676</f>
        <v>1.676</v>
      </c>
      <c r="H98" s="210"/>
      <c r="I98" s="106"/>
      <c r="J98" s="106">
        <f>5.755</f>
        <v>5.755</v>
      </c>
      <c r="K98" s="106"/>
      <c r="L98" s="106"/>
      <c r="M98" s="105"/>
      <c r="N98" s="105"/>
      <c r="O98" s="105"/>
      <c r="P98" s="105"/>
      <c r="Q98" s="105"/>
      <c r="R98" s="105"/>
      <c r="S98" s="105"/>
      <c r="T98" s="131"/>
      <c r="U98" s="206">
        <f t="shared" si="4"/>
        <v>428.47099999999995</v>
      </c>
      <c r="W98" s="207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</row>
    <row r="99" spans="1:70" ht="16.5" hidden="1">
      <c r="A99" s="32"/>
      <c r="B99" s="209">
        <v>308</v>
      </c>
      <c r="C99" s="103" t="s">
        <v>128</v>
      </c>
      <c r="D99" s="210"/>
      <c r="E99" s="210"/>
      <c r="F99" s="210">
        <f>36.478+100.322+9.119+25.081+38.954</f>
        <v>209.954</v>
      </c>
      <c r="G99" s="210"/>
      <c r="H99" s="210"/>
      <c r="I99" s="106"/>
      <c r="J99" s="106"/>
      <c r="K99" s="106"/>
      <c r="L99" s="106"/>
      <c r="M99" s="105"/>
      <c r="N99" s="105"/>
      <c r="O99" s="105"/>
      <c r="P99" s="105"/>
      <c r="Q99" s="105"/>
      <c r="R99" s="105"/>
      <c r="S99" s="105"/>
      <c r="T99" s="131"/>
      <c r="U99" s="206">
        <f t="shared" si="4"/>
        <v>209.954</v>
      </c>
      <c r="W99" s="207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</row>
    <row r="100" spans="1:70" ht="16.5" hidden="1">
      <c r="A100" s="32"/>
      <c r="B100" s="209">
        <v>309</v>
      </c>
      <c r="C100" s="103" t="s">
        <v>128</v>
      </c>
      <c r="D100" s="210"/>
      <c r="E100" s="210"/>
      <c r="F100" s="210"/>
      <c r="G100" s="210"/>
      <c r="H100" s="210"/>
      <c r="I100" s="106"/>
      <c r="J100" s="106"/>
      <c r="K100" s="106"/>
      <c r="L100" s="106"/>
      <c r="M100" s="105"/>
      <c r="N100" s="105"/>
      <c r="O100" s="105"/>
      <c r="P100" s="105"/>
      <c r="Q100" s="105"/>
      <c r="R100" s="105"/>
      <c r="S100" s="105"/>
      <c r="T100" s="131"/>
      <c r="U100" s="206">
        <f t="shared" si="4"/>
        <v>0</v>
      </c>
      <c r="W100" s="207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</row>
    <row r="101" spans="1:70" ht="16.5" hidden="1">
      <c r="A101" s="32"/>
      <c r="B101" s="209">
        <v>310</v>
      </c>
      <c r="C101" s="103" t="s">
        <v>128</v>
      </c>
      <c r="D101" s="211"/>
      <c r="E101" s="211"/>
      <c r="F101" s="211">
        <f>22.8+5.7+140.907+35.227+34+2.5</f>
        <v>241.13400000000001</v>
      </c>
      <c r="G101" s="211"/>
      <c r="H101" s="211"/>
      <c r="I101" s="212"/>
      <c r="J101" s="212"/>
      <c r="K101" s="212"/>
      <c r="L101" s="212"/>
      <c r="M101" s="107"/>
      <c r="N101" s="107"/>
      <c r="O101" s="107"/>
      <c r="P101" s="107"/>
      <c r="Q101" s="107"/>
      <c r="R101" s="107"/>
      <c r="S101" s="107"/>
      <c r="T101" s="132"/>
      <c r="U101" s="206">
        <f t="shared" si="4"/>
        <v>241.13400000000001</v>
      </c>
      <c r="W101" s="207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</row>
    <row r="102" spans="1:70" ht="16.5" hidden="1">
      <c r="A102" s="242"/>
      <c r="B102" s="243">
        <v>311</v>
      </c>
      <c r="C102" s="103" t="s">
        <v>128</v>
      </c>
      <c r="D102" s="210"/>
      <c r="E102" s="210"/>
      <c r="F102" s="210">
        <f>280+40+7.484</f>
        <v>327.484</v>
      </c>
      <c r="G102" s="210"/>
      <c r="H102" s="210"/>
      <c r="I102" s="106"/>
      <c r="J102" s="106">
        <f>92.899</f>
        <v>92.899</v>
      </c>
      <c r="K102" s="106"/>
      <c r="L102" s="106"/>
      <c r="M102" s="105"/>
      <c r="N102" s="105"/>
      <c r="O102" s="105"/>
      <c r="P102" s="105"/>
      <c r="Q102" s="105"/>
      <c r="R102" s="105"/>
      <c r="S102" s="105"/>
      <c r="T102" s="131"/>
      <c r="U102" s="206">
        <f t="shared" si="4"/>
        <v>420.383</v>
      </c>
      <c r="W102" s="207"/>
      <c r="X102" s="207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</row>
    <row r="103" spans="1:70" ht="16.5" hidden="1">
      <c r="A103" s="251"/>
      <c r="B103" s="252">
        <v>312</v>
      </c>
      <c r="C103" s="103" t="s">
        <v>128</v>
      </c>
      <c r="D103" s="210"/>
      <c r="E103" s="210"/>
      <c r="F103" s="210">
        <f>0.415</f>
        <v>0.415</v>
      </c>
      <c r="G103" s="210"/>
      <c r="H103" s="210"/>
      <c r="I103" s="106"/>
      <c r="J103" s="106"/>
      <c r="K103" s="106"/>
      <c r="L103" s="106"/>
      <c r="M103" s="105"/>
      <c r="N103" s="105"/>
      <c r="O103" s="105"/>
      <c r="P103" s="105"/>
      <c r="Q103" s="105"/>
      <c r="R103" s="105"/>
      <c r="S103" s="105"/>
      <c r="T103" s="131"/>
      <c r="U103" s="206">
        <f t="shared" si="4"/>
        <v>0.415</v>
      </c>
      <c r="W103" s="207"/>
      <c r="X103" s="207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</row>
    <row r="104" spans="1:70" ht="17.25" hidden="1" thickBot="1">
      <c r="A104" s="245"/>
      <c r="B104" s="246"/>
      <c r="C104" s="236" t="s">
        <v>205</v>
      </c>
      <c r="D104" s="237">
        <v>26892</v>
      </c>
      <c r="E104" s="237">
        <v>3626</v>
      </c>
      <c r="F104" s="237">
        <v>24126</v>
      </c>
      <c r="G104" s="237">
        <v>682</v>
      </c>
      <c r="H104" s="237"/>
      <c r="I104" s="238"/>
      <c r="J104" s="238"/>
      <c r="K104" s="238"/>
      <c r="L104" s="238"/>
      <c r="M104" s="239"/>
      <c r="N104" s="239">
        <v>964</v>
      </c>
      <c r="O104" s="239">
        <v>25266</v>
      </c>
      <c r="P104" s="239"/>
      <c r="Q104" s="239"/>
      <c r="R104" s="239"/>
      <c r="S104" s="239"/>
      <c r="T104" s="240"/>
      <c r="U104" s="241">
        <f t="shared" si="4"/>
        <v>81556</v>
      </c>
      <c r="W104" s="207"/>
      <c r="X104" s="207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</row>
    <row r="105" spans="1:70" s="110" customFormat="1" ht="30" customHeight="1" thickBot="1" thickTop="1">
      <c r="A105" s="244"/>
      <c r="B105" s="234"/>
      <c r="C105" s="49" t="s">
        <v>143</v>
      </c>
      <c r="D105" s="72">
        <f>SUM(D46:D104)</f>
        <v>239612</v>
      </c>
      <c r="E105" s="72">
        <f>SUM(E46:E104)</f>
        <v>49440.907999999996</v>
      </c>
      <c r="F105" s="72">
        <f aca="true" t="shared" si="5" ref="F105:L105">SUM(F46:F104)</f>
        <v>172428.82</v>
      </c>
      <c r="G105" s="72">
        <f t="shared" si="5"/>
        <v>11381.645999999999</v>
      </c>
      <c r="H105" s="72">
        <f t="shared" si="5"/>
        <v>726</v>
      </c>
      <c r="I105" s="72">
        <f t="shared" si="5"/>
        <v>14</v>
      </c>
      <c r="J105" s="72">
        <f t="shared" si="5"/>
        <v>327.28999999999996</v>
      </c>
      <c r="K105" s="72">
        <f t="shared" si="5"/>
        <v>10008.037</v>
      </c>
      <c r="L105" s="72">
        <f t="shared" si="5"/>
        <v>2123239</v>
      </c>
      <c r="M105" s="72">
        <f aca="true" t="shared" si="6" ref="M105:T105">SUM(M46:M104)</f>
        <v>166409</v>
      </c>
      <c r="N105" s="72">
        <f t="shared" si="6"/>
        <v>16468</v>
      </c>
      <c r="O105" s="72">
        <f t="shared" si="6"/>
        <v>242965</v>
      </c>
      <c r="P105" s="72">
        <f t="shared" si="6"/>
        <v>0</v>
      </c>
      <c r="Q105" s="72">
        <f t="shared" si="6"/>
        <v>10000</v>
      </c>
      <c r="R105" s="72">
        <f t="shared" si="6"/>
        <v>0</v>
      </c>
      <c r="S105" s="72">
        <f t="shared" si="6"/>
        <v>529677.016</v>
      </c>
      <c r="T105" s="72">
        <f t="shared" si="6"/>
        <v>0</v>
      </c>
      <c r="U105" s="235">
        <f t="shared" si="4"/>
        <v>3572696.7169999997</v>
      </c>
      <c r="V105" s="109"/>
      <c r="W105" s="109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</row>
    <row r="106" spans="1:70" ht="30" customHeight="1" thickBot="1" thickTop="1">
      <c r="A106" s="219"/>
      <c r="B106" s="46"/>
      <c r="C106" s="55" t="s">
        <v>141</v>
      </c>
      <c r="D106" s="116">
        <f aca="true" t="shared" si="7" ref="D106:U106">D45+D105</f>
        <v>5092148</v>
      </c>
      <c r="E106" s="116">
        <f t="shared" si="7"/>
        <v>1315708.908</v>
      </c>
      <c r="F106" s="116">
        <f t="shared" si="7"/>
        <v>4596416.82</v>
      </c>
      <c r="G106" s="116">
        <f t="shared" si="7"/>
        <v>256840.646</v>
      </c>
      <c r="H106" s="116">
        <f t="shared" si="7"/>
        <v>405605</v>
      </c>
      <c r="I106" s="116">
        <f t="shared" si="7"/>
        <v>38811</v>
      </c>
      <c r="J106" s="116">
        <f t="shared" si="7"/>
        <v>17132.29</v>
      </c>
      <c r="K106" s="116">
        <f t="shared" si="7"/>
        <v>143171.037</v>
      </c>
      <c r="L106" s="116">
        <f t="shared" si="7"/>
        <v>2190452</v>
      </c>
      <c r="M106" s="116">
        <f t="shared" si="7"/>
        <v>322409</v>
      </c>
      <c r="N106" s="116">
        <f t="shared" si="7"/>
        <v>58688</v>
      </c>
      <c r="O106" s="116">
        <f t="shared" si="7"/>
        <v>1337579</v>
      </c>
      <c r="P106" s="116">
        <f t="shared" si="7"/>
        <v>25200</v>
      </c>
      <c r="Q106" s="116">
        <f t="shared" si="7"/>
        <v>10000</v>
      </c>
      <c r="R106" s="116">
        <f t="shared" si="7"/>
        <v>144828</v>
      </c>
      <c r="S106" s="116">
        <f t="shared" si="7"/>
        <v>1886089.0159999998</v>
      </c>
      <c r="T106" s="117">
        <f t="shared" si="7"/>
        <v>1498759</v>
      </c>
      <c r="U106" s="108">
        <f t="shared" si="7"/>
        <v>19339837.717</v>
      </c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</row>
    <row r="107" spans="1:22" ht="24" customHeight="1" hidden="1" thickBot="1" thickTop="1">
      <c r="A107" s="213"/>
      <c r="B107" s="214" t="s">
        <v>67</v>
      </c>
      <c r="C107" s="215" t="s">
        <v>64</v>
      </c>
      <c r="D107" s="216">
        <f aca="true" t="shared" si="8" ref="D107:T107">D106</f>
        <v>5092148</v>
      </c>
      <c r="E107" s="216">
        <f t="shared" si="8"/>
        <v>1315708.908</v>
      </c>
      <c r="F107" s="216">
        <f t="shared" si="8"/>
        <v>4596416.82</v>
      </c>
      <c r="G107" s="216">
        <f t="shared" si="8"/>
        <v>256840.646</v>
      </c>
      <c r="H107" s="216">
        <f t="shared" si="8"/>
        <v>405605</v>
      </c>
      <c r="I107" s="216">
        <f t="shared" si="8"/>
        <v>38811</v>
      </c>
      <c r="J107" s="216">
        <f t="shared" si="8"/>
        <v>17132.29</v>
      </c>
      <c r="K107" s="216">
        <f t="shared" si="8"/>
        <v>143171.037</v>
      </c>
      <c r="L107" s="216">
        <f t="shared" si="8"/>
        <v>2190452</v>
      </c>
      <c r="M107" s="216">
        <f t="shared" si="8"/>
        <v>322409</v>
      </c>
      <c r="N107" s="216">
        <f t="shared" si="8"/>
        <v>58688</v>
      </c>
      <c r="O107" s="216">
        <f t="shared" si="8"/>
        <v>1337579</v>
      </c>
      <c r="P107" s="216">
        <f t="shared" si="8"/>
        <v>25200</v>
      </c>
      <c r="Q107" s="216">
        <f t="shared" si="8"/>
        <v>10000</v>
      </c>
      <c r="R107" s="216">
        <f t="shared" si="8"/>
        <v>144828</v>
      </c>
      <c r="S107" s="216">
        <f t="shared" si="8"/>
        <v>1886089.0159999998</v>
      </c>
      <c r="T107" s="217">
        <f t="shared" si="8"/>
        <v>1498759</v>
      </c>
      <c r="U107" s="218">
        <f aca="true" t="shared" si="9" ref="U107:U139">SUM(D107:T107)</f>
        <v>19339837.717</v>
      </c>
      <c r="V107" s="109"/>
    </row>
    <row r="108" spans="1:21" ht="17.25" hidden="1" thickTop="1">
      <c r="A108" s="111">
        <v>1</v>
      </c>
      <c r="B108" s="33"/>
      <c r="C108" s="34"/>
      <c r="D108" s="92"/>
      <c r="E108" s="92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4"/>
      <c r="U108" s="112">
        <f t="shared" si="9"/>
        <v>0</v>
      </c>
    </row>
    <row r="109" spans="1:21" ht="16.5" hidden="1">
      <c r="A109" s="111">
        <v>2</v>
      </c>
      <c r="B109" s="33"/>
      <c r="C109" s="34"/>
      <c r="D109" s="98"/>
      <c r="E109" s="98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100"/>
      <c r="U109" s="113">
        <f t="shared" si="9"/>
        <v>0</v>
      </c>
    </row>
    <row r="110" spans="1:21" ht="16.5" hidden="1">
      <c r="A110" s="111">
        <v>3</v>
      </c>
      <c r="B110" s="33"/>
      <c r="C110" s="52"/>
      <c r="D110" s="98"/>
      <c r="E110" s="98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100"/>
      <c r="U110" s="113">
        <f t="shared" si="9"/>
        <v>0</v>
      </c>
    </row>
    <row r="111" spans="1:21" ht="16.5" hidden="1">
      <c r="A111" s="111">
        <v>4</v>
      </c>
      <c r="B111" s="39"/>
      <c r="C111" s="34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100"/>
      <c r="U111" s="113">
        <f t="shared" si="9"/>
        <v>0</v>
      </c>
    </row>
    <row r="112" spans="1:21" ht="16.5" hidden="1">
      <c r="A112" s="111">
        <v>5</v>
      </c>
      <c r="B112" s="39"/>
      <c r="C112" s="34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100"/>
      <c r="U112" s="113">
        <f t="shared" si="9"/>
        <v>0</v>
      </c>
    </row>
    <row r="113" spans="1:21" ht="16.5" hidden="1">
      <c r="A113" s="111">
        <v>6</v>
      </c>
      <c r="B113" s="39"/>
      <c r="C113" s="34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100"/>
      <c r="U113" s="113">
        <f t="shared" si="9"/>
        <v>0</v>
      </c>
    </row>
    <row r="114" spans="1:21" ht="16.5" hidden="1">
      <c r="A114" s="111">
        <v>7</v>
      </c>
      <c r="B114" s="39"/>
      <c r="C114" s="52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100"/>
      <c r="U114" s="113">
        <f t="shared" si="9"/>
        <v>0</v>
      </c>
    </row>
    <row r="115" spans="1:21" ht="16.5" hidden="1">
      <c r="A115" s="111">
        <v>8</v>
      </c>
      <c r="B115" s="39"/>
      <c r="C115" s="52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100"/>
      <c r="U115" s="113">
        <f t="shared" si="9"/>
        <v>0</v>
      </c>
    </row>
    <row r="116" spans="1:21" ht="16.5" hidden="1">
      <c r="A116" s="111">
        <v>9</v>
      </c>
      <c r="B116" s="56"/>
      <c r="C116" s="42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100"/>
      <c r="U116" s="113">
        <f t="shared" si="9"/>
        <v>0</v>
      </c>
    </row>
    <row r="117" spans="1:21" ht="16.5" hidden="1">
      <c r="A117" s="111">
        <v>10</v>
      </c>
      <c r="B117" s="39"/>
      <c r="C117" s="34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100"/>
      <c r="U117" s="113">
        <f t="shared" si="9"/>
        <v>0</v>
      </c>
    </row>
    <row r="118" spans="1:21" ht="16.5" hidden="1">
      <c r="A118" s="111">
        <v>11</v>
      </c>
      <c r="B118" s="39"/>
      <c r="C118" s="34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100"/>
      <c r="U118" s="113">
        <f t="shared" si="9"/>
        <v>0</v>
      </c>
    </row>
    <row r="119" spans="1:21" ht="16.5" hidden="1">
      <c r="A119" s="111">
        <v>12</v>
      </c>
      <c r="B119" s="39"/>
      <c r="C119" s="52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100"/>
      <c r="U119" s="113">
        <f t="shared" si="9"/>
        <v>0</v>
      </c>
    </row>
    <row r="120" spans="1:21" ht="16.5" hidden="1">
      <c r="A120" s="111">
        <v>13</v>
      </c>
      <c r="B120" s="39"/>
      <c r="C120" s="34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100"/>
      <c r="U120" s="113">
        <f t="shared" si="9"/>
        <v>0</v>
      </c>
    </row>
    <row r="121" spans="1:21" ht="16.5" hidden="1">
      <c r="A121" s="111">
        <v>14</v>
      </c>
      <c r="B121" s="39"/>
      <c r="C121" s="34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100"/>
      <c r="U121" s="113">
        <f t="shared" si="9"/>
        <v>0</v>
      </c>
    </row>
    <row r="122" spans="1:21" ht="16.5" hidden="1">
      <c r="A122" s="111">
        <v>15</v>
      </c>
      <c r="B122" s="39"/>
      <c r="C122" s="52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100"/>
      <c r="U122" s="113">
        <f t="shared" si="9"/>
        <v>0</v>
      </c>
    </row>
    <row r="123" spans="1:21" ht="16.5" hidden="1">
      <c r="A123" s="111">
        <v>16</v>
      </c>
      <c r="B123" s="39"/>
      <c r="C123" s="34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100"/>
      <c r="U123" s="113">
        <f t="shared" si="9"/>
        <v>0</v>
      </c>
    </row>
    <row r="124" spans="1:21" ht="16.5" hidden="1">
      <c r="A124" s="111">
        <v>17</v>
      </c>
      <c r="B124" s="39"/>
      <c r="C124" s="34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100"/>
      <c r="U124" s="113">
        <f t="shared" si="9"/>
        <v>0</v>
      </c>
    </row>
    <row r="125" spans="1:21" ht="16.5" hidden="1">
      <c r="A125" s="111">
        <v>18</v>
      </c>
      <c r="B125" s="39"/>
      <c r="C125" s="34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100"/>
      <c r="U125" s="113">
        <f t="shared" si="9"/>
        <v>0</v>
      </c>
    </row>
    <row r="126" spans="1:21" ht="16.5" hidden="1">
      <c r="A126" s="111">
        <v>19</v>
      </c>
      <c r="B126" s="39"/>
      <c r="C126" s="34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100"/>
      <c r="U126" s="113">
        <f t="shared" si="9"/>
        <v>0</v>
      </c>
    </row>
    <row r="127" spans="1:21" ht="16.5" hidden="1">
      <c r="A127" s="111">
        <v>20</v>
      </c>
      <c r="B127" s="39"/>
      <c r="C127" s="52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100"/>
      <c r="U127" s="113">
        <f t="shared" si="9"/>
        <v>0</v>
      </c>
    </row>
    <row r="128" spans="1:21" ht="16.5" hidden="1">
      <c r="A128" s="111">
        <v>21</v>
      </c>
      <c r="B128" s="39"/>
      <c r="C128" s="34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100"/>
      <c r="U128" s="113">
        <f t="shared" si="9"/>
        <v>0</v>
      </c>
    </row>
    <row r="129" spans="1:21" ht="16.5" hidden="1">
      <c r="A129" s="111">
        <v>22</v>
      </c>
      <c r="B129" s="56"/>
      <c r="C129" s="42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100"/>
      <c r="U129" s="113">
        <f t="shared" si="9"/>
        <v>0</v>
      </c>
    </row>
    <row r="130" spans="1:21" ht="16.5" hidden="1">
      <c r="A130" s="111">
        <v>23</v>
      </c>
      <c r="B130" s="39"/>
      <c r="C130" s="34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100"/>
      <c r="U130" s="113">
        <f t="shared" si="9"/>
        <v>0</v>
      </c>
    </row>
    <row r="131" spans="1:21" ht="16.5" hidden="1">
      <c r="A131" s="111">
        <v>24</v>
      </c>
      <c r="B131" s="39"/>
      <c r="C131" s="34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100"/>
      <c r="U131" s="113">
        <f t="shared" si="9"/>
        <v>0</v>
      </c>
    </row>
    <row r="132" spans="1:21" ht="16.5" hidden="1">
      <c r="A132" s="111">
        <v>25</v>
      </c>
      <c r="B132" s="56"/>
      <c r="C132" s="42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100"/>
      <c r="U132" s="113">
        <f t="shared" si="9"/>
        <v>0</v>
      </c>
    </row>
    <row r="133" spans="1:21" ht="16.5" hidden="1">
      <c r="A133" s="111">
        <v>26</v>
      </c>
      <c r="B133" s="56"/>
      <c r="C133" s="42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100"/>
      <c r="U133" s="113">
        <f t="shared" si="9"/>
        <v>0</v>
      </c>
    </row>
    <row r="134" spans="1:21" ht="16.5" hidden="1">
      <c r="A134" s="111">
        <v>27</v>
      </c>
      <c r="B134" s="56"/>
      <c r="C134" s="34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100"/>
      <c r="U134" s="113">
        <f t="shared" si="9"/>
        <v>0</v>
      </c>
    </row>
    <row r="135" spans="1:21" ht="16.5" hidden="1">
      <c r="A135" s="111">
        <v>28</v>
      </c>
      <c r="B135" s="41"/>
      <c r="C135" s="43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100"/>
      <c r="U135" s="113">
        <f t="shared" si="9"/>
        <v>0</v>
      </c>
    </row>
    <row r="136" spans="1:21" ht="16.5" hidden="1">
      <c r="A136" s="111">
        <v>29</v>
      </c>
      <c r="B136" s="41"/>
      <c r="C136" s="43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100"/>
      <c r="U136" s="113">
        <f t="shared" si="9"/>
        <v>0</v>
      </c>
    </row>
    <row r="137" spans="1:21" ht="16.5" hidden="1">
      <c r="A137" s="111">
        <v>30</v>
      </c>
      <c r="B137" s="41"/>
      <c r="C137" s="43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100"/>
      <c r="U137" s="113">
        <f t="shared" si="9"/>
        <v>0</v>
      </c>
    </row>
    <row r="138" spans="1:21" ht="16.5" hidden="1">
      <c r="A138" s="111">
        <v>31</v>
      </c>
      <c r="B138" s="41"/>
      <c r="C138" s="43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100"/>
      <c r="U138" s="113">
        <f t="shared" si="9"/>
        <v>0</v>
      </c>
    </row>
    <row r="139" spans="1:21" ht="16.5" hidden="1">
      <c r="A139" s="111">
        <v>32</v>
      </c>
      <c r="B139" s="40"/>
      <c r="C139" s="34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100"/>
      <c r="U139" s="113">
        <f t="shared" si="9"/>
        <v>0</v>
      </c>
    </row>
    <row r="140" spans="1:21" ht="16.5" hidden="1">
      <c r="A140" s="111">
        <v>33</v>
      </c>
      <c r="B140" s="40"/>
      <c r="C140" s="34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100"/>
      <c r="U140" s="113">
        <f aca="true" t="shared" si="10" ref="U140:U172">SUM(D140:T140)</f>
        <v>0</v>
      </c>
    </row>
    <row r="141" spans="1:21" ht="16.5" hidden="1">
      <c r="A141" s="111">
        <v>34</v>
      </c>
      <c r="B141" s="40"/>
      <c r="C141" s="52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100"/>
      <c r="U141" s="113">
        <f t="shared" si="10"/>
        <v>0</v>
      </c>
    </row>
    <row r="142" spans="1:21" ht="16.5" hidden="1">
      <c r="A142" s="111">
        <v>35</v>
      </c>
      <c r="B142" s="40"/>
      <c r="C142" s="52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100"/>
      <c r="U142" s="113">
        <f t="shared" si="10"/>
        <v>0</v>
      </c>
    </row>
    <row r="143" spans="1:21" ht="16.5" hidden="1">
      <c r="A143" s="111">
        <v>36</v>
      </c>
      <c r="B143" s="40"/>
      <c r="C143" s="52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100"/>
      <c r="U143" s="113">
        <f t="shared" si="10"/>
        <v>0</v>
      </c>
    </row>
    <row r="144" spans="1:21" ht="16.5" hidden="1">
      <c r="A144" s="111">
        <v>37</v>
      </c>
      <c r="B144" s="40"/>
      <c r="C144" s="52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100"/>
      <c r="U144" s="113">
        <f t="shared" si="10"/>
        <v>0</v>
      </c>
    </row>
    <row r="145" spans="1:21" ht="16.5" hidden="1">
      <c r="A145" s="111">
        <v>38</v>
      </c>
      <c r="B145" s="140"/>
      <c r="C145" s="34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100"/>
      <c r="U145" s="113">
        <f t="shared" si="10"/>
        <v>0</v>
      </c>
    </row>
    <row r="146" spans="1:21" ht="16.5" hidden="1">
      <c r="A146" s="111">
        <v>39</v>
      </c>
      <c r="B146" s="114"/>
      <c r="C146" s="52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100"/>
      <c r="U146" s="113">
        <f t="shared" si="10"/>
        <v>0</v>
      </c>
    </row>
    <row r="147" spans="1:21" ht="16.5" customHeight="1" hidden="1">
      <c r="A147" s="111">
        <v>40</v>
      </c>
      <c r="B147" s="40"/>
      <c r="C147" s="52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100"/>
      <c r="U147" s="113">
        <f t="shared" si="10"/>
        <v>0</v>
      </c>
    </row>
    <row r="148" spans="1:21" ht="16.5" customHeight="1" hidden="1">
      <c r="A148" s="111">
        <v>41</v>
      </c>
      <c r="B148" s="40"/>
      <c r="C148" s="52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100"/>
      <c r="U148" s="113">
        <f t="shared" si="10"/>
        <v>0</v>
      </c>
    </row>
    <row r="149" spans="1:21" ht="16.5" hidden="1">
      <c r="A149" s="111">
        <v>42</v>
      </c>
      <c r="B149" s="40"/>
      <c r="C149" s="52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100"/>
      <c r="U149" s="113">
        <f t="shared" si="10"/>
        <v>0</v>
      </c>
    </row>
    <row r="150" spans="1:21" ht="16.5" hidden="1">
      <c r="A150" s="111">
        <v>43</v>
      </c>
      <c r="B150" s="39"/>
      <c r="C150" s="34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100"/>
      <c r="U150" s="113">
        <f t="shared" si="10"/>
        <v>0</v>
      </c>
    </row>
    <row r="151" spans="1:21" ht="16.5" hidden="1">
      <c r="A151" s="111">
        <v>44</v>
      </c>
      <c r="B151" s="40"/>
      <c r="C151" s="52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100"/>
      <c r="U151" s="113">
        <f t="shared" si="10"/>
        <v>0</v>
      </c>
    </row>
    <row r="152" spans="1:21" ht="16.5" hidden="1">
      <c r="A152" s="111">
        <v>45</v>
      </c>
      <c r="B152" s="40"/>
      <c r="C152" s="52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100"/>
      <c r="U152" s="113">
        <f t="shared" si="10"/>
        <v>0</v>
      </c>
    </row>
    <row r="153" spans="1:21" ht="16.5" hidden="1">
      <c r="A153" s="111">
        <v>46</v>
      </c>
      <c r="B153" s="40"/>
      <c r="C153" s="52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100"/>
      <c r="U153" s="113">
        <f t="shared" si="10"/>
        <v>0</v>
      </c>
    </row>
    <row r="154" spans="1:21" ht="16.5" hidden="1">
      <c r="A154" s="111">
        <v>47</v>
      </c>
      <c r="B154" s="40"/>
      <c r="C154" s="42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100"/>
      <c r="U154" s="113">
        <f t="shared" si="10"/>
        <v>0</v>
      </c>
    </row>
    <row r="155" spans="1:21" ht="16.5" hidden="1">
      <c r="A155" s="111">
        <v>48</v>
      </c>
      <c r="B155" s="40"/>
      <c r="C155" s="42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100"/>
      <c r="U155" s="113">
        <f t="shared" si="10"/>
        <v>0</v>
      </c>
    </row>
    <row r="156" spans="1:21" ht="16.5" hidden="1">
      <c r="A156" s="111">
        <v>49</v>
      </c>
      <c r="B156" s="40"/>
      <c r="C156" s="52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100"/>
      <c r="U156" s="113">
        <f t="shared" si="10"/>
        <v>0</v>
      </c>
    </row>
    <row r="157" spans="1:21" ht="16.5" hidden="1">
      <c r="A157" s="111">
        <v>50</v>
      </c>
      <c r="B157" s="40"/>
      <c r="C157" s="52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100"/>
      <c r="U157" s="113">
        <f t="shared" si="10"/>
        <v>0</v>
      </c>
    </row>
    <row r="158" spans="1:21" ht="16.5" hidden="1">
      <c r="A158" s="111">
        <v>51</v>
      </c>
      <c r="B158" s="40"/>
      <c r="C158" s="52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100"/>
      <c r="U158" s="113">
        <f t="shared" si="10"/>
        <v>0</v>
      </c>
    </row>
    <row r="159" spans="1:21" ht="16.5" hidden="1">
      <c r="A159" s="111">
        <v>52</v>
      </c>
      <c r="B159" s="40"/>
      <c r="C159" s="52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100"/>
      <c r="U159" s="113">
        <f t="shared" si="10"/>
        <v>0</v>
      </c>
    </row>
    <row r="160" spans="1:21" ht="16.5" hidden="1">
      <c r="A160" s="111">
        <v>53</v>
      </c>
      <c r="B160" s="40"/>
      <c r="C160" s="52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100"/>
      <c r="U160" s="113">
        <f t="shared" si="10"/>
        <v>0</v>
      </c>
    </row>
    <row r="161" spans="1:21" ht="16.5" hidden="1">
      <c r="A161" s="111">
        <v>54</v>
      </c>
      <c r="B161" s="40"/>
      <c r="C161" s="52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100"/>
      <c r="U161" s="113">
        <f t="shared" si="10"/>
        <v>0</v>
      </c>
    </row>
    <row r="162" spans="1:21" ht="16.5" hidden="1">
      <c r="A162" s="111">
        <v>55</v>
      </c>
      <c r="B162" s="40"/>
      <c r="C162" s="52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100"/>
      <c r="U162" s="113">
        <f t="shared" si="10"/>
        <v>0</v>
      </c>
    </row>
    <row r="163" spans="1:21" ht="16.5" hidden="1">
      <c r="A163" s="152">
        <v>56</v>
      </c>
      <c r="B163" s="40"/>
      <c r="C163" s="153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5"/>
      <c r="U163" s="139">
        <f t="shared" si="10"/>
        <v>0</v>
      </c>
    </row>
    <row r="164" spans="1:21" ht="16.5" hidden="1">
      <c r="A164" s="111">
        <v>57</v>
      </c>
      <c r="B164" s="114"/>
      <c r="C164" s="52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100"/>
      <c r="U164" s="113">
        <f t="shared" si="10"/>
        <v>0</v>
      </c>
    </row>
    <row r="165" spans="1:21" ht="16.5" hidden="1">
      <c r="A165" s="111">
        <v>58</v>
      </c>
      <c r="B165" s="40"/>
      <c r="C165" s="52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100"/>
      <c r="U165" s="113">
        <f t="shared" si="10"/>
        <v>0</v>
      </c>
    </row>
    <row r="166" spans="1:21" ht="16.5" hidden="1">
      <c r="A166" s="111">
        <v>59</v>
      </c>
      <c r="B166" s="40"/>
      <c r="C166" s="52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100"/>
      <c r="U166" s="113">
        <f t="shared" si="10"/>
        <v>0</v>
      </c>
    </row>
    <row r="167" spans="1:21" ht="16.5" hidden="1">
      <c r="A167" s="111">
        <v>60</v>
      </c>
      <c r="B167" s="40"/>
      <c r="C167" s="52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100"/>
      <c r="U167" s="113">
        <f t="shared" si="10"/>
        <v>0</v>
      </c>
    </row>
    <row r="168" spans="1:21" ht="16.5" hidden="1">
      <c r="A168" s="111">
        <v>61</v>
      </c>
      <c r="B168" s="40"/>
      <c r="C168" s="52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100"/>
      <c r="U168" s="113">
        <f t="shared" si="10"/>
        <v>0</v>
      </c>
    </row>
    <row r="169" spans="1:21" ht="16.5" hidden="1">
      <c r="A169" s="111">
        <v>62</v>
      </c>
      <c r="B169" s="40"/>
      <c r="C169" s="52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100"/>
      <c r="U169" s="113">
        <f t="shared" si="10"/>
        <v>0</v>
      </c>
    </row>
    <row r="170" spans="1:22" ht="16.5" hidden="1">
      <c r="A170" s="111">
        <v>63</v>
      </c>
      <c r="B170" s="40"/>
      <c r="C170" s="52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100"/>
      <c r="U170" s="113">
        <f t="shared" si="10"/>
        <v>0</v>
      </c>
      <c r="V170" s="115"/>
    </row>
    <row r="171" spans="1:21" ht="16.5" hidden="1">
      <c r="A171" s="111">
        <v>64</v>
      </c>
      <c r="B171" s="40"/>
      <c r="C171" s="52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100"/>
      <c r="U171" s="113">
        <f t="shared" si="10"/>
        <v>0</v>
      </c>
    </row>
    <row r="172" spans="1:21" ht="16.5" hidden="1">
      <c r="A172" s="111">
        <v>65</v>
      </c>
      <c r="B172" s="40"/>
      <c r="C172" s="52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100"/>
      <c r="U172" s="113">
        <f t="shared" si="10"/>
        <v>0</v>
      </c>
    </row>
    <row r="173" spans="1:21" ht="16.5" hidden="1">
      <c r="A173" s="111">
        <v>66</v>
      </c>
      <c r="B173" s="40"/>
      <c r="C173" s="52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100"/>
      <c r="U173" s="113">
        <f aca="true" t="shared" si="11" ref="U173:U221">SUM(D173:T173)</f>
        <v>0</v>
      </c>
    </row>
    <row r="174" spans="1:21" ht="16.5" hidden="1">
      <c r="A174" s="111">
        <v>67</v>
      </c>
      <c r="B174" s="39"/>
      <c r="C174" s="34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100"/>
      <c r="U174" s="113">
        <f t="shared" si="11"/>
        <v>0</v>
      </c>
    </row>
    <row r="175" spans="1:22" ht="16.5" hidden="1">
      <c r="A175" s="111">
        <v>68</v>
      </c>
      <c r="B175" s="41"/>
      <c r="C175" s="34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100"/>
      <c r="U175" s="113">
        <f t="shared" si="11"/>
        <v>0</v>
      </c>
      <c r="V175" s="115"/>
    </row>
    <row r="176" spans="1:21" ht="16.5" hidden="1">
      <c r="A176" s="111">
        <v>69</v>
      </c>
      <c r="B176" s="40"/>
      <c r="C176" s="34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100"/>
      <c r="U176" s="113">
        <f t="shared" si="11"/>
        <v>0</v>
      </c>
    </row>
    <row r="177" spans="1:21" ht="16.5" hidden="1">
      <c r="A177" s="111">
        <v>70</v>
      </c>
      <c r="B177" s="40"/>
      <c r="C177" s="34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100"/>
      <c r="U177" s="113">
        <f t="shared" si="11"/>
        <v>0</v>
      </c>
    </row>
    <row r="178" spans="1:21" ht="16.5" hidden="1">
      <c r="A178" s="111">
        <v>71</v>
      </c>
      <c r="B178" s="41"/>
      <c r="C178" s="34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100"/>
      <c r="U178" s="113">
        <f t="shared" si="11"/>
        <v>0</v>
      </c>
    </row>
    <row r="179" spans="1:21" ht="16.5" hidden="1">
      <c r="A179" s="111">
        <v>72</v>
      </c>
      <c r="B179" s="40"/>
      <c r="C179" s="34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100"/>
      <c r="U179" s="113">
        <f t="shared" si="11"/>
        <v>0</v>
      </c>
    </row>
    <row r="180" spans="1:21" ht="16.5" hidden="1">
      <c r="A180" s="111">
        <v>73</v>
      </c>
      <c r="B180" s="41"/>
      <c r="C180" s="34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100"/>
      <c r="U180" s="113">
        <f t="shared" si="11"/>
        <v>0</v>
      </c>
    </row>
    <row r="181" spans="1:21" ht="16.5" hidden="1">
      <c r="A181" s="111">
        <v>74</v>
      </c>
      <c r="B181" s="41"/>
      <c r="C181" s="34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100"/>
      <c r="U181" s="113">
        <f t="shared" si="11"/>
        <v>0</v>
      </c>
    </row>
    <row r="182" spans="1:21" ht="16.5" hidden="1">
      <c r="A182" s="111">
        <v>75</v>
      </c>
      <c r="B182" s="41"/>
      <c r="C182" s="34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100"/>
      <c r="U182" s="113">
        <f t="shared" si="11"/>
        <v>0</v>
      </c>
    </row>
    <row r="183" spans="1:21" ht="16.5" hidden="1">
      <c r="A183" s="111">
        <v>76</v>
      </c>
      <c r="B183" s="41"/>
      <c r="C183" s="52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100"/>
      <c r="U183" s="113">
        <f t="shared" si="11"/>
        <v>0</v>
      </c>
    </row>
    <row r="184" spans="1:21" ht="16.5" hidden="1">
      <c r="A184" s="111">
        <v>77</v>
      </c>
      <c r="B184" s="40"/>
      <c r="C184" s="52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100"/>
      <c r="U184" s="113">
        <f t="shared" si="11"/>
        <v>0</v>
      </c>
    </row>
    <row r="185" spans="1:21" ht="16.5" hidden="1">
      <c r="A185" s="111">
        <v>78</v>
      </c>
      <c r="B185" s="40"/>
      <c r="C185" s="52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100"/>
      <c r="U185" s="113">
        <f t="shared" si="11"/>
        <v>0</v>
      </c>
    </row>
    <row r="186" spans="1:21" ht="16.5" hidden="1">
      <c r="A186" s="111">
        <v>79</v>
      </c>
      <c r="B186" s="40"/>
      <c r="C186" s="52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100"/>
      <c r="U186" s="113">
        <f t="shared" si="11"/>
        <v>0</v>
      </c>
    </row>
    <row r="187" spans="1:21" ht="16.5" hidden="1">
      <c r="A187" s="111">
        <v>80</v>
      </c>
      <c r="B187" s="40"/>
      <c r="C187" s="52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100"/>
      <c r="U187" s="113">
        <f t="shared" si="11"/>
        <v>0</v>
      </c>
    </row>
    <row r="188" spans="1:21" ht="12.75" customHeight="1" hidden="1">
      <c r="A188" s="111">
        <v>81</v>
      </c>
      <c r="B188" s="40"/>
      <c r="C188" s="52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100"/>
      <c r="U188" s="113">
        <f t="shared" si="11"/>
        <v>0</v>
      </c>
    </row>
    <row r="189" spans="1:21" ht="16.5" hidden="1">
      <c r="A189" s="111">
        <v>82</v>
      </c>
      <c r="B189" s="40"/>
      <c r="C189" s="52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100"/>
      <c r="U189" s="113">
        <f t="shared" si="11"/>
        <v>0</v>
      </c>
    </row>
    <row r="190" spans="1:21" ht="16.5" hidden="1">
      <c r="A190" s="111">
        <v>83</v>
      </c>
      <c r="B190" s="40"/>
      <c r="C190" s="52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100"/>
      <c r="U190" s="113">
        <f t="shared" si="11"/>
        <v>0</v>
      </c>
    </row>
    <row r="191" spans="1:21" ht="16.5" customHeight="1" hidden="1">
      <c r="A191" s="111">
        <v>84</v>
      </c>
      <c r="B191" s="40"/>
      <c r="C191" s="52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100"/>
      <c r="U191" s="113">
        <f t="shared" si="11"/>
        <v>0</v>
      </c>
    </row>
    <row r="192" spans="1:21" ht="16.5" hidden="1">
      <c r="A192" s="111">
        <v>85</v>
      </c>
      <c r="B192" s="40"/>
      <c r="C192" s="52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100"/>
      <c r="U192" s="113">
        <f t="shared" si="11"/>
        <v>0</v>
      </c>
    </row>
    <row r="193" spans="1:21" ht="16.5" hidden="1">
      <c r="A193" s="111">
        <v>86</v>
      </c>
      <c r="B193" s="40"/>
      <c r="C193" s="52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100"/>
      <c r="U193" s="113">
        <f t="shared" si="11"/>
        <v>0</v>
      </c>
    </row>
    <row r="194" spans="1:21" ht="16.5" hidden="1">
      <c r="A194" s="111">
        <v>87</v>
      </c>
      <c r="B194" s="40"/>
      <c r="C194" s="52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100"/>
      <c r="U194" s="113">
        <f t="shared" si="11"/>
        <v>0</v>
      </c>
    </row>
    <row r="195" spans="1:21" ht="16.5" hidden="1">
      <c r="A195" s="111">
        <v>88</v>
      </c>
      <c r="B195" s="40"/>
      <c r="C195" s="52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100"/>
      <c r="U195" s="113">
        <f t="shared" si="11"/>
        <v>0</v>
      </c>
    </row>
    <row r="196" spans="1:21" ht="16.5" hidden="1">
      <c r="A196" s="111">
        <v>89</v>
      </c>
      <c r="B196" s="40"/>
      <c r="C196" s="52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100"/>
      <c r="U196" s="113">
        <f t="shared" si="11"/>
        <v>0</v>
      </c>
    </row>
    <row r="197" spans="1:21" ht="16.5" hidden="1">
      <c r="A197" s="111">
        <v>90</v>
      </c>
      <c r="B197" s="40"/>
      <c r="C197" s="52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100"/>
      <c r="U197" s="113">
        <f t="shared" si="11"/>
        <v>0</v>
      </c>
    </row>
    <row r="198" spans="1:21" ht="16.5" hidden="1">
      <c r="A198" s="111">
        <v>91</v>
      </c>
      <c r="B198" s="40"/>
      <c r="C198" s="52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100"/>
      <c r="U198" s="113">
        <f t="shared" si="11"/>
        <v>0</v>
      </c>
    </row>
    <row r="199" spans="1:21" ht="16.5" hidden="1">
      <c r="A199" s="111">
        <v>92</v>
      </c>
      <c r="B199" s="40"/>
      <c r="C199" s="52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100"/>
      <c r="U199" s="113">
        <f t="shared" si="11"/>
        <v>0</v>
      </c>
    </row>
    <row r="200" spans="1:21" ht="16.5" hidden="1">
      <c r="A200" s="111">
        <v>93</v>
      </c>
      <c r="B200" s="40"/>
      <c r="C200" s="52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100"/>
      <c r="U200" s="113">
        <f t="shared" si="11"/>
        <v>0</v>
      </c>
    </row>
    <row r="201" spans="1:21" ht="16.5" hidden="1">
      <c r="A201" s="111">
        <v>94</v>
      </c>
      <c r="B201" s="40"/>
      <c r="C201" s="52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100"/>
      <c r="U201" s="113">
        <f t="shared" si="11"/>
        <v>0</v>
      </c>
    </row>
    <row r="202" spans="1:21" ht="16.5" hidden="1">
      <c r="A202" s="111">
        <v>95</v>
      </c>
      <c r="B202" s="40"/>
      <c r="C202" s="52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100"/>
      <c r="U202" s="113">
        <f t="shared" si="11"/>
        <v>0</v>
      </c>
    </row>
    <row r="203" spans="1:21" ht="16.5" hidden="1">
      <c r="A203" s="111">
        <v>96</v>
      </c>
      <c r="B203" s="40"/>
      <c r="C203" s="52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100"/>
      <c r="U203" s="113">
        <f t="shared" si="11"/>
        <v>0</v>
      </c>
    </row>
    <row r="204" spans="1:21" ht="16.5" hidden="1">
      <c r="A204" s="111">
        <v>97</v>
      </c>
      <c r="B204" s="40"/>
      <c r="C204" s="52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100"/>
      <c r="U204" s="113">
        <f t="shared" si="11"/>
        <v>0</v>
      </c>
    </row>
    <row r="205" spans="1:21" ht="16.5" hidden="1">
      <c r="A205" s="111">
        <v>98</v>
      </c>
      <c r="B205" s="40"/>
      <c r="C205" s="52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100"/>
      <c r="U205" s="113">
        <f t="shared" si="11"/>
        <v>0</v>
      </c>
    </row>
    <row r="206" spans="1:21" ht="16.5" hidden="1">
      <c r="A206" s="111">
        <v>99</v>
      </c>
      <c r="B206" s="40"/>
      <c r="C206" s="52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100"/>
      <c r="U206" s="113">
        <f t="shared" si="11"/>
        <v>0</v>
      </c>
    </row>
    <row r="207" spans="1:21" ht="16.5" hidden="1">
      <c r="A207" s="111">
        <v>100</v>
      </c>
      <c r="B207" s="40"/>
      <c r="C207" s="52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100"/>
      <c r="U207" s="113">
        <f t="shared" si="11"/>
        <v>0</v>
      </c>
    </row>
    <row r="208" spans="1:21" ht="16.5" hidden="1">
      <c r="A208" s="111">
        <v>101</v>
      </c>
      <c r="B208" s="40"/>
      <c r="C208" s="52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100"/>
      <c r="U208" s="113">
        <f t="shared" si="11"/>
        <v>0</v>
      </c>
    </row>
    <row r="209" spans="1:21" ht="16.5" hidden="1">
      <c r="A209" s="111">
        <v>102</v>
      </c>
      <c r="B209" s="40"/>
      <c r="C209" s="52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100"/>
      <c r="U209" s="113">
        <f t="shared" si="11"/>
        <v>0</v>
      </c>
    </row>
    <row r="210" spans="1:22" ht="16.5" hidden="1">
      <c r="A210" s="111">
        <v>103</v>
      </c>
      <c r="B210" s="40"/>
      <c r="C210" s="52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100"/>
      <c r="U210" s="113">
        <f t="shared" si="11"/>
        <v>0</v>
      </c>
      <c r="V210" s="115"/>
    </row>
    <row r="211" spans="1:21" ht="16.5" hidden="1">
      <c r="A211" s="111">
        <v>104</v>
      </c>
      <c r="B211" s="40"/>
      <c r="C211" s="52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100"/>
      <c r="U211" s="113">
        <f t="shared" si="11"/>
        <v>0</v>
      </c>
    </row>
    <row r="212" spans="1:21" ht="16.5" hidden="1">
      <c r="A212" s="111">
        <v>105</v>
      </c>
      <c r="B212" s="40"/>
      <c r="C212" s="52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100"/>
      <c r="U212" s="113">
        <f t="shared" si="11"/>
        <v>0</v>
      </c>
    </row>
    <row r="213" spans="1:21" ht="16.5" hidden="1">
      <c r="A213" s="111">
        <v>106</v>
      </c>
      <c r="B213" s="40"/>
      <c r="C213" s="52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100"/>
      <c r="U213" s="113">
        <f t="shared" si="11"/>
        <v>0</v>
      </c>
    </row>
    <row r="214" spans="1:21" ht="16.5" hidden="1">
      <c r="A214" s="111">
        <v>107</v>
      </c>
      <c r="B214" s="40"/>
      <c r="C214" s="52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100"/>
      <c r="U214" s="113">
        <f t="shared" si="11"/>
        <v>0</v>
      </c>
    </row>
    <row r="215" spans="1:21" ht="17.25" hidden="1" thickBot="1">
      <c r="A215" s="111">
        <v>108</v>
      </c>
      <c r="B215" s="140"/>
      <c r="C215" s="141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6"/>
      <c r="U215" s="147">
        <f t="shared" si="11"/>
        <v>0</v>
      </c>
    </row>
    <row r="216" spans="1:21" ht="18.75" hidden="1" thickBot="1" thickTop="1">
      <c r="A216" s="53"/>
      <c r="B216" s="149" t="s">
        <v>68</v>
      </c>
      <c r="C216" s="55" t="s">
        <v>65</v>
      </c>
      <c r="D216" s="116">
        <f>SUM(D108:D215)</f>
        <v>0</v>
      </c>
      <c r="E216" s="116">
        <f aca="true" t="shared" si="12" ref="E216:J216">SUM(E108:E215)</f>
        <v>0</v>
      </c>
      <c r="F216" s="116">
        <f t="shared" si="12"/>
        <v>0</v>
      </c>
      <c r="G216" s="116">
        <f t="shared" si="12"/>
        <v>0</v>
      </c>
      <c r="H216" s="116">
        <f t="shared" si="12"/>
        <v>0</v>
      </c>
      <c r="I216" s="116">
        <f t="shared" si="12"/>
        <v>0</v>
      </c>
      <c r="J216" s="116">
        <f t="shared" si="12"/>
        <v>0</v>
      </c>
      <c r="K216" s="116">
        <f aca="true" t="shared" si="13" ref="K216:T216">SUM(K108:K215)</f>
        <v>0</v>
      </c>
      <c r="L216" s="116">
        <f t="shared" si="13"/>
        <v>0</v>
      </c>
      <c r="M216" s="116">
        <f t="shared" si="13"/>
        <v>0</v>
      </c>
      <c r="N216" s="116">
        <f t="shared" si="13"/>
        <v>0</v>
      </c>
      <c r="O216" s="116">
        <f t="shared" si="13"/>
        <v>0</v>
      </c>
      <c r="P216" s="116">
        <f t="shared" si="13"/>
        <v>0</v>
      </c>
      <c r="Q216" s="116">
        <f t="shared" si="13"/>
        <v>0</v>
      </c>
      <c r="R216" s="116">
        <f t="shared" si="13"/>
        <v>0</v>
      </c>
      <c r="S216" s="116">
        <f t="shared" si="13"/>
        <v>0</v>
      </c>
      <c r="T216" s="116">
        <f t="shared" si="13"/>
        <v>0</v>
      </c>
      <c r="U216" s="108">
        <f t="shared" si="11"/>
        <v>0</v>
      </c>
    </row>
    <row r="217" spans="1:21" ht="17.25" hidden="1" thickTop="1">
      <c r="A217" s="111"/>
      <c r="B217" s="40"/>
      <c r="C217" s="52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100"/>
      <c r="U217" s="113">
        <f t="shared" si="11"/>
        <v>0</v>
      </c>
    </row>
    <row r="218" spans="1:21" ht="16.5" hidden="1">
      <c r="A218" s="111"/>
      <c r="B218" s="41"/>
      <c r="C218" s="52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100"/>
      <c r="U218" s="113">
        <f t="shared" si="11"/>
        <v>0</v>
      </c>
    </row>
    <row r="219" spans="1:21" ht="16.5" hidden="1">
      <c r="A219" s="111"/>
      <c r="B219" s="40"/>
      <c r="C219" s="52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100"/>
      <c r="U219" s="113">
        <f t="shared" si="11"/>
        <v>0</v>
      </c>
    </row>
    <row r="220" spans="1:21" ht="16.5" hidden="1">
      <c r="A220" s="111"/>
      <c r="B220" s="40"/>
      <c r="C220" s="52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100"/>
      <c r="U220" s="113">
        <f t="shared" si="11"/>
        <v>0</v>
      </c>
    </row>
    <row r="221" spans="1:21" ht="16.5" hidden="1">
      <c r="A221" s="111"/>
      <c r="B221" s="41"/>
      <c r="C221" s="52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100"/>
      <c r="U221" s="113">
        <f t="shared" si="11"/>
        <v>0</v>
      </c>
    </row>
    <row r="222" spans="1:21" ht="16.5" hidden="1">
      <c r="A222" s="111"/>
      <c r="B222" s="40"/>
      <c r="C222" s="52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100"/>
      <c r="U222" s="113"/>
    </row>
    <row r="223" spans="1:21" ht="16.5" hidden="1">
      <c r="A223" s="111"/>
      <c r="B223" s="40"/>
      <c r="C223" s="52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100"/>
      <c r="U223" s="113"/>
    </row>
    <row r="224" spans="1:21" ht="17.25" hidden="1" thickBot="1">
      <c r="A224" s="111"/>
      <c r="B224" s="40"/>
      <c r="C224" s="52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100"/>
      <c r="U224" s="113"/>
    </row>
    <row r="225" spans="1:21" ht="18.75" hidden="1" thickBot="1" thickTop="1">
      <c r="A225" s="148"/>
      <c r="B225" s="150" t="s">
        <v>146</v>
      </c>
      <c r="C225" s="55"/>
      <c r="D225" s="116">
        <f aca="true" t="shared" si="14" ref="D225:I225">SUM(D217:D221)</f>
        <v>0</v>
      </c>
      <c r="E225" s="116">
        <f t="shared" si="14"/>
        <v>0</v>
      </c>
      <c r="F225" s="116">
        <f t="shared" si="14"/>
        <v>0</v>
      </c>
      <c r="G225" s="116">
        <f t="shared" si="14"/>
        <v>0</v>
      </c>
      <c r="H225" s="116">
        <f t="shared" si="14"/>
        <v>0</v>
      </c>
      <c r="I225" s="116">
        <f t="shared" si="14"/>
        <v>0</v>
      </c>
      <c r="J225" s="116">
        <f aca="true" t="shared" si="15" ref="J225:O225">SUM(J217:J221)</f>
        <v>0</v>
      </c>
      <c r="K225" s="116">
        <f t="shared" si="15"/>
        <v>0</v>
      </c>
      <c r="L225" s="116">
        <f t="shared" si="15"/>
        <v>0</v>
      </c>
      <c r="M225" s="116">
        <f t="shared" si="15"/>
        <v>0</v>
      </c>
      <c r="N225" s="116">
        <f t="shared" si="15"/>
        <v>0</v>
      </c>
      <c r="O225" s="116">
        <f t="shared" si="15"/>
        <v>0</v>
      </c>
      <c r="P225" s="116">
        <f aca="true" t="shared" si="16" ref="P225:U225">SUM(P217:P221)</f>
        <v>0</v>
      </c>
      <c r="Q225" s="116">
        <f t="shared" si="16"/>
        <v>0</v>
      </c>
      <c r="R225" s="116">
        <f t="shared" si="16"/>
        <v>0</v>
      </c>
      <c r="S225" s="116">
        <f t="shared" si="16"/>
        <v>0</v>
      </c>
      <c r="T225" s="116">
        <f t="shared" si="16"/>
        <v>0</v>
      </c>
      <c r="U225" s="108">
        <f t="shared" si="16"/>
        <v>0</v>
      </c>
    </row>
    <row r="226" spans="1:21" ht="18.75" hidden="1" thickBot="1" thickTop="1">
      <c r="A226" s="171"/>
      <c r="B226" s="172" t="s">
        <v>69</v>
      </c>
      <c r="C226" s="173" t="s">
        <v>66</v>
      </c>
      <c r="D226" s="189">
        <f aca="true" t="shared" si="17" ref="D226:U226">D107+D216+D225</f>
        <v>5092148</v>
      </c>
      <c r="E226" s="189">
        <f t="shared" si="17"/>
        <v>1315708.908</v>
      </c>
      <c r="F226" s="189">
        <f t="shared" si="17"/>
        <v>4596416.82</v>
      </c>
      <c r="G226" s="189">
        <f t="shared" si="17"/>
        <v>256840.646</v>
      </c>
      <c r="H226" s="189">
        <f t="shared" si="17"/>
        <v>405605</v>
      </c>
      <c r="I226" s="189">
        <f t="shared" si="17"/>
        <v>38811</v>
      </c>
      <c r="J226" s="189">
        <f t="shared" si="17"/>
        <v>17132.29</v>
      </c>
      <c r="K226" s="189">
        <f t="shared" si="17"/>
        <v>143171.037</v>
      </c>
      <c r="L226" s="189">
        <f t="shared" si="17"/>
        <v>2190452</v>
      </c>
      <c r="M226" s="189">
        <f t="shared" si="17"/>
        <v>322409</v>
      </c>
      <c r="N226" s="189">
        <f t="shared" si="17"/>
        <v>58688</v>
      </c>
      <c r="O226" s="189">
        <f t="shared" si="17"/>
        <v>1337579</v>
      </c>
      <c r="P226" s="189">
        <f t="shared" si="17"/>
        <v>25200</v>
      </c>
      <c r="Q226" s="189">
        <f t="shared" si="17"/>
        <v>10000</v>
      </c>
      <c r="R226" s="189">
        <f t="shared" si="17"/>
        <v>144828</v>
      </c>
      <c r="S226" s="189">
        <f t="shared" si="17"/>
        <v>1886089.0159999998</v>
      </c>
      <c r="T226" s="189">
        <f t="shared" si="17"/>
        <v>1498759</v>
      </c>
      <c r="U226" s="108">
        <f t="shared" si="17"/>
        <v>19339837.717</v>
      </c>
    </row>
    <row r="227" spans="1:21" ht="18" hidden="1" thickTop="1">
      <c r="A227" s="175"/>
      <c r="B227" s="176"/>
      <c r="C227" s="87" t="s">
        <v>64</v>
      </c>
      <c r="D227" s="190">
        <f aca="true" t="shared" si="18" ref="D227:T227">D226</f>
        <v>5092148</v>
      </c>
      <c r="E227" s="190">
        <f t="shared" si="18"/>
        <v>1315708.908</v>
      </c>
      <c r="F227" s="190">
        <f t="shared" si="18"/>
        <v>4596416.82</v>
      </c>
      <c r="G227" s="190">
        <f t="shared" si="18"/>
        <v>256840.646</v>
      </c>
      <c r="H227" s="190">
        <f t="shared" si="18"/>
        <v>405605</v>
      </c>
      <c r="I227" s="190">
        <f t="shared" si="18"/>
        <v>38811</v>
      </c>
      <c r="J227" s="190">
        <f t="shared" si="18"/>
        <v>17132.29</v>
      </c>
      <c r="K227" s="190">
        <f t="shared" si="18"/>
        <v>143171.037</v>
      </c>
      <c r="L227" s="190">
        <f t="shared" si="18"/>
        <v>2190452</v>
      </c>
      <c r="M227" s="190">
        <f t="shared" si="18"/>
        <v>322409</v>
      </c>
      <c r="N227" s="190">
        <f t="shared" si="18"/>
        <v>58688</v>
      </c>
      <c r="O227" s="190">
        <f t="shared" si="18"/>
        <v>1337579</v>
      </c>
      <c r="P227" s="190">
        <f t="shared" si="18"/>
        <v>25200</v>
      </c>
      <c r="Q227" s="190">
        <f t="shared" si="18"/>
        <v>10000</v>
      </c>
      <c r="R227" s="190">
        <f t="shared" si="18"/>
        <v>144828</v>
      </c>
      <c r="S227" s="190">
        <f t="shared" si="18"/>
        <v>1886089.0159999998</v>
      </c>
      <c r="T227" s="190">
        <f t="shared" si="18"/>
        <v>1498759</v>
      </c>
      <c r="U227" s="179">
        <f>SUM(D227:T227)</f>
        <v>19339837.717</v>
      </c>
    </row>
    <row r="228" spans="1:21" ht="16.5" hidden="1">
      <c r="A228" s="111">
        <v>1</v>
      </c>
      <c r="B228" s="174"/>
      <c r="C228" s="34"/>
      <c r="D228" s="92"/>
      <c r="E228" s="92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4"/>
      <c r="U228" s="112">
        <f aca="true" t="shared" si="19" ref="U228:U294">SUM(D228:T228)</f>
        <v>0</v>
      </c>
    </row>
    <row r="229" spans="1:21" ht="16.5" hidden="1">
      <c r="A229" s="111">
        <v>2</v>
      </c>
      <c r="B229" s="33"/>
      <c r="C229" s="34"/>
      <c r="D229" s="98"/>
      <c r="E229" s="98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100"/>
      <c r="U229" s="113">
        <f t="shared" si="19"/>
        <v>0</v>
      </c>
    </row>
    <row r="230" spans="1:21" ht="16.5" hidden="1">
      <c r="A230" s="111">
        <v>3</v>
      </c>
      <c r="B230" s="39"/>
      <c r="C230" s="34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100"/>
      <c r="U230" s="113">
        <f t="shared" si="19"/>
        <v>0</v>
      </c>
    </row>
    <row r="231" spans="1:21" ht="16.5" customHeight="1" hidden="1">
      <c r="A231" s="111">
        <v>4</v>
      </c>
      <c r="B231" s="39"/>
      <c r="C231" s="118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100"/>
      <c r="U231" s="113">
        <f t="shared" si="19"/>
        <v>0</v>
      </c>
    </row>
    <row r="232" spans="1:21" ht="16.5" customHeight="1" hidden="1">
      <c r="A232" s="111">
        <v>5</v>
      </c>
      <c r="B232" s="39"/>
      <c r="C232" s="34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100"/>
      <c r="U232" s="113">
        <f t="shared" si="19"/>
        <v>0</v>
      </c>
    </row>
    <row r="233" spans="1:21" ht="16.5" hidden="1">
      <c r="A233" s="111">
        <v>6</v>
      </c>
      <c r="B233" s="39"/>
      <c r="C233" s="34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100"/>
      <c r="U233" s="113">
        <f t="shared" si="19"/>
        <v>0</v>
      </c>
    </row>
    <row r="234" spans="1:21" ht="16.5" hidden="1">
      <c r="A234" s="111">
        <v>7</v>
      </c>
      <c r="B234" s="56"/>
      <c r="C234" s="42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100"/>
      <c r="U234" s="113">
        <f t="shared" si="19"/>
        <v>0</v>
      </c>
    </row>
    <row r="235" spans="1:21" ht="16.5" hidden="1">
      <c r="A235" s="111">
        <v>8</v>
      </c>
      <c r="B235" s="39"/>
      <c r="C235" s="34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100"/>
      <c r="U235" s="113">
        <f t="shared" si="19"/>
        <v>0</v>
      </c>
    </row>
    <row r="236" spans="1:21" ht="16.5" hidden="1">
      <c r="A236" s="111">
        <v>9</v>
      </c>
      <c r="B236" s="56"/>
      <c r="C236" s="42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100"/>
      <c r="U236" s="113">
        <f t="shared" si="19"/>
        <v>0</v>
      </c>
    </row>
    <row r="237" spans="1:21" ht="16.5" hidden="1">
      <c r="A237" s="111">
        <v>10</v>
      </c>
      <c r="B237" s="56"/>
      <c r="C237" s="34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100"/>
      <c r="U237" s="113">
        <f t="shared" si="19"/>
        <v>0</v>
      </c>
    </row>
    <row r="238" spans="1:21" ht="16.5" hidden="1">
      <c r="A238" s="111">
        <v>11</v>
      </c>
      <c r="B238" s="39"/>
      <c r="C238" s="34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100"/>
      <c r="U238" s="113">
        <f t="shared" si="19"/>
        <v>0</v>
      </c>
    </row>
    <row r="239" spans="1:21" ht="16.5" hidden="1">
      <c r="A239" s="111">
        <v>12</v>
      </c>
      <c r="B239" s="39"/>
      <c r="C239" s="34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100"/>
      <c r="U239" s="113">
        <f t="shared" si="19"/>
        <v>0</v>
      </c>
    </row>
    <row r="240" spans="1:21" ht="16.5" hidden="1">
      <c r="A240" s="111">
        <v>13</v>
      </c>
      <c r="B240" s="39"/>
      <c r="C240" s="34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100"/>
      <c r="U240" s="113">
        <f t="shared" si="19"/>
        <v>0</v>
      </c>
    </row>
    <row r="241" spans="1:21" ht="16.5" hidden="1">
      <c r="A241" s="111">
        <v>14</v>
      </c>
      <c r="B241" s="39"/>
      <c r="C241" s="34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100"/>
      <c r="U241" s="113">
        <f t="shared" si="19"/>
        <v>0</v>
      </c>
    </row>
    <row r="242" spans="1:21" ht="16.5" hidden="1">
      <c r="A242" s="111">
        <v>15</v>
      </c>
      <c r="B242" s="39"/>
      <c r="C242" s="34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100"/>
      <c r="U242" s="113">
        <f t="shared" si="19"/>
        <v>0</v>
      </c>
    </row>
    <row r="243" spans="1:21" ht="16.5" hidden="1">
      <c r="A243" s="111">
        <v>16</v>
      </c>
      <c r="B243" s="39"/>
      <c r="C243" s="34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100"/>
      <c r="U243" s="113">
        <f t="shared" si="19"/>
        <v>0</v>
      </c>
    </row>
    <row r="244" spans="1:21" ht="16.5" hidden="1">
      <c r="A244" s="111">
        <v>17</v>
      </c>
      <c r="B244" s="39"/>
      <c r="C244" s="34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100"/>
      <c r="U244" s="113">
        <f t="shared" si="19"/>
        <v>0</v>
      </c>
    </row>
    <row r="245" spans="1:21" ht="16.5" hidden="1">
      <c r="A245" s="111">
        <v>18</v>
      </c>
      <c r="B245" s="39"/>
      <c r="C245" s="34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100"/>
      <c r="U245" s="113">
        <f t="shared" si="19"/>
        <v>0</v>
      </c>
    </row>
    <row r="246" spans="1:21" ht="16.5" hidden="1">
      <c r="A246" s="111">
        <v>19</v>
      </c>
      <c r="B246" s="39"/>
      <c r="C246" s="34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100"/>
      <c r="U246" s="113">
        <f t="shared" si="19"/>
        <v>0</v>
      </c>
    </row>
    <row r="247" spans="1:21" ht="16.5" hidden="1">
      <c r="A247" s="111">
        <v>20</v>
      </c>
      <c r="B247" s="56"/>
      <c r="C247" s="42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100"/>
      <c r="U247" s="113">
        <f t="shared" si="19"/>
        <v>0</v>
      </c>
    </row>
    <row r="248" spans="1:21" ht="16.5" hidden="1">
      <c r="A248" s="111">
        <v>21</v>
      </c>
      <c r="B248" s="39"/>
      <c r="C248" s="34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100"/>
      <c r="U248" s="113">
        <f t="shared" si="19"/>
        <v>0</v>
      </c>
    </row>
    <row r="249" spans="1:21" ht="16.5" hidden="1">
      <c r="A249" s="111">
        <v>22</v>
      </c>
      <c r="B249" s="39"/>
      <c r="C249" s="34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100"/>
      <c r="U249" s="113">
        <f t="shared" si="19"/>
        <v>0</v>
      </c>
    </row>
    <row r="250" spans="1:21" ht="16.5" hidden="1">
      <c r="A250" s="111">
        <v>23</v>
      </c>
      <c r="B250" s="56"/>
      <c r="C250" s="42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100"/>
      <c r="U250" s="113">
        <f t="shared" si="19"/>
        <v>0</v>
      </c>
    </row>
    <row r="251" spans="1:21" ht="16.5" hidden="1">
      <c r="A251" s="111">
        <v>24</v>
      </c>
      <c r="B251" s="56"/>
      <c r="C251" s="34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100"/>
      <c r="U251" s="113">
        <f t="shared" si="19"/>
        <v>0</v>
      </c>
    </row>
    <row r="252" spans="1:21" ht="16.5" hidden="1">
      <c r="A252" s="111">
        <v>25</v>
      </c>
      <c r="B252" s="41"/>
      <c r="C252" s="43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100"/>
      <c r="U252" s="113">
        <f t="shared" si="19"/>
        <v>0</v>
      </c>
    </row>
    <row r="253" spans="1:21" ht="16.5" hidden="1">
      <c r="A253" s="111">
        <v>26</v>
      </c>
      <c r="B253" s="41"/>
      <c r="C253" s="43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100"/>
      <c r="U253" s="113">
        <f t="shared" si="19"/>
        <v>0</v>
      </c>
    </row>
    <row r="254" spans="1:21" ht="16.5" hidden="1">
      <c r="A254" s="111">
        <v>27</v>
      </c>
      <c r="B254" s="41"/>
      <c r="C254" s="43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100"/>
      <c r="U254" s="113">
        <f t="shared" si="19"/>
        <v>0</v>
      </c>
    </row>
    <row r="255" spans="1:21" ht="16.5" hidden="1">
      <c r="A255" s="111">
        <v>28</v>
      </c>
      <c r="B255" s="41"/>
      <c r="C255" s="43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100"/>
      <c r="U255" s="113">
        <f t="shared" si="19"/>
        <v>0</v>
      </c>
    </row>
    <row r="256" spans="1:21" ht="16.5" hidden="1">
      <c r="A256" s="111">
        <v>29</v>
      </c>
      <c r="B256" s="40"/>
      <c r="C256" s="34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100"/>
      <c r="U256" s="113">
        <f t="shared" si="19"/>
        <v>0</v>
      </c>
    </row>
    <row r="257" spans="1:21" ht="16.5" hidden="1">
      <c r="A257" s="111">
        <v>30</v>
      </c>
      <c r="B257" s="40"/>
      <c r="C257" s="34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100"/>
      <c r="U257" s="113">
        <f t="shared" si="19"/>
        <v>0</v>
      </c>
    </row>
    <row r="258" spans="1:21" ht="16.5" hidden="1">
      <c r="A258" s="111">
        <v>31</v>
      </c>
      <c r="B258" s="40"/>
      <c r="C258" s="52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100"/>
      <c r="U258" s="113">
        <f t="shared" si="19"/>
        <v>0</v>
      </c>
    </row>
    <row r="259" spans="1:21" ht="16.5" hidden="1">
      <c r="A259" s="111">
        <v>32</v>
      </c>
      <c r="B259" s="40"/>
      <c r="C259" s="52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100"/>
      <c r="U259" s="113">
        <f t="shared" si="19"/>
        <v>0</v>
      </c>
    </row>
    <row r="260" spans="1:21" ht="16.5" hidden="1">
      <c r="A260" s="111">
        <v>33</v>
      </c>
      <c r="B260" s="40"/>
      <c r="C260" s="52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100"/>
      <c r="U260" s="113">
        <f t="shared" si="19"/>
        <v>0</v>
      </c>
    </row>
    <row r="261" spans="1:21" ht="16.5" hidden="1">
      <c r="A261" s="111">
        <v>34</v>
      </c>
      <c r="B261" s="40"/>
      <c r="C261" s="52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100"/>
      <c r="U261" s="113">
        <f t="shared" si="19"/>
        <v>0</v>
      </c>
    </row>
    <row r="262" spans="1:21" ht="16.5" hidden="1">
      <c r="A262" s="111">
        <v>35</v>
      </c>
      <c r="B262" s="41"/>
      <c r="C262" s="43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100"/>
      <c r="U262" s="113">
        <f t="shared" si="19"/>
        <v>0</v>
      </c>
    </row>
    <row r="263" spans="1:21" ht="16.5" hidden="1">
      <c r="A263" s="111">
        <v>36</v>
      </c>
      <c r="B263" s="114"/>
      <c r="C263" s="52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100"/>
      <c r="U263" s="113">
        <f t="shared" si="19"/>
        <v>0</v>
      </c>
    </row>
    <row r="264" spans="1:21" ht="16.5" hidden="1">
      <c r="A264" s="111">
        <v>37</v>
      </c>
      <c r="B264" s="40"/>
      <c r="C264" s="52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100"/>
      <c r="U264" s="113">
        <f t="shared" si="19"/>
        <v>0</v>
      </c>
    </row>
    <row r="265" spans="1:21" ht="16.5" hidden="1">
      <c r="A265" s="111">
        <v>38</v>
      </c>
      <c r="B265" s="41"/>
      <c r="C265" s="52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100"/>
      <c r="U265" s="113">
        <f t="shared" si="19"/>
        <v>0</v>
      </c>
    </row>
    <row r="266" spans="1:21" ht="16.5" hidden="1">
      <c r="A266" s="111">
        <v>39</v>
      </c>
      <c r="B266" s="41"/>
      <c r="C266" s="52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100"/>
      <c r="U266" s="113">
        <f t="shared" si="19"/>
        <v>0</v>
      </c>
    </row>
    <row r="267" spans="1:21" ht="16.5" hidden="1">
      <c r="A267" s="111">
        <v>40</v>
      </c>
      <c r="B267" s="114"/>
      <c r="C267" s="52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100"/>
      <c r="U267" s="113">
        <f t="shared" si="19"/>
        <v>0</v>
      </c>
    </row>
    <row r="268" spans="1:21" ht="16.5" hidden="1">
      <c r="A268" s="111">
        <v>41</v>
      </c>
      <c r="B268" s="114"/>
      <c r="C268" s="52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100"/>
      <c r="U268" s="113">
        <f t="shared" si="19"/>
        <v>0</v>
      </c>
    </row>
    <row r="269" spans="1:21" ht="16.5" hidden="1">
      <c r="A269" s="111">
        <v>42</v>
      </c>
      <c r="B269" s="40"/>
      <c r="C269" s="52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100"/>
      <c r="U269" s="113">
        <f t="shared" si="19"/>
        <v>0</v>
      </c>
    </row>
    <row r="270" spans="1:21" ht="16.5" hidden="1">
      <c r="A270" s="111">
        <v>43</v>
      </c>
      <c r="B270" s="40"/>
      <c r="C270" s="52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100"/>
      <c r="U270" s="113">
        <f t="shared" si="19"/>
        <v>0</v>
      </c>
    </row>
    <row r="271" spans="1:21" ht="16.5" hidden="1">
      <c r="A271" s="111">
        <v>44</v>
      </c>
      <c r="B271" s="191"/>
      <c r="C271" s="52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100"/>
      <c r="U271" s="113">
        <f t="shared" si="19"/>
        <v>0</v>
      </c>
    </row>
    <row r="272" spans="1:21" ht="16.5" hidden="1">
      <c r="A272" s="111">
        <v>45</v>
      </c>
      <c r="B272" s="191"/>
      <c r="C272" s="52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100"/>
      <c r="U272" s="113">
        <f t="shared" si="19"/>
        <v>0</v>
      </c>
    </row>
    <row r="273" spans="1:21" ht="16.5" hidden="1">
      <c r="A273" s="111">
        <v>46</v>
      </c>
      <c r="B273" s="191"/>
      <c r="C273" s="52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100"/>
      <c r="U273" s="113">
        <f t="shared" si="19"/>
        <v>0</v>
      </c>
    </row>
    <row r="274" spans="1:21" ht="16.5" hidden="1">
      <c r="A274" s="111">
        <v>47</v>
      </c>
      <c r="B274" s="191"/>
      <c r="C274" s="52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100"/>
      <c r="U274" s="113">
        <f t="shared" si="19"/>
        <v>0</v>
      </c>
    </row>
    <row r="275" spans="1:21" ht="16.5" hidden="1">
      <c r="A275" s="111">
        <v>48</v>
      </c>
      <c r="B275" s="191"/>
      <c r="C275" s="192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100"/>
      <c r="U275" s="113">
        <f t="shared" si="19"/>
        <v>0</v>
      </c>
    </row>
    <row r="276" spans="1:21" ht="16.5" hidden="1">
      <c r="A276" s="111">
        <v>49</v>
      </c>
      <c r="B276" s="191"/>
      <c r="C276" s="52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100"/>
      <c r="U276" s="113">
        <f t="shared" si="19"/>
        <v>0</v>
      </c>
    </row>
    <row r="277" spans="1:21" ht="16.5" hidden="1">
      <c r="A277" s="111">
        <v>50</v>
      </c>
      <c r="B277" s="191"/>
      <c r="C277" s="52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100"/>
      <c r="U277" s="113">
        <f t="shared" si="19"/>
        <v>0</v>
      </c>
    </row>
    <row r="278" spans="1:21" ht="16.5" hidden="1">
      <c r="A278" s="111">
        <v>51</v>
      </c>
      <c r="B278" s="191"/>
      <c r="C278" s="52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100"/>
      <c r="U278" s="113">
        <f t="shared" si="19"/>
        <v>0</v>
      </c>
    </row>
    <row r="279" spans="1:21" ht="16.5" hidden="1">
      <c r="A279" s="111">
        <v>52</v>
      </c>
      <c r="B279" s="191"/>
      <c r="C279" s="52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100"/>
      <c r="U279" s="113">
        <f t="shared" si="19"/>
        <v>0</v>
      </c>
    </row>
    <row r="280" spans="1:21" ht="16.5" hidden="1">
      <c r="A280" s="111">
        <v>53</v>
      </c>
      <c r="B280" s="191"/>
      <c r="C280" s="52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100"/>
      <c r="U280" s="113">
        <f t="shared" si="19"/>
        <v>0</v>
      </c>
    </row>
    <row r="281" spans="1:21" ht="16.5" hidden="1">
      <c r="A281" s="111">
        <v>54</v>
      </c>
      <c r="B281" s="191"/>
      <c r="C281" s="52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100"/>
      <c r="U281" s="113">
        <f t="shared" si="19"/>
        <v>0</v>
      </c>
    </row>
    <row r="282" spans="1:21" ht="16.5" hidden="1">
      <c r="A282" s="111">
        <v>55</v>
      </c>
      <c r="B282" s="191"/>
      <c r="C282" s="192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100"/>
      <c r="U282" s="113">
        <f t="shared" si="19"/>
        <v>0</v>
      </c>
    </row>
    <row r="283" spans="1:21" ht="16.5" hidden="1">
      <c r="A283" s="111">
        <v>56</v>
      </c>
      <c r="B283" s="191"/>
      <c r="C283" s="52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100"/>
      <c r="U283" s="113">
        <f t="shared" si="19"/>
        <v>0</v>
      </c>
    </row>
    <row r="284" spans="1:21" ht="16.5" hidden="1">
      <c r="A284" s="198">
        <v>57</v>
      </c>
      <c r="B284" s="140"/>
      <c r="C284" s="199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6"/>
      <c r="U284" s="147">
        <f t="shared" si="19"/>
        <v>0</v>
      </c>
    </row>
    <row r="285" spans="1:21" ht="16.5" hidden="1">
      <c r="A285" s="111">
        <v>58</v>
      </c>
      <c r="B285" s="197"/>
      <c r="C285" s="192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100"/>
      <c r="U285" s="113">
        <f t="shared" si="19"/>
        <v>0</v>
      </c>
    </row>
    <row r="286" spans="1:21" ht="16.5" hidden="1">
      <c r="A286" s="111">
        <v>59</v>
      </c>
      <c r="B286" s="191"/>
      <c r="C286" s="192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100"/>
      <c r="U286" s="113">
        <f t="shared" si="19"/>
        <v>0</v>
      </c>
    </row>
    <row r="287" spans="1:21" ht="16.5" hidden="1">
      <c r="A287" s="111">
        <v>60</v>
      </c>
      <c r="B287" s="191"/>
      <c r="C287" s="192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100"/>
      <c r="U287" s="113">
        <f t="shared" si="19"/>
        <v>0</v>
      </c>
    </row>
    <row r="288" spans="1:21" ht="16.5" hidden="1">
      <c r="A288" s="111">
        <v>61</v>
      </c>
      <c r="B288" s="191"/>
      <c r="C288" s="52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100"/>
      <c r="U288" s="113">
        <f t="shared" si="19"/>
        <v>0</v>
      </c>
    </row>
    <row r="289" spans="1:21" ht="16.5" hidden="1">
      <c r="A289" s="111">
        <v>62</v>
      </c>
      <c r="B289" s="191"/>
      <c r="C289" s="52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100"/>
      <c r="U289" s="113">
        <f t="shared" si="19"/>
        <v>0</v>
      </c>
    </row>
    <row r="290" spans="1:21" ht="16.5" hidden="1">
      <c r="A290" s="111">
        <v>63</v>
      </c>
      <c r="B290" s="191"/>
      <c r="C290" s="52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100"/>
      <c r="U290" s="113">
        <f t="shared" si="19"/>
        <v>0</v>
      </c>
    </row>
    <row r="291" spans="1:21" ht="16.5" hidden="1">
      <c r="A291" s="111">
        <v>64</v>
      </c>
      <c r="B291" s="191"/>
      <c r="C291" s="52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100"/>
      <c r="U291" s="113">
        <f t="shared" si="19"/>
        <v>0</v>
      </c>
    </row>
    <row r="292" spans="1:21" ht="16.5" hidden="1">
      <c r="A292" s="111">
        <v>65</v>
      </c>
      <c r="B292" s="191"/>
      <c r="C292" s="52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100"/>
      <c r="U292" s="113">
        <f t="shared" si="19"/>
        <v>0</v>
      </c>
    </row>
    <row r="293" spans="1:21" ht="16.5" hidden="1">
      <c r="A293" s="111">
        <v>66</v>
      </c>
      <c r="B293" s="191"/>
      <c r="C293" s="52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100"/>
      <c r="U293" s="113">
        <f t="shared" si="19"/>
        <v>0</v>
      </c>
    </row>
    <row r="294" spans="1:21" ht="16.5" hidden="1">
      <c r="A294" s="111">
        <v>67</v>
      </c>
      <c r="B294" s="191"/>
      <c r="C294" s="52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100"/>
      <c r="U294" s="113">
        <f t="shared" si="19"/>
        <v>0</v>
      </c>
    </row>
    <row r="295" spans="1:21" ht="16.5" hidden="1">
      <c r="A295" s="111">
        <v>68</v>
      </c>
      <c r="B295" s="191"/>
      <c r="C295" s="52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100"/>
      <c r="U295" s="113">
        <f aca="true" t="shared" si="20" ref="U295:U324">SUM(D295:T295)</f>
        <v>0</v>
      </c>
    </row>
    <row r="296" spans="1:21" ht="16.5" hidden="1">
      <c r="A296" s="111">
        <v>69</v>
      </c>
      <c r="B296" s="191"/>
      <c r="C296" s="52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100"/>
      <c r="U296" s="113">
        <f t="shared" si="20"/>
        <v>0</v>
      </c>
    </row>
    <row r="297" spans="1:21" ht="16.5" hidden="1">
      <c r="A297" s="111">
        <v>70</v>
      </c>
      <c r="B297" s="191"/>
      <c r="C297" s="52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100"/>
      <c r="U297" s="113">
        <f t="shared" si="20"/>
        <v>0</v>
      </c>
    </row>
    <row r="298" spans="1:21" ht="16.5" hidden="1">
      <c r="A298" s="111">
        <v>71</v>
      </c>
      <c r="B298" s="191"/>
      <c r="C298" s="52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100"/>
      <c r="U298" s="113">
        <f t="shared" si="20"/>
        <v>0</v>
      </c>
    </row>
    <row r="299" spans="1:21" ht="16.5" hidden="1">
      <c r="A299" s="111">
        <v>72</v>
      </c>
      <c r="B299" s="191"/>
      <c r="C299" s="52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100"/>
      <c r="U299" s="113">
        <f t="shared" si="20"/>
        <v>0</v>
      </c>
    </row>
    <row r="300" spans="1:21" ht="16.5" hidden="1">
      <c r="A300" s="111">
        <v>73</v>
      </c>
      <c r="B300" s="191"/>
      <c r="C300" s="52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100"/>
      <c r="U300" s="113">
        <f t="shared" si="20"/>
        <v>0</v>
      </c>
    </row>
    <row r="301" spans="1:21" ht="16.5" hidden="1">
      <c r="A301" s="111">
        <v>74</v>
      </c>
      <c r="B301" s="191"/>
      <c r="C301" s="52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100"/>
      <c r="U301" s="113">
        <f t="shared" si="20"/>
        <v>0</v>
      </c>
    </row>
    <row r="302" spans="1:21" ht="16.5" hidden="1">
      <c r="A302" s="111">
        <v>75</v>
      </c>
      <c r="B302" s="191"/>
      <c r="C302" s="52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100"/>
      <c r="U302" s="113">
        <f t="shared" si="20"/>
        <v>0</v>
      </c>
    </row>
    <row r="303" spans="1:21" ht="16.5" hidden="1">
      <c r="A303" s="111">
        <v>76</v>
      </c>
      <c r="B303" s="191"/>
      <c r="C303" s="52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100"/>
      <c r="U303" s="113">
        <f t="shared" si="20"/>
        <v>0</v>
      </c>
    </row>
    <row r="304" spans="1:21" ht="16.5" hidden="1">
      <c r="A304" s="111">
        <v>77</v>
      </c>
      <c r="B304" s="191"/>
      <c r="C304" s="52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100"/>
      <c r="U304" s="113">
        <f t="shared" si="20"/>
        <v>0</v>
      </c>
    </row>
    <row r="305" spans="1:21" ht="16.5" hidden="1">
      <c r="A305" s="111">
        <v>78</v>
      </c>
      <c r="B305" s="191"/>
      <c r="C305" s="52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100"/>
      <c r="U305" s="113">
        <f t="shared" si="20"/>
        <v>0</v>
      </c>
    </row>
    <row r="306" spans="1:21" ht="16.5" hidden="1">
      <c r="A306" s="111">
        <v>79</v>
      </c>
      <c r="B306" s="191"/>
      <c r="C306" s="52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100"/>
      <c r="U306" s="113">
        <f t="shared" si="20"/>
        <v>0</v>
      </c>
    </row>
    <row r="307" spans="1:21" ht="16.5" hidden="1">
      <c r="A307" s="111">
        <v>80</v>
      </c>
      <c r="B307" s="191"/>
      <c r="C307" s="52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100"/>
      <c r="U307" s="113">
        <f t="shared" si="20"/>
        <v>0</v>
      </c>
    </row>
    <row r="308" spans="1:21" ht="16.5" hidden="1">
      <c r="A308" s="111">
        <v>81</v>
      </c>
      <c r="B308" s="191"/>
      <c r="C308" s="52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100"/>
      <c r="U308" s="113">
        <f t="shared" si="20"/>
        <v>0</v>
      </c>
    </row>
    <row r="309" spans="1:21" ht="16.5" hidden="1">
      <c r="A309" s="111">
        <v>82</v>
      </c>
      <c r="B309" s="191"/>
      <c r="C309" s="52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100"/>
      <c r="U309" s="113">
        <f t="shared" si="20"/>
        <v>0</v>
      </c>
    </row>
    <row r="310" spans="1:21" ht="16.5" hidden="1">
      <c r="A310" s="111">
        <v>83</v>
      </c>
      <c r="B310" s="191"/>
      <c r="C310" s="52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100"/>
      <c r="U310" s="113">
        <f t="shared" si="20"/>
        <v>0</v>
      </c>
    </row>
    <row r="311" spans="1:21" ht="16.5" hidden="1">
      <c r="A311" s="111">
        <v>84</v>
      </c>
      <c r="B311" s="191"/>
      <c r="C311" s="52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100"/>
      <c r="U311" s="113">
        <f t="shared" si="20"/>
        <v>0</v>
      </c>
    </row>
    <row r="312" spans="1:21" ht="16.5" hidden="1">
      <c r="A312" s="111">
        <v>85</v>
      </c>
      <c r="B312" s="191"/>
      <c r="C312" s="52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100"/>
      <c r="U312" s="113">
        <f t="shared" si="20"/>
        <v>0</v>
      </c>
    </row>
    <row r="313" spans="1:21" ht="16.5" hidden="1">
      <c r="A313" s="111">
        <v>86</v>
      </c>
      <c r="B313" s="191"/>
      <c r="C313" s="52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100"/>
      <c r="U313" s="113">
        <f t="shared" si="20"/>
        <v>0</v>
      </c>
    </row>
    <row r="314" spans="1:21" ht="16.5" hidden="1">
      <c r="A314" s="111">
        <v>87</v>
      </c>
      <c r="B314" s="191"/>
      <c r="C314" s="52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100"/>
      <c r="U314" s="113">
        <f t="shared" si="20"/>
        <v>0</v>
      </c>
    </row>
    <row r="315" spans="1:21" ht="16.5" hidden="1">
      <c r="A315" s="111">
        <v>88</v>
      </c>
      <c r="B315" s="191"/>
      <c r="C315" s="52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100"/>
      <c r="U315" s="113">
        <f t="shared" si="20"/>
        <v>0</v>
      </c>
    </row>
    <row r="316" spans="1:21" ht="16.5" hidden="1">
      <c r="A316" s="111">
        <v>89</v>
      </c>
      <c r="B316" s="191"/>
      <c r="C316" s="52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100"/>
      <c r="U316" s="113">
        <f t="shared" si="20"/>
        <v>0</v>
      </c>
    </row>
    <row r="317" spans="1:21" ht="16.5" hidden="1">
      <c r="A317" s="111">
        <v>90</v>
      </c>
      <c r="B317" s="191"/>
      <c r="C317" s="52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100"/>
      <c r="U317" s="113">
        <f t="shared" si="20"/>
        <v>0</v>
      </c>
    </row>
    <row r="318" spans="1:21" ht="16.5" hidden="1">
      <c r="A318" s="111">
        <v>91</v>
      </c>
      <c r="B318" s="191"/>
      <c r="C318" s="52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100"/>
      <c r="U318" s="113">
        <f t="shared" si="20"/>
        <v>0</v>
      </c>
    </row>
    <row r="319" spans="1:21" ht="16.5" hidden="1">
      <c r="A319" s="111">
        <v>92</v>
      </c>
      <c r="B319" s="191"/>
      <c r="C319" s="52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100"/>
      <c r="U319" s="113">
        <f t="shared" si="20"/>
        <v>0</v>
      </c>
    </row>
    <row r="320" spans="1:21" ht="16.5" hidden="1">
      <c r="A320" s="111">
        <v>93</v>
      </c>
      <c r="B320" s="191"/>
      <c r="C320" s="52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100"/>
      <c r="U320" s="113">
        <f t="shared" si="20"/>
        <v>0</v>
      </c>
    </row>
    <row r="321" spans="1:21" ht="16.5" hidden="1">
      <c r="A321" s="111">
        <v>94</v>
      </c>
      <c r="B321" s="191"/>
      <c r="C321" s="52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100"/>
      <c r="U321" s="113">
        <f t="shared" si="20"/>
        <v>0</v>
      </c>
    </row>
    <row r="322" spans="1:21" ht="16.5" hidden="1">
      <c r="A322" s="111">
        <v>95</v>
      </c>
      <c r="B322" s="191"/>
      <c r="C322" s="52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100"/>
      <c r="U322" s="113">
        <f t="shared" si="20"/>
        <v>0</v>
      </c>
    </row>
    <row r="323" spans="1:21" ht="16.5" hidden="1">
      <c r="A323" s="111">
        <v>96</v>
      </c>
      <c r="B323" s="191"/>
      <c r="C323" s="52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100"/>
      <c r="U323" s="113">
        <f t="shared" si="20"/>
        <v>0</v>
      </c>
    </row>
    <row r="324" spans="1:21" ht="16.5" hidden="1">
      <c r="A324" s="111">
        <v>97</v>
      </c>
      <c r="B324" s="191"/>
      <c r="C324" s="52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100"/>
      <c r="U324" s="113">
        <f t="shared" si="20"/>
        <v>0</v>
      </c>
    </row>
    <row r="325" spans="1:21" ht="17.25" hidden="1" thickBot="1">
      <c r="A325" s="111"/>
      <c r="B325" s="119"/>
      <c r="C325" s="52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100"/>
      <c r="U325" s="113"/>
    </row>
    <row r="326" spans="1:21" ht="18.75" hidden="1" thickBot="1" thickTop="1">
      <c r="A326" s="53"/>
      <c r="B326" s="53" t="s">
        <v>70</v>
      </c>
      <c r="C326" s="55" t="s">
        <v>65</v>
      </c>
      <c r="D326" s="116">
        <f aca="true" t="shared" si="21" ref="D326:U326">SUM(D228:D325)</f>
        <v>0</v>
      </c>
      <c r="E326" s="116">
        <f t="shared" si="21"/>
        <v>0</v>
      </c>
      <c r="F326" s="116">
        <f t="shared" si="21"/>
        <v>0</v>
      </c>
      <c r="G326" s="116">
        <f t="shared" si="21"/>
        <v>0</v>
      </c>
      <c r="H326" s="116">
        <f t="shared" si="21"/>
        <v>0</v>
      </c>
      <c r="I326" s="116">
        <f t="shared" si="21"/>
        <v>0</v>
      </c>
      <c r="J326" s="116">
        <f t="shared" si="21"/>
        <v>0</v>
      </c>
      <c r="K326" s="116">
        <f t="shared" si="21"/>
        <v>0</v>
      </c>
      <c r="L326" s="116">
        <f t="shared" si="21"/>
        <v>0</v>
      </c>
      <c r="M326" s="116">
        <f t="shared" si="21"/>
        <v>0</v>
      </c>
      <c r="N326" s="116">
        <f t="shared" si="21"/>
        <v>0</v>
      </c>
      <c r="O326" s="116">
        <f t="shared" si="21"/>
        <v>0</v>
      </c>
      <c r="P326" s="116">
        <f t="shared" si="21"/>
        <v>0</v>
      </c>
      <c r="Q326" s="116">
        <f t="shared" si="21"/>
        <v>0</v>
      </c>
      <c r="R326" s="116">
        <f t="shared" si="21"/>
        <v>0</v>
      </c>
      <c r="S326" s="116">
        <f t="shared" si="21"/>
        <v>0</v>
      </c>
      <c r="T326" s="117">
        <f t="shared" si="21"/>
        <v>0</v>
      </c>
      <c r="U326" s="108">
        <f t="shared" si="21"/>
        <v>0</v>
      </c>
    </row>
    <row r="327" spans="1:21" ht="18.75" hidden="1" thickBot="1" thickTop="1">
      <c r="A327" s="53"/>
      <c r="B327" s="120"/>
      <c r="C327" s="55" t="s">
        <v>66</v>
      </c>
      <c r="D327" s="116">
        <f>D226+D326</f>
        <v>5092148</v>
      </c>
      <c r="E327" s="116">
        <f aca="true" t="shared" si="22" ref="E327:J327">E226+E326</f>
        <v>1315708.908</v>
      </c>
      <c r="F327" s="116">
        <f t="shared" si="22"/>
        <v>4596416.82</v>
      </c>
      <c r="G327" s="116">
        <f t="shared" si="22"/>
        <v>256840.646</v>
      </c>
      <c r="H327" s="116">
        <f t="shared" si="22"/>
        <v>405605</v>
      </c>
      <c r="I327" s="116">
        <f t="shared" si="22"/>
        <v>38811</v>
      </c>
      <c r="J327" s="116">
        <f t="shared" si="22"/>
        <v>17132.29</v>
      </c>
      <c r="K327" s="116">
        <f aca="true" t="shared" si="23" ref="K327:T327">K226+K326</f>
        <v>143171.037</v>
      </c>
      <c r="L327" s="116">
        <f t="shared" si="23"/>
        <v>2190452</v>
      </c>
      <c r="M327" s="116">
        <f t="shared" si="23"/>
        <v>322409</v>
      </c>
      <c r="N327" s="116">
        <f t="shared" si="23"/>
        <v>58688</v>
      </c>
      <c r="O327" s="116">
        <f t="shared" si="23"/>
        <v>1337579</v>
      </c>
      <c r="P327" s="116">
        <f t="shared" si="23"/>
        <v>25200</v>
      </c>
      <c r="Q327" s="116">
        <f t="shared" si="23"/>
        <v>10000</v>
      </c>
      <c r="R327" s="116">
        <f t="shared" si="23"/>
        <v>144828</v>
      </c>
      <c r="S327" s="116">
        <f t="shared" si="23"/>
        <v>1886089.0159999998</v>
      </c>
      <c r="T327" s="116">
        <f t="shared" si="23"/>
        <v>1498759</v>
      </c>
      <c r="U327" s="116">
        <f>U227+U326</f>
        <v>19339837.717</v>
      </c>
    </row>
    <row r="328" spans="1:21" ht="17.25" hidden="1" thickTop="1">
      <c r="A328" s="32"/>
      <c r="B328" s="101" t="s">
        <v>71</v>
      </c>
      <c r="C328" s="49" t="s">
        <v>72</v>
      </c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>
        <f>-54440-178454-100000-100000-38500-100169-34500-385000</f>
        <v>-991063</v>
      </c>
      <c r="T328" s="73">
        <v>88422</v>
      </c>
      <c r="U328" s="113">
        <f aca="true" t="shared" si="24" ref="U328:U334">SUM(D328:T328)</f>
        <v>-902641</v>
      </c>
    </row>
    <row r="329" spans="1:21" ht="16.5" hidden="1">
      <c r="A329" s="32"/>
      <c r="B329" s="121" t="s">
        <v>73</v>
      </c>
      <c r="C329" s="49" t="s">
        <v>72</v>
      </c>
      <c r="D329" s="72"/>
      <c r="E329" s="72"/>
      <c r="F329" s="72">
        <f>34000+5200-25000-15092-76666</f>
        <v>-77558</v>
      </c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3"/>
      <c r="U329" s="113">
        <f t="shared" si="24"/>
        <v>-77558</v>
      </c>
    </row>
    <row r="330" spans="1:21" ht="16.5" hidden="1">
      <c r="A330" s="32"/>
      <c r="B330" s="121" t="s">
        <v>129</v>
      </c>
      <c r="C330" s="49" t="s">
        <v>72</v>
      </c>
      <c r="D330" s="72"/>
      <c r="E330" s="72"/>
      <c r="F330" s="72">
        <f>10000+2500</f>
        <v>12500</v>
      </c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3"/>
      <c r="U330" s="113">
        <f t="shared" si="24"/>
        <v>12500</v>
      </c>
    </row>
    <row r="331" spans="1:21" ht="16.5" hidden="1">
      <c r="A331" s="32"/>
      <c r="B331" s="101" t="s">
        <v>77</v>
      </c>
      <c r="C331" s="49" t="s">
        <v>72</v>
      </c>
      <c r="D331" s="72"/>
      <c r="E331" s="72"/>
      <c r="F331" s="72">
        <f>4800+1200</f>
        <v>6000</v>
      </c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3"/>
      <c r="U331" s="113">
        <f t="shared" si="24"/>
        <v>6000</v>
      </c>
    </row>
    <row r="332" spans="1:21" ht="16.5" hidden="1">
      <c r="A332" s="32"/>
      <c r="B332" s="101" t="s">
        <v>79</v>
      </c>
      <c r="C332" s="49" t="s">
        <v>72</v>
      </c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>
        <f>83200+20800</f>
        <v>104000</v>
      </c>
      <c r="P332" s="72"/>
      <c r="Q332" s="72"/>
      <c r="R332" s="72"/>
      <c r="S332" s="72"/>
      <c r="T332" s="73"/>
      <c r="U332" s="113">
        <f t="shared" si="24"/>
        <v>104000</v>
      </c>
    </row>
    <row r="333" spans="1:21" ht="16.5" hidden="1">
      <c r="A333" s="32"/>
      <c r="B333" s="101" t="s">
        <v>81</v>
      </c>
      <c r="C333" s="42" t="s">
        <v>72</v>
      </c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>
        <f>-70000</f>
        <v>-70000</v>
      </c>
      <c r="P333" s="72"/>
      <c r="Q333" s="72"/>
      <c r="R333" s="72"/>
      <c r="S333" s="72"/>
      <c r="T333" s="73"/>
      <c r="U333" s="113">
        <f t="shared" si="24"/>
        <v>-70000</v>
      </c>
    </row>
    <row r="334" spans="1:21" ht="17.25" hidden="1" thickBot="1">
      <c r="A334" s="111"/>
      <c r="B334" s="114"/>
      <c r="C334" s="52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100"/>
      <c r="U334" s="113">
        <f t="shared" si="24"/>
        <v>0</v>
      </c>
    </row>
    <row r="335" spans="1:22" ht="18.75" hidden="1" thickBot="1" thickTop="1">
      <c r="A335" s="58"/>
      <c r="B335" s="120"/>
      <c r="C335" s="55" t="s">
        <v>82</v>
      </c>
      <c r="D335" s="116">
        <f aca="true" t="shared" si="25" ref="D335:U335">SUM(D328:D334)</f>
        <v>0</v>
      </c>
      <c r="E335" s="116">
        <f t="shared" si="25"/>
        <v>0</v>
      </c>
      <c r="F335" s="116">
        <f t="shared" si="25"/>
        <v>-59058</v>
      </c>
      <c r="G335" s="116">
        <f t="shared" si="25"/>
        <v>0</v>
      </c>
      <c r="H335" s="116">
        <f t="shared" si="25"/>
        <v>0</v>
      </c>
      <c r="I335" s="116">
        <f t="shared" si="25"/>
        <v>0</v>
      </c>
      <c r="J335" s="116">
        <f t="shared" si="25"/>
        <v>0</v>
      </c>
      <c r="K335" s="116">
        <f t="shared" si="25"/>
        <v>0</v>
      </c>
      <c r="L335" s="116">
        <f t="shared" si="25"/>
        <v>0</v>
      </c>
      <c r="M335" s="116">
        <f t="shared" si="25"/>
        <v>0</v>
      </c>
      <c r="N335" s="116">
        <f t="shared" si="25"/>
        <v>0</v>
      </c>
      <c r="O335" s="116">
        <f t="shared" si="25"/>
        <v>34000</v>
      </c>
      <c r="P335" s="116">
        <f t="shared" si="25"/>
        <v>0</v>
      </c>
      <c r="Q335" s="116">
        <f t="shared" si="25"/>
        <v>0</v>
      </c>
      <c r="R335" s="116">
        <f t="shared" si="25"/>
        <v>0</v>
      </c>
      <c r="S335" s="116">
        <f t="shared" si="25"/>
        <v>-991063</v>
      </c>
      <c r="T335" s="116">
        <f t="shared" si="25"/>
        <v>88422</v>
      </c>
      <c r="U335" s="116">
        <f t="shared" si="25"/>
        <v>-927699</v>
      </c>
      <c r="V335" s="115"/>
    </row>
    <row r="336" spans="1:22" ht="24.75" customHeight="1" hidden="1" thickBot="1" thickTop="1">
      <c r="A336" s="122" t="s">
        <v>149</v>
      </c>
      <c r="B336" s="54"/>
      <c r="C336" s="55" t="s">
        <v>66</v>
      </c>
      <c r="D336" s="70">
        <f aca="true" t="shared" si="26" ref="D336:U336">D327+D335</f>
        <v>5092148</v>
      </c>
      <c r="E336" s="70">
        <f t="shared" si="26"/>
        <v>1315708.908</v>
      </c>
      <c r="F336" s="70">
        <f t="shared" si="26"/>
        <v>4537358.82</v>
      </c>
      <c r="G336" s="70">
        <f t="shared" si="26"/>
        <v>256840.646</v>
      </c>
      <c r="H336" s="70">
        <f t="shared" si="26"/>
        <v>405605</v>
      </c>
      <c r="I336" s="70">
        <f t="shared" si="26"/>
        <v>38811</v>
      </c>
      <c r="J336" s="70">
        <f t="shared" si="26"/>
        <v>17132.29</v>
      </c>
      <c r="K336" s="70">
        <f t="shared" si="26"/>
        <v>143171.037</v>
      </c>
      <c r="L336" s="70">
        <f t="shared" si="26"/>
        <v>2190452</v>
      </c>
      <c r="M336" s="70">
        <f t="shared" si="26"/>
        <v>322409</v>
      </c>
      <c r="N336" s="70">
        <f t="shared" si="26"/>
        <v>58688</v>
      </c>
      <c r="O336" s="116">
        <f t="shared" si="26"/>
        <v>1371579</v>
      </c>
      <c r="P336" s="70">
        <f t="shared" si="26"/>
        <v>25200</v>
      </c>
      <c r="Q336" s="70">
        <f t="shared" si="26"/>
        <v>10000</v>
      </c>
      <c r="R336" s="70">
        <f t="shared" si="26"/>
        <v>144828</v>
      </c>
      <c r="S336" s="70">
        <f t="shared" si="26"/>
        <v>895026.0159999998</v>
      </c>
      <c r="T336" s="70">
        <f t="shared" si="26"/>
        <v>1587181</v>
      </c>
      <c r="U336" s="70">
        <f t="shared" si="26"/>
        <v>18412138.717</v>
      </c>
      <c r="V336" s="194"/>
    </row>
    <row r="337" spans="1:21" ht="18" customHeight="1" hidden="1" thickTop="1">
      <c r="A337" s="32"/>
      <c r="B337" s="101"/>
      <c r="C337" s="49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3"/>
      <c r="U337" s="113">
        <f aca="true" t="shared" si="27" ref="U337:U355">SUM(D337:T337)</f>
        <v>0</v>
      </c>
    </row>
    <row r="338" spans="1:21" ht="16.5" customHeight="1" hidden="1">
      <c r="A338" s="32"/>
      <c r="B338" s="121"/>
      <c r="C338" s="49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3"/>
      <c r="U338" s="113">
        <f t="shared" si="27"/>
        <v>0</v>
      </c>
    </row>
    <row r="339" spans="1:21" ht="16.5" customHeight="1" hidden="1">
      <c r="A339" s="32"/>
      <c r="B339" s="101"/>
      <c r="C339" s="49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3"/>
      <c r="U339" s="113">
        <f t="shared" si="27"/>
        <v>0</v>
      </c>
    </row>
    <row r="340" spans="1:21" ht="16.5" hidden="1">
      <c r="A340" s="32"/>
      <c r="B340" s="121"/>
      <c r="C340" s="49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3"/>
      <c r="U340" s="113">
        <f t="shared" si="27"/>
        <v>0</v>
      </c>
    </row>
    <row r="341" spans="1:21" ht="16.5" hidden="1">
      <c r="A341" s="32"/>
      <c r="B341" s="121"/>
      <c r="C341" s="49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3"/>
      <c r="U341" s="113">
        <f t="shared" si="27"/>
        <v>0</v>
      </c>
    </row>
    <row r="342" spans="1:21" ht="16.5" hidden="1">
      <c r="A342" s="32"/>
      <c r="B342" s="101"/>
      <c r="C342" s="49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3"/>
      <c r="U342" s="113">
        <f t="shared" si="27"/>
        <v>0</v>
      </c>
    </row>
    <row r="343" spans="1:21" ht="16.5" customHeight="1" hidden="1">
      <c r="A343" s="32"/>
      <c r="B343" s="101"/>
      <c r="C343" s="4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3"/>
      <c r="U343" s="113">
        <f t="shared" si="27"/>
        <v>0</v>
      </c>
    </row>
    <row r="344" spans="1:21" ht="16.5" hidden="1">
      <c r="A344" s="32"/>
      <c r="B344" s="101"/>
      <c r="C344" s="49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3"/>
      <c r="U344" s="113">
        <f t="shared" si="27"/>
        <v>0</v>
      </c>
    </row>
    <row r="345" spans="1:21" ht="16.5" customHeight="1" hidden="1">
      <c r="A345" s="32"/>
      <c r="B345" s="101"/>
      <c r="C345" s="49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3"/>
      <c r="U345" s="113">
        <f t="shared" si="27"/>
        <v>0</v>
      </c>
    </row>
    <row r="346" spans="1:21" ht="16.5" customHeight="1" hidden="1">
      <c r="A346" s="32"/>
      <c r="B346" s="101"/>
      <c r="C346" s="49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3"/>
      <c r="U346" s="113">
        <f t="shared" si="27"/>
        <v>0</v>
      </c>
    </row>
    <row r="347" spans="1:21" ht="16.5" customHeight="1" hidden="1">
      <c r="A347" s="32"/>
      <c r="B347" s="101"/>
      <c r="C347" s="49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3"/>
      <c r="U347" s="113">
        <f t="shared" si="27"/>
        <v>0</v>
      </c>
    </row>
    <row r="348" spans="1:21" ht="16.5" customHeight="1" hidden="1">
      <c r="A348" s="32"/>
      <c r="B348" s="101"/>
      <c r="C348" s="49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3"/>
      <c r="U348" s="113">
        <f t="shared" si="27"/>
        <v>0</v>
      </c>
    </row>
    <row r="349" spans="1:21" ht="16.5" customHeight="1" hidden="1">
      <c r="A349" s="32"/>
      <c r="B349" s="101"/>
      <c r="C349" s="49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3"/>
      <c r="U349" s="113">
        <f t="shared" si="27"/>
        <v>0</v>
      </c>
    </row>
    <row r="350" spans="1:21" ht="16.5" customHeight="1" hidden="1">
      <c r="A350" s="32"/>
      <c r="B350" s="101"/>
      <c r="C350" s="49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3"/>
      <c r="U350" s="113">
        <f t="shared" si="27"/>
        <v>0</v>
      </c>
    </row>
    <row r="351" spans="1:21" ht="16.5" customHeight="1" hidden="1">
      <c r="A351" s="32"/>
      <c r="B351" s="101"/>
      <c r="C351" s="49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3"/>
      <c r="U351" s="113">
        <f t="shared" si="27"/>
        <v>0</v>
      </c>
    </row>
    <row r="352" spans="1:21" ht="16.5" customHeight="1" hidden="1">
      <c r="A352" s="32"/>
      <c r="B352" s="101"/>
      <c r="C352" s="49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3"/>
      <c r="U352" s="113">
        <f t="shared" si="27"/>
        <v>0</v>
      </c>
    </row>
    <row r="353" spans="1:21" ht="16.5" customHeight="1" hidden="1">
      <c r="A353" s="32"/>
      <c r="B353" s="101"/>
      <c r="C353" s="49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3"/>
      <c r="U353" s="113">
        <f t="shared" si="27"/>
        <v>0</v>
      </c>
    </row>
    <row r="354" spans="1:21" ht="16.5" customHeight="1" hidden="1">
      <c r="A354" s="32"/>
      <c r="B354" s="101"/>
      <c r="C354" s="49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3"/>
      <c r="U354" s="113">
        <f t="shared" si="27"/>
        <v>0</v>
      </c>
    </row>
    <row r="355" spans="1:21" ht="16.5" customHeight="1" hidden="1">
      <c r="A355" s="32"/>
      <c r="B355" s="101"/>
      <c r="C355" s="49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3"/>
      <c r="U355" s="113">
        <f t="shared" si="27"/>
        <v>0</v>
      </c>
    </row>
    <row r="356" spans="5:21" ht="17.25" thickTop="1">
      <c r="E356" s="38"/>
      <c r="U356" s="2"/>
    </row>
  </sheetData>
  <mergeCells count="7">
    <mergeCell ref="AF11:AG11"/>
    <mergeCell ref="D5:K5"/>
    <mergeCell ref="L5:R5"/>
    <mergeCell ref="A1:U1"/>
    <mergeCell ref="A2:U2"/>
    <mergeCell ref="D4:U4"/>
    <mergeCell ref="AF6:AG6"/>
  </mergeCells>
  <printOptions horizontalCentered="1" verticalCentered="1"/>
  <pageMargins left="0" right="0" top="0.8267716535433072" bottom="0.9055118110236221" header="0.5118110236220472" footer="0.1968503937007874"/>
  <pageSetup horizontalDpi="300" verticalDpi="300" orientation="landscape" paperSize="9" scale="47" r:id="rId1"/>
  <headerFooter alignWithMargins="0">
    <oddHeader>&amp;R&amp;"Times New Roman CE,Normál"&amp;12 9.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II. Kerületi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</dc:creator>
  <cp:keywords/>
  <dc:description/>
  <cp:lastModifiedBy>Szigetiné Bangó Ildikó</cp:lastModifiedBy>
  <cp:lastPrinted>2011-05-18T12:57:11Z</cp:lastPrinted>
  <dcterms:created xsi:type="dcterms:W3CDTF">2009-03-23T07:49:10Z</dcterms:created>
  <dcterms:modified xsi:type="dcterms:W3CDTF">2011-05-18T12:57:57Z</dcterms:modified>
  <cp:category/>
  <cp:version/>
  <cp:contentType/>
  <cp:contentStatus/>
</cp:coreProperties>
</file>